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<sst xmlns="http://schemas.openxmlformats.org/spreadsheetml/2006/main" count="124" uniqueCount="117">
  <si>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</si>
  <si>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</si>
  <si>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</si>
  <si>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</si>
  <si>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</si>
  <si>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</si>
  <si>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</si>
  <si>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</si>
  <si>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</si>
  <si>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</si>
  <si>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</si>
  <si>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</si>
  <si>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</si>
  <si>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</si>
  <si>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</si>
  <si>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</si>
  <si>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</si>
  <si>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</si>
  <si>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</si>
  <si>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</si>
  <si>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</si>
  <si>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</si>
  <si>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</si>
  <si>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</si>
  <si>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</si>
  <si>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</si>
  <si>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</si>
  <si>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</si>
  <si>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</si>
  <si>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</si>
  <si>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</si>
  <si>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</si>
  <si>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</si>
  <si>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</si>
  <si>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</si>
  <si>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</si>
  <si>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</si>
  <si>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</si>
  <si>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</si>
  <si>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</si>
  <si>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</si>
  <si>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</si>
  <si>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</si>
  <si>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</si>
  <si>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</si>
  <si>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</si>
  <si>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</si>
  <si>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</si>
  <si>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</si>
  <si>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</si>
  <si>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</si>
  <si>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</si>
  <si>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</si>
  <si>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</si>
  <si>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</si>
  <si>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</si>
  <si>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</si>
  <si>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</si>
  <si>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</si>
  <si>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</si>
  <si>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</si>
  <si>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</si>
  <si>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</si>
  <si>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</si>
  <si>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</si>
  <si>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</si>
  <si>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</si>
  <si>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</si>
  <si>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</si>
  <si>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</si>
  <si>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</si>
  <si>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</si>
  <si>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</si>
  <si>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故宮文物藝術發展基金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</si>
  <si>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</si>
  <si>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7,421,750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</si>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</sst>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E44"/>
  <sheetViews>
    <sheetView tabSelected="1" workbookViewId="0" topLeftCell="A1">
      <pane xSplit="1" ySplit="6" topLeftCell="B7" activePane="bottomRight" state="frozen"/>
      <selection pane="topLeft" activeCell="A35" sqref="A35:IV36"/>
      <selection pane="topRight" activeCell="A35" sqref="A35:IV36"/>
      <selection pane="bottomLeft" activeCell="A35" sqref="A35:IV36"/>
      <selection pane="bottomRight"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73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116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113373884</v>
      </c>
      <c r="C7" s="58">
        <f>SUM(C8:C16)</f>
        <v>89820000</v>
      </c>
      <c r="D7" s="59">
        <f aca="true" t="shared" si="0" ref="D7:D39">B7-C7</f>
        <v>23553884</v>
      </c>
      <c r="E7" s="60">
        <f aca="true" t="shared" si="1" ref="E7:E39">IF(C7=0,0,(D7/C7)*100)</f>
        <v>26.22</v>
      </c>
    </row>
    <row r="8" spans="1:5" s="27" customFormat="1" ht="15.75" customHeight="1">
      <c r="A8" s="28" t="s">
        <v>83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84</v>
      </c>
      <c r="B9" s="61">
        <v>113373884</v>
      </c>
      <c r="C9" s="61">
        <v>89820000</v>
      </c>
      <c r="D9" s="62">
        <f t="shared" si="0"/>
        <v>23553884</v>
      </c>
      <c r="E9" s="63">
        <f t="shared" si="1"/>
        <v>26.22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/>
      <c r="C16" s="61"/>
      <c r="D16" s="62">
        <f t="shared" si="0"/>
        <v>0</v>
      </c>
      <c r="E16" s="63">
        <f t="shared" si="1"/>
        <v>0</v>
      </c>
    </row>
    <row r="17" spans="1:5" s="27" customFormat="1" ht="24.75" customHeight="1">
      <c r="A17" s="30" t="s">
        <v>92</v>
      </c>
      <c r="B17" s="58">
        <f>SUM(B18:B29)</f>
        <v>74982707.77</v>
      </c>
      <c r="C17" s="58">
        <f>SUM(C18:C29)</f>
        <v>61950000</v>
      </c>
      <c r="D17" s="59">
        <f t="shared" si="0"/>
        <v>13032707.77</v>
      </c>
      <c r="E17" s="60">
        <f t="shared" si="1"/>
        <v>21.04</v>
      </c>
    </row>
    <row r="18" spans="1:5" s="27" customFormat="1" ht="15" customHeight="1">
      <c r="A18" s="28" t="s">
        <v>93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94</v>
      </c>
      <c r="B19" s="61">
        <v>72612002.71</v>
      </c>
      <c r="C19" s="61">
        <v>58000000</v>
      </c>
      <c r="D19" s="62">
        <f t="shared" si="0"/>
        <v>14612002.71</v>
      </c>
      <c r="E19" s="63">
        <f t="shared" si="1"/>
        <v>25.19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>
        <v>1171140.06</v>
      </c>
      <c r="C26" s="61">
        <v>2200000</v>
      </c>
      <c r="D26" s="62">
        <f t="shared" si="0"/>
        <v>-1028859.94</v>
      </c>
      <c r="E26" s="63">
        <f t="shared" si="1"/>
        <v>-46.77</v>
      </c>
    </row>
    <row r="27" spans="1:5" s="27" customFormat="1" ht="15" customHeight="1">
      <c r="A27" s="28" t="s">
        <v>102</v>
      </c>
      <c r="B27" s="61">
        <v>1199565</v>
      </c>
      <c r="C27" s="61">
        <v>1600000</v>
      </c>
      <c r="D27" s="62">
        <f t="shared" si="0"/>
        <v>-400435</v>
      </c>
      <c r="E27" s="63">
        <f t="shared" si="1"/>
        <v>-25.03</v>
      </c>
    </row>
    <row r="28" spans="1:5" s="27" customFormat="1" ht="15" customHeight="1">
      <c r="A28" s="28" t="s">
        <v>103</v>
      </c>
      <c r="B28" s="61"/>
      <c r="C28" s="61">
        <v>150000</v>
      </c>
      <c r="D28" s="62">
        <f t="shared" si="0"/>
        <v>-150000</v>
      </c>
      <c r="E28" s="63">
        <f t="shared" si="1"/>
        <v>-100</v>
      </c>
    </row>
    <row r="29" spans="1:5" s="27" customFormat="1" ht="15" customHeight="1">
      <c r="A29" s="28" t="s">
        <v>104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105</v>
      </c>
      <c r="B30" s="58">
        <f>B7-B17</f>
        <v>38391176.23</v>
      </c>
      <c r="C30" s="58">
        <f>C7-C17</f>
        <v>27870000</v>
      </c>
      <c r="D30" s="59">
        <f t="shared" si="0"/>
        <v>10521176.23</v>
      </c>
      <c r="E30" s="60">
        <f t="shared" si="1"/>
        <v>37.75</v>
      </c>
    </row>
    <row r="31" spans="1:5" s="27" customFormat="1" ht="23.25" customHeight="1">
      <c r="A31" s="30" t="s">
        <v>106</v>
      </c>
      <c r="B31" s="58">
        <f>SUM(B32:B33)</f>
        <v>1097262</v>
      </c>
      <c r="C31" s="58">
        <f>SUM(C32:C33)</f>
        <v>1300000</v>
      </c>
      <c r="D31" s="59">
        <f t="shared" si="0"/>
        <v>-202738</v>
      </c>
      <c r="E31" s="60">
        <f t="shared" si="1"/>
        <v>-15.6</v>
      </c>
    </row>
    <row r="32" spans="1:5" s="27" customFormat="1" ht="15.75" customHeight="1">
      <c r="A32" s="28" t="s">
        <v>107</v>
      </c>
      <c r="B32" s="61">
        <v>1095882</v>
      </c>
      <c r="C32" s="61">
        <v>1300000</v>
      </c>
      <c r="D32" s="62">
        <f t="shared" si="0"/>
        <v>-204118</v>
      </c>
      <c r="E32" s="63">
        <f t="shared" si="1"/>
        <v>-15.7</v>
      </c>
    </row>
    <row r="33" spans="1:5" s="27" customFormat="1" ht="15.75" customHeight="1">
      <c r="A33" s="28" t="s">
        <v>108</v>
      </c>
      <c r="B33" s="61">
        <v>1380</v>
      </c>
      <c r="C33" s="61">
        <v>0</v>
      </c>
      <c r="D33" s="62">
        <f t="shared" si="0"/>
        <v>1380</v>
      </c>
      <c r="E33" s="63">
        <f t="shared" si="1"/>
        <v>0</v>
      </c>
    </row>
    <row r="34" spans="1:5" s="27" customFormat="1" ht="24.75" customHeight="1">
      <c r="A34" s="30" t="s">
        <v>109</v>
      </c>
      <c r="B34" s="58">
        <f>SUM(B35:B36)</f>
        <v>0</v>
      </c>
      <c r="C34" s="58">
        <f>SUM(C35:C36)</f>
        <v>0</v>
      </c>
      <c r="D34" s="59">
        <f t="shared" si="0"/>
        <v>0</v>
      </c>
      <c r="E34" s="60">
        <f t="shared" si="1"/>
        <v>0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/>
      <c r="C36" s="61"/>
      <c r="D36" s="62">
        <f t="shared" si="0"/>
        <v>0</v>
      </c>
      <c r="E36" s="63">
        <f t="shared" si="1"/>
        <v>0</v>
      </c>
    </row>
    <row r="37" spans="1:5" s="27" customFormat="1" ht="25.5" customHeight="1">
      <c r="A37" s="30" t="s">
        <v>112</v>
      </c>
      <c r="B37" s="58">
        <f>B31-B34</f>
        <v>1097262</v>
      </c>
      <c r="C37" s="58">
        <f>C31-C34</f>
        <v>1300000</v>
      </c>
      <c r="D37" s="59">
        <f t="shared" si="0"/>
        <v>-202738</v>
      </c>
      <c r="E37" s="60">
        <f t="shared" si="1"/>
        <v>-15.6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39488438.23</v>
      </c>
      <c r="C44" s="39">
        <f>C30+C37+C38+C39</f>
        <v>29170000</v>
      </c>
      <c r="D44" s="68">
        <f>B44-C44</f>
        <v>10318438.23</v>
      </c>
      <c r="E44" s="69">
        <f>IF(C44=0,0,(D44/C44)*100)</f>
        <v>35.37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1061300556.46</v>
      </c>
      <c r="C6" s="14">
        <f>ROUND(IF(B$6&gt;0,(B6/B$6)*100,0),2)</f>
        <v>100</v>
      </c>
      <c r="D6" s="15" t="s">
        <v>6</v>
      </c>
      <c r="E6" s="14">
        <f>SUM(E7,E13,E17,E21)</f>
        <v>25958143</v>
      </c>
      <c r="F6" s="16">
        <f aca="true" t="shared" si="0" ref="F6:F11">ROUND(IF(E$47&gt;0,(E6/E$47)*100,0),2)</f>
        <v>2.45</v>
      </c>
    </row>
    <row r="7" spans="1:6" s="17" customFormat="1" ht="16.5" customHeight="1">
      <c r="A7" s="18" t="s">
        <v>7</v>
      </c>
      <c r="B7" s="19">
        <f>SUM(B8:B13)</f>
        <v>544937300.46</v>
      </c>
      <c r="C7" s="19">
        <f>ROUND(IF(B$6&gt;0,(B7/B$6)*100,0),2)</f>
        <v>51.35</v>
      </c>
      <c r="D7" s="20" t="s">
        <v>8</v>
      </c>
      <c r="E7" s="19">
        <f>SUM(E8:E11)</f>
        <v>18480315</v>
      </c>
      <c r="F7" s="21">
        <f t="shared" si="0"/>
        <v>1.74</v>
      </c>
    </row>
    <row r="8" spans="1:6" s="27" customFormat="1" ht="13.5" customHeight="1">
      <c r="A8" s="22" t="s">
        <v>9</v>
      </c>
      <c r="B8" s="23">
        <v>451474754.61</v>
      </c>
      <c r="C8" s="24">
        <f>ROUND(IF(B$6=0,0,(B8/B$6)*100),2)</f>
        <v>42.54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15056725</v>
      </c>
      <c r="F9" s="26">
        <f t="shared" si="0"/>
        <v>1.42</v>
      </c>
    </row>
    <row r="10" spans="1:6" s="27" customFormat="1" ht="13.5" customHeight="1">
      <c r="A10" s="28" t="s">
        <v>13</v>
      </c>
      <c r="B10" s="23">
        <v>548844</v>
      </c>
      <c r="C10" s="24">
        <f t="shared" si="1"/>
        <v>0.05</v>
      </c>
      <c r="D10" s="25" t="s">
        <v>14</v>
      </c>
      <c r="E10" s="23">
        <v>3423590</v>
      </c>
      <c r="F10" s="26">
        <f t="shared" si="0"/>
        <v>0.32</v>
      </c>
    </row>
    <row r="11" spans="1:6" s="27" customFormat="1" ht="13.5" customHeight="1">
      <c r="A11" s="28" t="s">
        <v>15</v>
      </c>
      <c r="B11" s="23">
        <v>91432862.85</v>
      </c>
      <c r="C11" s="24">
        <f t="shared" si="1"/>
        <v>8.62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1480839</v>
      </c>
      <c r="C12" s="24">
        <f t="shared" si="1"/>
        <v>0.14</v>
      </c>
      <c r="D12" s="29"/>
      <c r="E12" s="24"/>
      <c r="F12" s="26"/>
    </row>
    <row r="13" spans="1:6" s="27" customFormat="1" ht="15.75" customHeight="1">
      <c r="A13" s="28" t="s">
        <v>18</v>
      </c>
      <c r="B13" s="23"/>
      <c r="C13" s="24">
        <f t="shared" si="1"/>
        <v>0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1386402</v>
      </c>
      <c r="C14" s="19">
        <f t="shared" si="1"/>
        <v>0.13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7477828</v>
      </c>
      <c r="F17" s="21">
        <f>ROUND(IF(E$47&gt;0,(E17/E$47)*100,0),2)</f>
        <v>0.7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7477828</v>
      </c>
      <c r="F19" s="26">
        <f>ROUND(IF(E$47&gt;0,(E19/E$47)*100,0),2)</f>
        <v>0.7</v>
      </c>
    </row>
    <row r="20" spans="1:6" s="27" customFormat="1" ht="15" customHeight="1">
      <c r="A20" s="28" t="s">
        <v>31</v>
      </c>
      <c r="B20" s="23">
        <v>1386402</v>
      </c>
      <c r="C20" s="24">
        <f t="shared" si="2"/>
        <v>0.13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514898803</v>
      </c>
      <c r="C21" s="19">
        <f t="shared" si="2"/>
        <v>48.52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/>
      <c r="C22" s="24">
        <f t="shared" si="2"/>
        <v>0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/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>
        <v>787023</v>
      </c>
      <c r="C24" s="24">
        <f t="shared" si="2"/>
        <v>0.07</v>
      </c>
      <c r="D24" s="20"/>
      <c r="E24" s="24"/>
      <c r="F24" s="21"/>
    </row>
    <row r="25" spans="1:6" s="27" customFormat="1" ht="15" customHeight="1">
      <c r="A25" s="28" t="s">
        <v>38</v>
      </c>
      <c r="B25" s="23">
        <v>199206</v>
      </c>
      <c r="C25" s="24">
        <f t="shared" si="2"/>
        <v>0.02</v>
      </c>
      <c r="D25" s="29"/>
      <c r="E25" s="24"/>
      <c r="F25" s="26"/>
    </row>
    <row r="26" spans="1:6" s="27" customFormat="1" ht="15" customHeight="1">
      <c r="A26" s="28" t="s">
        <v>39</v>
      </c>
      <c r="B26" s="23">
        <v>0</v>
      </c>
      <c r="C26" s="24">
        <f t="shared" si="2"/>
        <v>0</v>
      </c>
      <c r="D26" s="32" t="s">
        <v>40</v>
      </c>
      <c r="E26" s="19">
        <f>E27+E30+E34+E38</f>
        <v>1035342413.46</v>
      </c>
      <c r="F26" s="21">
        <f>ROUND(IF(E$47&gt;0,(E26/E$47)*100,0),2)</f>
        <v>97.55</v>
      </c>
    </row>
    <row r="27" spans="1:6" s="27" customFormat="1" ht="15" customHeight="1">
      <c r="A27" s="28" t="s">
        <v>41</v>
      </c>
      <c r="B27" s="23">
        <v>513912574</v>
      </c>
      <c r="C27" s="24">
        <f t="shared" si="2"/>
        <v>48.42</v>
      </c>
      <c r="D27" s="20" t="s">
        <v>42</v>
      </c>
      <c r="E27" s="33">
        <f>SUM(E28)</f>
        <v>485694757</v>
      </c>
      <c r="F27" s="21">
        <f>ROUND(IF(E$47&gt;0,(E27/E$47)*100,0),2)</f>
        <v>45.76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485694757</v>
      </c>
      <c r="F28" s="26">
        <f>ROUND(IF(E$47&gt;0,(E28/E$47)*100,0),2)</f>
        <v>45.76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/>
      <c r="C30" s="24">
        <f t="shared" si="2"/>
        <v>0</v>
      </c>
      <c r="D30" s="20" t="s">
        <v>47</v>
      </c>
      <c r="E30" s="19">
        <f>SUM(E31:E32)</f>
        <v>477822035.74</v>
      </c>
      <c r="F30" s="21">
        <f>ROUND(IF(E$47&gt;0,(E30/E$47)*100,0),2)</f>
        <v>45.02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357692547.23</v>
      </c>
      <c r="F31" s="26">
        <f>ROUND(IF(E$47&gt;0,(E31/E$47)*100,0),2)</f>
        <v>33.7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>
        <v>120129488.51</v>
      </c>
      <c r="F32" s="26">
        <f>ROUND(IF(E$47&gt;0,(E32/E$47)*100,0),2)</f>
        <v>11.32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71825620.72</v>
      </c>
      <c r="F34" s="21">
        <f>ROUND(IF(E$47&gt;0,(E34/E$47)*100,0),2)</f>
        <v>6.77</v>
      </c>
    </row>
    <row r="35" spans="1:6" s="27" customFormat="1" ht="15" customHeight="1">
      <c r="A35" s="30" t="s">
        <v>55</v>
      </c>
      <c r="B35" s="19">
        <f>SUM(B36)</f>
        <v>78051</v>
      </c>
      <c r="C35" s="19">
        <f t="shared" si="2"/>
        <v>0.01</v>
      </c>
      <c r="D35" s="25" t="s">
        <v>56</v>
      </c>
      <c r="E35" s="23">
        <v>71825620.72</v>
      </c>
      <c r="F35" s="26">
        <f>ROUND(IF(E$47&gt;0,(E35/E$47)*100,0),2)</f>
        <v>6.77</v>
      </c>
    </row>
    <row r="36" spans="1:6" s="27" customFormat="1" ht="15" customHeight="1">
      <c r="A36" s="28" t="s">
        <v>57</v>
      </c>
      <c r="B36" s="23">
        <v>78051</v>
      </c>
      <c r="C36" s="24">
        <f t="shared" si="2"/>
        <v>0.01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0</v>
      </c>
      <c r="C39" s="19">
        <f t="shared" si="2"/>
        <v>0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/>
      <c r="C41" s="24">
        <f t="shared" si="2"/>
        <v>0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1061300556.46</v>
      </c>
      <c r="C47" s="39">
        <f>IF(B$6&gt;0,(B47/B$6)*100,0)</f>
        <v>100</v>
      </c>
      <c r="D47" s="38" t="s">
        <v>72</v>
      </c>
      <c r="E47" s="39">
        <f>E6+E26</f>
        <v>1061300556.46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2010-09-03T01:02:21Z</dcterms:created>
  <dcterms:modified xsi:type="dcterms:W3CDTF">2010-09-03T01:02:53Z</dcterms:modified>
  <cp:category/>
  <cp:version/>
  <cp:contentType/>
  <cp:contentStatus/>
</cp:coreProperties>
</file>