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tabRatio="528" activeTab="0"/>
  </bookViews>
  <sheets>
    <sheet name="表10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1">'Sheet1'!$1:$2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9"/>
            <rFont val="新細明體"/>
            <family val="1"/>
          </rPr>
          <t>紫三級用途別表
藍補捐助表與分表合
紅色保留實現刪減</t>
        </r>
      </text>
    </comment>
    <comment ref="A38" authorId="0">
      <text>
        <r>
          <rPr>
            <b/>
            <sz val="12"/>
            <rFont val="新細明體"/>
            <family val="1"/>
          </rPr>
          <t xml:space="preserve">實現沒有補助地方
</t>
        </r>
        <r>
          <rPr>
            <sz val="9"/>
            <rFont val="新細明體"/>
            <family val="1"/>
          </rPr>
          <t xml:space="preserve">
</t>
        </r>
      </text>
    </comment>
    <comment ref="A52" authorId="0">
      <text>
        <r>
          <rPr>
            <b/>
            <sz val="12"/>
            <rFont val="新細明體"/>
            <family val="1"/>
          </rPr>
          <t>問離島基金實支多少</t>
        </r>
        <r>
          <rPr>
            <sz val="9"/>
            <rFont val="新細明體"/>
            <family val="1"/>
          </rPr>
          <t xml:space="preserve">
</t>
        </r>
      </text>
    </comment>
    <comment ref="C11" authorId="0">
      <text>
        <r>
          <rPr>
            <b/>
            <sz val="9"/>
            <rFont val="新細明體"/>
            <family val="1"/>
          </rPr>
          <t>尚有問題</t>
        </r>
      </text>
    </comment>
  </commentList>
</comments>
</file>

<file path=xl/sharedStrings.xml><?xml version="1.0" encoding="utf-8"?>
<sst xmlns="http://schemas.openxmlformats.org/spreadsheetml/2006/main" count="90" uniqueCount="77">
  <si>
    <t>合         計</t>
  </si>
  <si>
    <t>行政院主管</t>
  </si>
  <si>
    <t>內政部主管</t>
  </si>
  <si>
    <t>財政部主管</t>
  </si>
  <si>
    <t>教育部主管</t>
  </si>
  <si>
    <t>經濟部主管</t>
  </si>
  <si>
    <t>交通部主管</t>
  </si>
  <si>
    <t>農業委員會主管</t>
  </si>
  <si>
    <t>衛生署主管</t>
  </si>
  <si>
    <t>環境保護署主管</t>
  </si>
  <si>
    <t>省市地方政府</t>
  </si>
  <si>
    <t>法務部主管</t>
  </si>
  <si>
    <t>國家科學委員會主管</t>
  </si>
  <si>
    <t>科目名稱</t>
  </si>
  <si>
    <t>對台北市政府之補助</t>
  </si>
  <si>
    <t>對高雄市政府之補助</t>
  </si>
  <si>
    <t>對臺灣省各縣市之補助</t>
  </si>
  <si>
    <t>對福建省各縣之補助</t>
  </si>
  <si>
    <t>總計</t>
  </si>
  <si>
    <t>國立故宮博物院</t>
  </si>
  <si>
    <t>經濟建設委員會</t>
  </si>
  <si>
    <t>文化建設委員會及所屬</t>
  </si>
  <si>
    <t>公共工程委員會</t>
  </si>
  <si>
    <t>文化園區管理局</t>
  </si>
  <si>
    <t>原住民族委員會</t>
  </si>
  <si>
    <t>體育委員會</t>
  </si>
  <si>
    <t>客家委員會及所屬</t>
  </si>
  <si>
    <t>內政部</t>
  </si>
  <si>
    <t>營建署及所屬</t>
  </si>
  <si>
    <t>消防署及所屬</t>
  </si>
  <si>
    <t>役政署</t>
  </si>
  <si>
    <t>入出國及移民署</t>
  </si>
  <si>
    <t>兒童局</t>
  </si>
  <si>
    <t>國防部主管</t>
  </si>
  <si>
    <t>國防部所屬</t>
  </si>
  <si>
    <t>國庫署</t>
  </si>
  <si>
    <t>賦稅署</t>
  </si>
  <si>
    <t>教育部</t>
  </si>
  <si>
    <t>法務部</t>
  </si>
  <si>
    <t>工業局</t>
  </si>
  <si>
    <t>水利署及所屬</t>
  </si>
  <si>
    <t>能源局</t>
  </si>
  <si>
    <t>交通部　　　</t>
  </si>
  <si>
    <t>觀光局及所屬</t>
  </si>
  <si>
    <t>公路總局及所屬</t>
  </si>
  <si>
    <t>中部科學工業園區管理局</t>
  </si>
  <si>
    <t>農業委員會</t>
  </si>
  <si>
    <t>林務局</t>
  </si>
  <si>
    <t>水土保持局</t>
  </si>
  <si>
    <t>漁業署及所屬</t>
  </si>
  <si>
    <t>動植物防疫檢疫局及所屬</t>
  </si>
  <si>
    <t>農糧署及所屬</t>
  </si>
  <si>
    <t>衛生署</t>
  </si>
  <si>
    <t>環境保護署</t>
  </si>
  <si>
    <t>補助直轄市及縣市政府</t>
  </si>
  <si>
    <t>福建省政府</t>
  </si>
  <si>
    <t>台北市及高雄市統籌分配稅款減少專案補助</t>
  </si>
  <si>
    <t>縣市平衡預算及繳款專案補助</t>
  </si>
  <si>
    <t>98法定預算</t>
  </si>
  <si>
    <t>合計</t>
  </si>
  <si>
    <t>中央政府總決算</t>
  </si>
  <si>
    <t>補助地方政府經費彙總表</t>
  </si>
  <si>
    <t>補助高雄市政府</t>
  </si>
  <si>
    <t>國防部主管</t>
  </si>
  <si>
    <t>科　　　　目</t>
  </si>
  <si>
    <t>補助台北市政府</t>
  </si>
  <si>
    <t>補助台灣省
各縣市政府</t>
  </si>
  <si>
    <t>補助金門及
連江縣政府</t>
  </si>
  <si>
    <t>合　　計</t>
  </si>
  <si>
    <t>款</t>
  </si>
  <si>
    <t>名　　稱</t>
  </si>
  <si>
    <t>離島基金問福建省政府</t>
  </si>
  <si>
    <t xml:space="preserve">  中華民國98年度</t>
  </si>
  <si>
    <t>環境保護署主管</t>
  </si>
  <si>
    <t>省市地方政府</t>
  </si>
  <si>
    <t>農業委員會主管</t>
  </si>
  <si>
    <r>
      <t>註：本表合計數加計離島建設基金292,411,884元，則98年度中央對地方政府補助經費總數為302,1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6,</t>
    </r>
    <r>
      <rPr>
        <sz val="12"/>
        <rFont val="新細明體"/>
        <family val="1"/>
      </rPr>
      <t>569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188</t>
    </r>
    <r>
      <rPr>
        <sz val="12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</si>
</sst>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  <numFmt numFmtId="238" formatCode="_-* #,##0.00_-;\-* #,##0.00_-;_-* &quot;-&quot;????_-;_-@_-"/>
  </numFmts>
  <fonts count="26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8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9"/>
      <name val="新細明體"/>
      <family val="1"/>
    </font>
    <font>
      <sz val="12"/>
      <color indexed="20"/>
      <name val="新細明體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u val="single"/>
      <sz val="20"/>
      <color indexed="8"/>
      <name val="新細明體"/>
      <family val="1"/>
    </font>
    <font>
      <b/>
      <u val="single"/>
      <sz val="26"/>
      <name val="新細明體"/>
      <family val="1"/>
    </font>
    <font>
      <sz val="11"/>
      <name val="Arial"/>
      <family val="2"/>
    </font>
    <font>
      <sz val="11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221" fontId="6" fillId="2" borderId="1" applyNumberFormat="0" applyFont="0" applyFill="0" applyBorder="0">
      <alignment horizontal="center" vertical="center"/>
      <protection/>
    </xf>
    <xf numFmtId="222" fontId="8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19">
      <alignment vertical="center"/>
      <protection/>
    </xf>
    <xf numFmtId="181" fontId="0" fillId="0" borderId="1" xfId="21" applyNumberFormat="1" applyBorder="1" applyAlignment="1">
      <alignment horizontal="center" vertical="center"/>
    </xf>
    <xf numFmtId="181" fontId="0" fillId="0" borderId="1" xfId="21" applyNumberFormat="1" applyBorder="1" applyAlignment="1">
      <alignment horizontal="center" vertical="center" wrapText="1"/>
    </xf>
    <xf numFmtId="0" fontId="0" fillId="0" borderId="0" xfId="19" applyAlignment="1">
      <alignment horizontal="center" vertical="center"/>
      <protection/>
    </xf>
    <xf numFmtId="181" fontId="0" fillId="0" borderId="1" xfId="21" applyNumberFormat="1" applyFont="1" applyBorder="1" applyAlignment="1">
      <alignment horizontal="center" vertical="center"/>
    </xf>
    <xf numFmtId="181" fontId="0" fillId="0" borderId="1" xfId="21" applyNumberFormat="1" applyBorder="1" applyAlignment="1">
      <alignment vertical="center"/>
    </xf>
    <xf numFmtId="181" fontId="0" fillId="0" borderId="1" xfId="21" applyNumberFormat="1" applyBorder="1" applyAlignment="1">
      <alignment horizontal="left" vertical="center" indent="1"/>
    </xf>
    <xf numFmtId="181" fontId="0" fillId="0" borderId="1" xfId="21" applyNumberFormat="1" applyBorder="1" applyAlignment="1">
      <alignment horizontal="left" vertical="center" wrapText="1" indent="1"/>
    </xf>
    <xf numFmtId="0" fontId="0" fillId="3" borderId="0" xfId="19" applyFill="1">
      <alignment vertical="center"/>
      <protection/>
    </xf>
    <xf numFmtId="0" fontId="0" fillId="3" borderId="1" xfId="19" applyFill="1" applyBorder="1" applyAlignment="1">
      <alignment horizontal="center" vertical="center"/>
      <protection/>
    </xf>
    <xf numFmtId="181" fontId="0" fillId="3" borderId="1" xfId="21" applyNumberFormat="1" applyFill="1" applyBorder="1" applyAlignment="1">
      <alignment horizontal="center" vertical="center" wrapText="1"/>
    </xf>
    <xf numFmtId="181" fontId="0" fillId="3" borderId="1" xfId="21" applyNumberFormat="1" applyFill="1" applyBorder="1" applyAlignment="1">
      <alignment vertical="center"/>
    </xf>
    <xf numFmtId="181" fontId="16" fillId="0" borderId="1" xfId="21" applyNumberFormat="1" applyFont="1" applyBorder="1" applyAlignment="1">
      <alignment horizontal="left" vertical="center" indent="1"/>
    </xf>
    <xf numFmtId="181" fontId="19" fillId="0" borderId="1" xfId="21" applyNumberFormat="1" applyFont="1" applyBorder="1" applyAlignment="1">
      <alignment horizontal="left" vertical="center" indent="1"/>
    </xf>
    <xf numFmtId="238" fontId="14" fillId="0" borderId="0" xfId="0" applyNumberFormat="1" applyFont="1" applyBorder="1" applyAlignment="1">
      <alignment horizontal="center" vertical="center" wrapText="1"/>
    </xf>
    <xf numFmtId="238" fontId="14" fillId="0" borderId="0" xfId="0" applyNumberFormat="1" applyFont="1" applyBorder="1" applyAlignment="1">
      <alignment vertical="center" wrapText="1"/>
    </xf>
    <xf numFmtId="238" fontId="1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1" fontId="20" fillId="0" borderId="1" xfId="21" applyNumberFormat="1" applyFont="1" applyBorder="1" applyAlignment="1">
      <alignment vertical="center"/>
    </xf>
    <xf numFmtId="181" fontId="20" fillId="3" borderId="1" xfId="21" applyNumberFormat="1" applyFont="1" applyFill="1" applyBorder="1" applyAlignment="1">
      <alignment vertical="center"/>
    </xf>
    <xf numFmtId="177" fontId="0" fillId="0" borderId="0" xfId="19" applyNumberFormat="1">
      <alignment vertical="center"/>
      <protection/>
    </xf>
    <xf numFmtId="177" fontId="0" fillId="3" borderId="0" xfId="19" applyNumberFormat="1" applyFill="1">
      <alignment vertical="center"/>
      <protection/>
    </xf>
    <xf numFmtId="177" fontId="0" fillId="4" borderId="0" xfId="19" applyNumberFormat="1" applyFill="1">
      <alignment vertical="center"/>
      <protection/>
    </xf>
    <xf numFmtId="0" fontId="0" fillId="4" borderId="0" xfId="19" applyFill="1">
      <alignment vertical="center"/>
      <protection/>
    </xf>
    <xf numFmtId="0" fontId="0" fillId="0" borderId="0" xfId="19" applyFont="1">
      <alignment vertical="center"/>
      <protection/>
    </xf>
    <xf numFmtId="220" fontId="14" fillId="0" borderId="4" xfId="0" applyNumberFormat="1" applyFont="1" applyBorder="1" applyAlignment="1">
      <alignment vertical="center" wrapText="1"/>
    </xf>
    <xf numFmtId="182" fontId="0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238" fontId="23" fillId="0" borderId="12" xfId="0" applyNumberFormat="1" applyFont="1" applyBorder="1" applyAlignment="1">
      <alignment vertical="center" wrapText="1"/>
    </xf>
    <xf numFmtId="238" fontId="23" fillId="0" borderId="8" xfId="0" applyNumberFormat="1" applyFont="1" applyBorder="1" applyAlignment="1">
      <alignment vertical="center" wrapText="1"/>
    </xf>
    <xf numFmtId="238" fontId="23" fillId="0" borderId="9" xfId="0" applyNumberFormat="1" applyFont="1" applyBorder="1" applyAlignment="1">
      <alignment vertical="center" wrapText="1"/>
    </xf>
    <xf numFmtId="238" fontId="23" fillId="0" borderId="10" xfId="0" applyNumberFormat="1" applyFont="1" applyBorder="1" applyAlignment="1">
      <alignment vertical="center" wrapText="1"/>
    </xf>
    <xf numFmtId="238" fontId="23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238" fontId="23" fillId="0" borderId="14" xfId="0" applyNumberFormat="1" applyFont="1" applyBorder="1" applyAlignment="1">
      <alignment vertical="center" wrapText="1"/>
    </xf>
    <xf numFmtId="238" fontId="23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238" fontId="21" fillId="2" borderId="0" xfId="20" applyNumberFormat="1" applyFont="1" applyFill="1" applyAlignment="1">
      <alignment horizontal="center" vertical="center"/>
      <protection/>
    </xf>
    <xf numFmtId="238" fontId="1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238" fontId="13" fillId="0" borderId="17" xfId="0" applyNumberFormat="1" applyFont="1" applyBorder="1" applyAlignment="1">
      <alignment horizontal="center" vertical="center"/>
    </xf>
    <xf numFmtId="238" fontId="13" fillId="0" borderId="18" xfId="0" applyNumberFormat="1" applyFont="1" applyBorder="1" applyAlignment="1">
      <alignment horizontal="center" vertical="center"/>
    </xf>
    <xf numFmtId="238" fontId="13" fillId="0" borderId="0" xfId="0" applyNumberFormat="1" applyFont="1" applyBorder="1" applyAlignment="1">
      <alignment horizontal="right" vertical="center"/>
    </xf>
    <xf numFmtId="238" fontId="22" fillId="0" borderId="0" xfId="0" applyNumberFormat="1" applyFont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98GBA" xfId="19"/>
    <cellStyle name="一般_重要經濟指標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1362075</xdr:colOff>
      <xdr:row>2</xdr:row>
      <xdr:rowOff>76200</xdr:rowOff>
    </xdr:from>
    <xdr:to>
      <xdr:col>6</xdr:col>
      <xdr:colOff>1304925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0" y="771525"/>
          <a:ext cx="1314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dgbas.gov.tw/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dgbas.gov.tw/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dgbas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H21"/>
  <sheetViews>
    <sheetView showZeros="0" tabSelected="1" zoomScale="75" zoomScaleNormal="75" zoomScaleSheetLayoutView="100" workbookViewId="0" topLeftCell="A1">
      <selection activeCell="J8" sqref="J8"/>
    </sheetView>
  </sheetViews>
  <sheetFormatPr defaultColWidth="9.00390625" defaultRowHeight="16.5"/>
  <cols>
    <col min="1" max="1" width="3.375" style="2" customWidth="1"/>
    <col min="2" max="2" width="16.375" style="2" customWidth="1"/>
    <col min="3" max="4" width="18.00390625" style="24" customWidth="1"/>
    <col min="5" max="5" width="18.875" style="24" customWidth="1"/>
    <col min="6" max="6" width="18.00390625" style="24" customWidth="1"/>
    <col min="7" max="7" width="18.875" style="24" customWidth="1"/>
    <col min="8" max="8" width="19.625" style="2" hidden="1" customWidth="1"/>
    <col min="9" max="16384" width="13.50390625" style="2" customWidth="1"/>
  </cols>
  <sheetData>
    <row r="1" spans="1:7" s="1" customFormat="1" ht="25.5" customHeight="1">
      <c r="A1" s="54" t="s">
        <v>60</v>
      </c>
      <c r="B1" s="54"/>
      <c r="C1" s="54"/>
      <c r="D1" s="54"/>
      <c r="E1" s="54"/>
      <c r="F1" s="54"/>
      <c r="G1" s="54"/>
    </row>
    <row r="2" spans="1:7" s="1" customFormat="1" ht="29.25" customHeight="1">
      <c r="A2" s="61" t="s">
        <v>61</v>
      </c>
      <c r="B2" s="61"/>
      <c r="C2" s="61"/>
      <c r="D2" s="61"/>
      <c r="E2" s="61"/>
      <c r="F2" s="61"/>
      <c r="G2" s="61"/>
    </row>
    <row r="3" spans="1:7" s="1" customFormat="1" ht="21.75" customHeight="1">
      <c r="A3" s="55" t="s">
        <v>72</v>
      </c>
      <c r="B3" s="55"/>
      <c r="C3" s="55"/>
      <c r="D3" s="55"/>
      <c r="E3" s="55"/>
      <c r="F3" s="55"/>
      <c r="G3" s="55"/>
    </row>
    <row r="4" spans="1:7" s="5" customFormat="1" ht="2.25" customHeight="1" thickBot="1">
      <c r="A4" s="60"/>
      <c r="B4" s="60"/>
      <c r="C4" s="60"/>
      <c r="D4" s="60"/>
      <c r="E4" s="60"/>
      <c r="F4" s="60"/>
      <c r="G4" s="60"/>
    </row>
    <row r="5" spans="1:7" s="6" customFormat="1" ht="30" customHeight="1">
      <c r="A5" s="36" t="s">
        <v>64</v>
      </c>
      <c r="B5" s="36"/>
      <c r="C5" s="56" t="s">
        <v>65</v>
      </c>
      <c r="D5" s="56" t="s">
        <v>62</v>
      </c>
      <c r="E5" s="56" t="s">
        <v>66</v>
      </c>
      <c r="F5" s="56" t="s">
        <v>67</v>
      </c>
      <c r="G5" s="58" t="s">
        <v>68</v>
      </c>
    </row>
    <row r="6" spans="1:7" s="6" customFormat="1" ht="30" customHeight="1">
      <c r="A6" s="25" t="s">
        <v>69</v>
      </c>
      <c r="B6" s="26" t="s">
        <v>70</v>
      </c>
      <c r="C6" s="57"/>
      <c r="D6" s="57"/>
      <c r="E6" s="57"/>
      <c r="F6" s="57"/>
      <c r="G6" s="59"/>
    </row>
    <row r="7" spans="1:7" ht="57" customHeight="1">
      <c r="A7" s="37"/>
      <c r="B7" s="38" t="s">
        <v>0</v>
      </c>
      <c r="C7" s="43">
        <f>SUM(C8:C19)</f>
        <v>38367478924</v>
      </c>
      <c r="D7" s="43">
        <f>SUM(D8:D19)</f>
        <v>23118295783</v>
      </c>
      <c r="E7" s="43">
        <f>SUM(E8:E19)</f>
        <v>236341164745</v>
      </c>
      <c r="F7" s="43">
        <f>SUM(F8:F19)</f>
        <v>4027217852</v>
      </c>
      <c r="G7" s="44">
        <f aca="true" t="shared" si="0" ref="G7:G19">SUM(C7+D7+E7+F7)</f>
        <v>301854157304</v>
      </c>
    </row>
    <row r="8" spans="1:8" s="3" customFormat="1" ht="57" customHeight="1">
      <c r="A8" s="48">
        <v>2</v>
      </c>
      <c r="B8" s="39" t="s">
        <v>1</v>
      </c>
      <c r="C8" s="45">
        <f>Sheet1!C4</f>
        <v>512693169</v>
      </c>
      <c r="D8" s="45">
        <f>Sheet1!E4</f>
        <v>774361045</v>
      </c>
      <c r="E8" s="45">
        <f>Sheet1!G4</f>
        <v>5982571781</v>
      </c>
      <c r="F8" s="45">
        <f>Sheet1!I4</f>
        <v>71079550</v>
      </c>
      <c r="G8" s="46">
        <f t="shared" si="0"/>
        <v>7340705545</v>
      </c>
      <c r="H8" s="34">
        <f>Sheet1!K4</f>
        <v>7340705545</v>
      </c>
    </row>
    <row r="9" spans="1:8" s="3" customFormat="1" ht="57" customHeight="1">
      <c r="A9" s="48">
        <v>7</v>
      </c>
      <c r="B9" s="40" t="s">
        <v>2</v>
      </c>
      <c r="C9" s="45">
        <f>Sheet1!C13</f>
        <v>1638867327</v>
      </c>
      <c r="D9" s="45">
        <f>Sheet1!E13</f>
        <v>3031272373</v>
      </c>
      <c r="E9" s="45">
        <f>Sheet1!G13</f>
        <v>42826351447</v>
      </c>
      <c r="F9" s="45">
        <f>Sheet1!I13</f>
        <v>561481770</v>
      </c>
      <c r="G9" s="46">
        <f t="shared" si="0"/>
        <v>48057972917</v>
      </c>
      <c r="H9" s="34">
        <f>Sheet1!K13</f>
        <v>48057972917</v>
      </c>
    </row>
    <row r="10" spans="1:8" s="3" customFormat="1" ht="57" customHeight="1">
      <c r="A10" s="48">
        <v>9</v>
      </c>
      <c r="B10" s="40" t="s">
        <v>63</v>
      </c>
      <c r="C10" s="45">
        <f>Sheet1!C20</f>
        <v>0</v>
      </c>
      <c r="D10" s="45">
        <f>Sheet1!E20</f>
        <v>0</v>
      </c>
      <c r="E10" s="45">
        <f>Sheet1!G20</f>
        <v>149550723</v>
      </c>
      <c r="F10" s="45">
        <f>Sheet1!I20</f>
        <v>0</v>
      </c>
      <c r="G10" s="46">
        <f t="shared" si="0"/>
        <v>149550723</v>
      </c>
      <c r="H10" s="34">
        <f>Sheet1!K20</f>
        <v>149550723</v>
      </c>
    </row>
    <row r="11" spans="1:8" s="3" customFormat="1" ht="57" customHeight="1">
      <c r="A11" s="48">
        <v>10</v>
      </c>
      <c r="B11" s="40" t="s">
        <v>3</v>
      </c>
      <c r="C11" s="45">
        <f>Sheet1!C22</f>
        <v>2184591200</v>
      </c>
      <c r="D11" s="45">
        <f>Sheet1!E22</f>
        <v>1731592032</v>
      </c>
      <c r="E11" s="45">
        <f>Sheet1!G22</f>
        <v>7708348214</v>
      </c>
      <c r="F11" s="45">
        <f>Sheet1!I22</f>
        <v>113477236</v>
      </c>
      <c r="G11" s="46">
        <f t="shared" si="0"/>
        <v>11738008682</v>
      </c>
      <c r="H11" s="34">
        <f>Sheet1!K22</f>
        <v>11738008682</v>
      </c>
    </row>
    <row r="12" spans="1:8" s="3" customFormat="1" ht="57" customHeight="1">
      <c r="A12" s="48">
        <v>11</v>
      </c>
      <c r="B12" s="40" t="s">
        <v>4</v>
      </c>
      <c r="C12" s="45">
        <f>Sheet1!C25</f>
        <v>815943371</v>
      </c>
      <c r="D12" s="45">
        <f>Sheet1!E25</f>
        <v>864318265</v>
      </c>
      <c r="E12" s="45">
        <f>Sheet1!G25</f>
        <v>11322461977</v>
      </c>
      <c r="F12" s="45">
        <f>Sheet1!I25</f>
        <v>250952751</v>
      </c>
      <c r="G12" s="46">
        <f t="shared" si="0"/>
        <v>13253676364</v>
      </c>
      <c r="H12" s="34">
        <f>Sheet1!K25</f>
        <v>13253676364</v>
      </c>
    </row>
    <row r="13" spans="1:8" ht="57" customHeight="1">
      <c r="A13" s="49">
        <v>12</v>
      </c>
      <c r="B13" s="40" t="s">
        <v>11</v>
      </c>
      <c r="C13" s="45">
        <f>Sheet1!C27</f>
        <v>2052335</v>
      </c>
      <c r="D13" s="45">
        <f>Sheet1!E27</f>
        <v>2084480</v>
      </c>
      <c r="E13" s="45">
        <f>Sheet1!G27</f>
        <v>49980441</v>
      </c>
      <c r="F13" s="45">
        <f>Sheet1!I27</f>
        <v>0</v>
      </c>
      <c r="G13" s="46">
        <f t="shared" si="0"/>
        <v>54117256</v>
      </c>
      <c r="H13" s="34">
        <f>Sheet1!K27</f>
        <v>54117256</v>
      </c>
    </row>
    <row r="14" spans="1:8" ht="57" customHeight="1">
      <c r="A14" s="49">
        <v>13</v>
      </c>
      <c r="B14" s="40" t="s">
        <v>5</v>
      </c>
      <c r="C14" s="45">
        <f>Sheet1!C29</f>
        <v>614000000</v>
      </c>
      <c r="D14" s="45">
        <f>Sheet1!E29</f>
        <v>0</v>
      </c>
      <c r="E14" s="45">
        <f>Sheet1!G29</f>
        <v>768272586</v>
      </c>
      <c r="F14" s="45">
        <f>Sheet1!I29</f>
        <v>360169202</v>
      </c>
      <c r="G14" s="46">
        <f t="shared" si="0"/>
        <v>1742441788</v>
      </c>
      <c r="H14" s="34">
        <f>Sheet1!K29</f>
        <v>1742441788</v>
      </c>
    </row>
    <row r="15" spans="1:8" ht="57" customHeight="1">
      <c r="A15" s="49">
        <v>14</v>
      </c>
      <c r="B15" s="40" t="s">
        <v>6</v>
      </c>
      <c r="C15" s="45">
        <f>Sheet1!C33</f>
        <v>14677952307</v>
      </c>
      <c r="D15" s="45">
        <f>Sheet1!E33</f>
        <v>5767885924</v>
      </c>
      <c r="E15" s="45">
        <f>Sheet1!G33</f>
        <v>12342898425</v>
      </c>
      <c r="F15" s="45">
        <f>Sheet1!I33</f>
        <v>138709914</v>
      </c>
      <c r="G15" s="46">
        <f t="shared" si="0"/>
        <v>32927446570</v>
      </c>
      <c r="H15" s="34">
        <f>Sheet1!K33</f>
        <v>32927446570</v>
      </c>
    </row>
    <row r="16" spans="1:8" ht="57" customHeight="1">
      <c r="A16" s="49">
        <v>20</v>
      </c>
      <c r="B16" s="41" t="s">
        <v>75</v>
      </c>
      <c r="C16" s="45">
        <f>Sheet1!C39</f>
        <v>2044881373</v>
      </c>
      <c r="D16" s="45">
        <f>Sheet1!E39</f>
        <v>2473971</v>
      </c>
      <c r="E16" s="45">
        <f>Sheet1!G39</f>
        <v>2870044452</v>
      </c>
      <c r="F16" s="45">
        <f>Sheet1!I39</f>
        <v>55582375</v>
      </c>
      <c r="G16" s="46">
        <f t="shared" si="0"/>
        <v>4972982171</v>
      </c>
      <c r="H16" s="34">
        <f>Sheet1!K39</f>
        <v>4972982171</v>
      </c>
    </row>
    <row r="17" spans="1:8" ht="57" customHeight="1">
      <c r="A17" s="49">
        <v>22</v>
      </c>
      <c r="B17" s="40" t="s">
        <v>8</v>
      </c>
      <c r="C17" s="45">
        <f>Sheet1!C46</f>
        <v>0</v>
      </c>
      <c r="D17" s="45">
        <f>Sheet1!E46</f>
        <v>0</v>
      </c>
      <c r="E17" s="45">
        <f>Sheet1!G46</f>
        <v>424279967</v>
      </c>
      <c r="F17" s="45">
        <f>Sheet1!I46</f>
        <v>179831883</v>
      </c>
      <c r="G17" s="46">
        <f t="shared" si="0"/>
        <v>604111850</v>
      </c>
      <c r="H17" s="34">
        <f>Sheet1!K46</f>
        <v>604111850</v>
      </c>
    </row>
    <row r="18" spans="1:8" ht="57" customHeight="1">
      <c r="A18" s="49">
        <v>23</v>
      </c>
      <c r="B18" s="41" t="s">
        <v>73</v>
      </c>
      <c r="C18" s="45">
        <f>Sheet1!C48</f>
        <v>1166503</v>
      </c>
      <c r="D18" s="45">
        <f>Sheet1!E48</f>
        <v>33557693</v>
      </c>
      <c r="E18" s="45">
        <f>Sheet1!G48</f>
        <v>4913281728</v>
      </c>
      <c r="F18" s="45">
        <f>Sheet1!I48</f>
        <v>50111921</v>
      </c>
      <c r="G18" s="46">
        <f t="shared" si="0"/>
        <v>4998117845</v>
      </c>
      <c r="H18" s="34">
        <f>Sheet1!K48</f>
        <v>4998117845</v>
      </c>
    </row>
    <row r="19" spans="1:8" ht="57" customHeight="1" thickBot="1">
      <c r="A19" s="50">
        <v>25</v>
      </c>
      <c r="B19" s="42" t="s">
        <v>74</v>
      </c>
      <c r="C19" s="47">
        <f>Sheet1!C50</f>
        <v>15875331339</v>
      </c>
      <c r="D19" s="47">
        <f>Sheet1!E50</f>
        <v>10910750000</v>
      </c>
      <c r="E19" s="51">
        <f>Sheet1!G50</f>
        <v>146983123004</v>
      </c>
      <c r="F19" s="47">
        <f>Sheet1!I50</f>
        <v>2245821250</v>
      </c>
      <c r="G19" s="52">
        <f t="shared" si="0"/>
        <v>176015025593</v>
      </c>
      <c r="H19" s="35">
        <f>Sheet1!K50</f>
        <v>176015025593</v>
      </c>
    </row>
    <row r="20" spans="1:7" ht="6" customHeight="1">
      <c r="A20" s="4"/>
      <c r="B20" s="7"/>
      <c r="C20" s="22"/>
      <c r="D20" s="22"/>
      <c r="E20" s="23"/>
      <c r="F20" s="23"/>
      <c r="G20" s="23"/>
    </row>
    <row r="21" spans="1:7" ht="45" customHeight="1">
      <c r="A21" s="53" t="s">
        <v>76</v>
      </c>
      <c r="B21" s="53"/>
      <c r="C21" s="53"/>
      <c r="D21" s="53"/>
      <c r="E21" s="53"/>
      <c r="F21" s="53"/>
      <c r="G21" s="53"/>
    </row>
  </sheetData>
  <mergeCells count="10">
    <mergeCell ref="A21:G21"/>
    <mergeCell ref="A1:G1"/>
    <mergeCell ref="A3:G3"/>
    <mergeCell ref="F5:F6"/>
    <mergeCell ref="G5:G6"/>
    <mergeCell ref="E5:E6"/>
    <mergeCell ref="C5:C6"/>
    <mergeCell ref="D5:D6"/>
    <mergeCell ref="A4:G4"/>
    <mergeCell ref="A2:G2"/>
  </mergeCells>
  <printOptions horizontalCentered="1" verticalCentered="1"/>
  <pageMargins left="0.4724409448818898" right="0.4724409448818898" top="0.8267716535433072" bottom="0.8661417322834646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9.00390625" defaultRowHeight="16.5"/>
  <cols>
    <col min="1" max="1" width="31.875" style="8" customWidth="1"/>
    <col min="2" max="2" width="14.75390625" style="16" hidden="1" customWidth="1"/>
    <col min="3" max="3" width="14.75390625" style="8" customWidth="1"/>
    <col min="4" max="4" width="14.75390625" style="16" hidden="1" customWidth="1"/>
    <col min="5" max="5" width="14.75390625" style="8" customWidth="1"/>
    <col min="6" max="6" width="15.875" style="16" hidden="1" customWidth="1"/>
    <col min="7" max="7" width="15.375" style="8" customWidth="1"/>
    <col min="8" max="8" width="13.625" style="16" hidden="1" customWidth="1"/>
    <col min="9" max="9" width="14.75390625" style="8" customWidth="1"/>
    <col min="10" max="10" width="15.875" style="16" hidden="1" customWidth="1"/>
    <col min="11" max="11" width="15.875" style="8" customWidth="1"/>
    <col min="12" max="16384" width="9.00390625" style="8" customWidth="1"/>
  </cols>
  <sheetData>
    <row r="1" ht="16.5">
      <c r="A1" s="8" t="s">
        <v>58</v>
      </c>
    </row>
    <row r="2" spans="1:11" s="11" customFormat="1" ht="16.5">
      <c r="A2" s="9" t="s">
        <v>13</v>
      </c>
      <c r="B2" s="18" t="s">
        <v>14</v>
      </c>
      <c r="C2" s="18" t="s">
        <v>14</v>
      </c>
      <c r="D2" s="18" t="s">
        <v>15</v>
      </c>
      <c r="E2" s="18" t="s">
        <v>15</v>
      </c>
      <c r="F2" s="18" t="s">
        <v>16</v>
      </c>
      <c r="G2" s="18" t="s">
        <v>16</v>
      </c>
      <c r="H2" s="18" t="s">
        <v>17</v>
      </c>
      <c r="I2" s="18" t="s">
        <v>17</v>
      </c>
      <c r="J2" s="17" t="s">
        <v>18</v>
      </c>
      <c r="K2" s="17" t="s">
        <v>18</v>
      </c>
    </row>
    <row r="3" spans="1:11" s="11" customFormat="1" ht="16.5">
      <c r="A3" s="12" t="s">
        <v>59</v>
      </c>
      <c r="B3" s="18">
        <f>SUM(B4:B54)/2</f>
        <v>40357739</v>
      </c>
      <c r="C3" s="10">
        <f>C4+C13+C20+C22+C25+C27+C29+C33+C37+C39+C46+C48+C50</f>
        <v>38367478924</v>
      </c>
      <c r="D3" s="18">
        <f>SUM(D4:D54)/2</f>
        <v>24262900</v>
      </c>
      <c r="E3" s="10">
        <f>E4+E13+E20+E22+E25+E27+E29+E33+E37+E39+E46+E48+E50</f>
        <v>23118295783</v>
      </c>
      <c r="F3" s="18">
        <f>SUM(F4:F54)/2</f>
        <v>257274448</v>
      </c>
      <c r="G3" s="10">
        <f>G4+G13+G20+G22+G25+G27+G29+G33+G37+G39+G46+G48+G50</f>
        <v>236341164745</v>
      </c>
      <c r="H3" s="18">
        <f>SUM(H4:H54)/2</f>
        <v>4479324</v>
      </c>
      <c r="I3" s="10">
        <f>I4+I13+I20+I22+I25+I27+I29+I33+I37+I39+I46+I48+I50</f>
        <v>4027217852</v>
      </c>
      <c r="J3" s="18">
        <v>326374411</v>
      </c>
      <c r="K3" s="10">
        <f>K4+K13+K20+K22+K25+K27+K29+K33+K37+K39+K46+K48+K50</f>
        <v>301854157304</v>
      </c>
    </row>
    <row r="4" spans="1:11" s="16" customFormat="1" ht="16.5">
      <c r="A4" s="19" t="s">
        <v>1</v>
      </c>
      <c r="B4" s="19">
        <v>212486</v>
      </c>
      <c r="C4" s="19">
        <f>SUM(C5:C12)</f>
        <v>512693169</v>
      </c>
      <c r="D4" s="19">
        <v>1007964</v>
      </c>
      <c r="E4" s="19">
        <f>SUM(E5:E12)</f>
        <v>774361045</v>
      </c>
      <c r="F4" s="19">
        <v>6680665</v>
      </c>
      <c r="G4" s="19">
        <f>SUM(G5:G12)</f>
        <v>5982571781</v>
      </c>
      <c r="H4" s="19">
        <v>105960</v>
      </c>
      <c r="I4" s="19">
        <f>SUM(I5:I12)</f>
        <v>71079550</v>
      </c>
      <c r="J4" s="19">
        <v>8007075</v>
      </c>
      <c r="K4" s="19">
        <f>SUM(K5:K12)</f>
        <v>7340705545</v>
      </c>
    </row>
    <row r="5" spans="1:11" ht="16.5">
      <c r="A5" s="21" t="s">
        <v>19</v>
      </c>
      <c r="B5" s="19"/>
      <c r="C5" s="13">
        <v>0</v>
      </c>
      <c r="D5" s="19"/>
      <c r="E5" s="13">
        <v>0</v>
      </c>
      <c r="F5" s="19">
        <v>165000</v>
      </c>
      <c r="G5" s="13">
        <v>165000000</v>
      </c>
      <c r="H5" s="19"/>
      <c r="I5" s="13">
        <v>0</v>
      </c>
      <c r="J5" s="19">
        <v>165000</v>
      </c>
      <c r="K5" s="13">
        <f>I5+G5+E5+C5</f>
        <v>165000000</v>
      </c>
    </row>
    <row r="6" spans="1:11" ht="16.5">
      <c r="A6" s="21" t="s">
        <v>20</v>
      </c>
      <c r="B6" s="19"/>
      <c r="C6" s="13">
        <v>0</v>
      </c>
      <c r="D6" s="19"/>
      <c r="E6" s="13">
        <v>0</v>
      </c>
      <c r="F6" s="19">
        <v>15800</v>
      </c>
      <c r="G6" s="27">
        <f>12660000-6000000</f>
        <v>6660000</v>
      </c>
      <c r="H6" s="19"/>
      <c r="I6" s="13">
        <v>0</v>
      </c>
      <c r="J6" s="19">
        <v>15800</v>
      </c>
      <c r="K6" s="13">
        <f aca="true" t="shared" si="0" ref="K6:K12">I6+G6+E6+C6</f>
        <v>6660000</v>
      </c>
    </row>
    <row r="7" spans="1:11" ht="16.5">
      <c r="A7" s="21" t="s">
        <v>21</v>
      </c>
      <c r="B7" s="19">
        <v>38000</v>
      </c>
      <c r="C7" s="27">
        <f>31722170-1913182</f>
        <v>29808988</v>
      </c>
      <c r="D7" s="19">
        <v>38460</v>
      </c>
      <c r="E7" s="13">
        <v>31956640</v>
      </c>
      <c r="F7" s="19">
        <v>2045533</v>
      </c>
      <c r="G7" s="27">
        <f>2018757037-400000</f>
        <v>2018357037</v>
      </c>
      <c r="H7" s="19">
        <v>45200</v>
      </c>
      <c r="I7" s="13">
        <v>68557108</v>
      </c>
      <c r="J7" s="19">
        <v>2167193</v>
      </c>
      <c r="K7" s="13">
        <f t="shared" si="0"/>
        <v>2148679773</v>
      </c>
    </row>
    <row r="8" spans="1:11" ht="16.5">
      <c r="A8" s="21" t="s">
        <v>22</v>
      </c>
      <c r="B8" s="19">
        <v>3750</v>
      </c>
      <c r="C8" s="13">
        <v>0</v>
      </c>
      <c r="D8" s="19">
        <v>3750</v>
      </c>
      <c r="E8" s="13">
        <v>675000</v>
      </c>
      <c r="F8" s="19">
        <v>40000</v>
      </c>
      <c r="G8" s="13">
        <v>33630262</v>
      </c>
      <c r="H8" s="19">
        <v>500</v>
      </c>
      <c r="I8" s="13">
        <v>0</v>
      </c>
      <c r="J8" s="19">
        <v>48000</v>
      </c>
      <c r="K8" s="13">
        <f t="shared" si="0"/>
        <v>34305262</v>
      </c>
    </row>
    <row r="9" spans="1:11" ht="16.5">
      <c r="A9" s="21" t="s">
        <v>23</v>
      </c>
      <c r="B9" s="19"/>
      <c r="C9" s="13">
        <v>0</v>
      </c>
      <c r="D9" s="19"/>
      <c r="E9" s="13">
        <v>0</v>
      </c>
      <c r="F9" s="19">
        <v>3500</v>
      </c>
      <c r="G9" s="13">
        <v>3500000</v>
      </c>
      <c r="H9" s="19"/>
      <c r="I9" s="13">
        <v>0</v>
      </c>
      <c r="J9" s="19">
        <v>3500</v>
      </c>
      <c r="K9" s="13">
        <f t="shared" si="0"/>
        <v>3500000</v>
      </c>
    </row>
    <row r="10" spans="1:11" ht="16.5">
      <c r="A10" s="21" t="s">
        <v>24</v>
      </c>
      <c r="B10" s="19">
        <v>15636</v>
      </c>
      <c r="C10" s="27">
        <f>13864665-2567607</f>
        <v>11297058</v>
      </c>
      <c r="D10" s="19">
        <v>15234</v>
      </c>
      <c r="E10" s="13">
        <v>13499630</v>
      </c>
      <c r="F10" s="19">
        <v>3232547</v>
      </c>
      <c r="G10" s="27">
        <f>2616187763-134406047</f>
        <v>2481781716</v>
      </c>
      <c r="H10" s="28">
        <v>260</v>
      </c>
      <c r="I10" s="27">
        <f>380000-297000</f>
        <v>83000</v>
      </c>
      <c r="J10" s="19">
        <v>3263677</v>
      </c>
      <c r="K10" s="13">
        <f t="shared" si="0"/>
        <v>2506661404</v>
      </c>
    </row>
    <row r="11" spans="1:11" ht="16.5">
      <c r="A11" s="21" t="s">
        <v>25</v>
      </c>
      <c r="B11" s="19">
        <v>120000</v>
      </c>
      <c r="C11" s="27">
        <f>478461614-13097538</f>
        <v>465364076</v>
      </c>
      <c r="D11" s="19">
        <v>915420</v>
      </c>
      <c r="E11" s="13">
        <v>637320345</v>
      </c>
      <c r="F11" s="19">
        <v>780300</v>
      </c>
      <c r="G11" s="27">
        <f>908406818-179531</f>
        <v>908227287</v>
      </c>
      <c r="H11" s="19">
        <v>60000</v>
      </c>
      <c r="I11" s="13">
        <v>2439442</v>
      </c>
      <c r="J11" s="19">
        <v>1875720</v>
      </c>
      <c r="K11" s="13">
        <f t="shared" si="0"/>
        <v>2013351150</v>
      </c>
    </row>
    <row r="12" spans="1:11" ht="16.5">
      <c r="A12" s="21" t="s">
        <v>26</v>
      </c>
      <c r="B12" s="19">
        <v>35100</v>
      </c>
      <c r="C12" s="13">
        <v>6223047</v>
      </c>
      <c r="D12" s="19">
        <v>35100</v>
      </c>
      <c r="E12" s="13">
        <v>90909430</v>
      </c>
      <c r="F12" s="19">
        <v>397985</v>
      </c>
      <c r="G12" s="13">
        <v>365415479</v>
      </c>
      <c r="H12" s="19"/>
      <c r="I12" s="13"/>
      <c r="J12" s="19">
        <v>468185</v>
      </c>
      <c r="K12" s="13">
        <f t="shared" si="0"/>
        <v>462547956</v>
      </c>
    </row>
    <row r="13" spans="1:11" s="16" customFormat="1" ht="16.5">
      <c r="A13" s="19" t="s">
        <v>2</v>
      </c>
      <c r="B13" s="19">
        <v>3495959</v>
      </c>
      <c r="C13" s="19">
        <f>SUM(C14:C19)</f>
        <v>1638867327</v>
      </c>
      <c r="D13" s="19">
        <v>3850612</v>
      </c>
      <c r="E13" s="19">
        <f>SUM(E14:E19)</f>
        <v>3031272373</v>
      </c>
      <c r="F13" s="19">
        <v>43325087</v>
      </c>
      <c r="G13" s="19">
        <f>SUM(G14:G19)</f>
        <v>42826351447</v>
      </c>
      <c r="H13" s="19">
        <v>619375</v>
      </c>
      <c r="I13" s="19">
        <f>SUM(I14:I19)</f>
        <v>561481770</v>
      </c>
      <c r="J13" s="19">
        <v>51291033</v>
      </c>
      <c r="K13" s="19">
        <f>SUM(K14:K19)</f>
        <v>48057972917</v>
      </c>
    </row>
    <row r="14" spans="1:11" ht="16.5">
      <c r="A14" s="21" t="s">
        <v>27</v>
      </c>
      <c r="B14" s="19">
        <v>2404575</v>
      </c>
      <c r="C14" s="27">
        <v>1282546916</v>
      </c>
      <c r="D14" s="28">
        <v>1862364</v>
      </c>
      <c r="E14" s="27">
        <v>1631025061</v>
      </c>
      <c r="F14" s="28">
        <v>19173630</v>
      </c>
      <c r="G14" s="27">
        <v>17539858151</v>
      </c>
      <c r="H14" s="28">
        <v>162472</v>
      </c>
      <c r="I14" s="27">
        <v>65326875</v>
      </c>
      <c r="J14" s="19">
        <v>23603041</v>
      </c>
      <c r="K14" s="13">
        <f aca="true" t="shared" si="1" ref="K14:K19">I14+G14+E14+C14</f>
        <v>20518757003</v>
      </c>
    </row>
    <row r="15" spans="1:11" ht="16.5">
      <c r="A15" s="21" t="s">
        <v>28</v>
      </c>
      <c r="B15" s="19">
        <v>823200</v>
      </c>
      <c r="C15" s="13">
        <v>112858273</v>
      </c>
      <c r="D15" s="19">
        <v>1788400</v>
      </c>
      <c r="E15" s="13">
        <v>1205654792</v>
      </c>
      <c r="F15" s="19">
        <v>20762507</v>
      </c>
      <c r="G15" s="13">
        <v>21912079996</v>
      </c>
      <c r="H15" s="19">
        <v>439290</v>
      </c>
      <c r="I15" s="13">
        <v>481429805</v>
      </c>
      <c r="J15" s="19">
        <v>23813397</v>
      </c>
      <c r="K15" s="13">
        <f t="shared" si="1"/>
        <v>23712022866</v>
      </c>
    </row>
    <row r="16" spans="1:11" ht="16.5">
      <c r="A16" s="21" t="s">
        <v>29</v>
      </c>
      <c r="B16" s="19">
        <v>4663</v>
      </c>
      <c r="C16" s="13">
        <v>2945263</v>
      </c>
      <c r="D16" s="19">
        <v>5322</v>
      </c>
      <c r="E16" s="13">
        <v>1905150</v>
      </c>
      <c r="F16" s="19">
        <v>266784</v>
      </c>
      <c r="G16" s="13">
        <v>229178049</v>
      </c>
      <c r="H16" s="19">
        <v>1408</v>
      </c>
      <c r="I16" s="13">
        <v>2230088</v>
      </c>
      <c r="J16" s="19">
        <v>278177</v>
      </c>
      <c r="K16" s="13">
        <f t="shared" si="1"/>
        <v>236258550</v>
      </c>
    </row>
    <row r="17" spans="1:11" ht="16.5">
      <c r="A17" s="21" t="s">
        <v>30</v>
      </c>
      <c r="B17" s="19">
        <v>43179</v>
      </c>
      <c r="C17" s="13">
        <v>55750917</v>
      </c>
      <c r="D17" s="19">
        <v>30160</v>
      </c>
      <c r="E17" s="13">
        <v>30405999</v>
      </c>
      <c r="F17" s="19">
        <v>560511</v>
      </c>
      <c r="G17" s="13">
        <v>516805869</v>
      </c>
      <c r="H17" s="19">
        <v>9449</v>
      </c>
      <c r="I17" s="13">
        <v>8448891</v>
      </c>
      <c r="J17" s="19">
        <v>643299</v>
      </c>
      <c r="K17" s="13">
        <f t="shared" si="1"/>
        <v>611411676</v>
      </c>
    </row>
    <row r="18" spans="1:11" ht="16.5">
      <c r="A18" s="21" t="s">
        <v>31</v>
      </c>
      <c r="B18" s="19">
        <v>700</v>
      </c>
      <c r="C18" s="13">
        <v>597038</v>
      </c>
      <c r="D18" s="19">
        <v>600</v>
      </c>
      <c r="E18" s="13">
        <v>600000</v>
      </c>
      <c r="F18" s="19">
        <v>9377</v>
      </c>
      <c r="G18" s="13">
        <v>8449413</v>
      </c>
      <c r="H18" s="19">
        <v>220</v>
      </c>
      <c r="I18" s="13">
        <v>196335</v>
      </c>
      <c r="J18" s="19">
        <v>10897</v>
      </c>
      <c r="K18" s="13">
        <f t="shared" si="1"/>
        <v>9842786</v>
      </c>
    </row>
    <row r="19" spans="1:11" ht="16.5">
      <c r="A19" s="21" t="s">
        <v>32</v>
      </c>
      <c r="B19" s="19">
        <v>219642</v>
      </c>
      <c r="C19" s="27">
        <f>187469543-3300623</f>
        <v>184168920</v>
      </c>
      <c r="D19" s="28">
        <v>163766</v>
      </c>
      <c r="E19" s="27">
        <f>166112558-4431187</f>
        <v>161681371</v>
      </c>
      <c r="F19" s="28">
        <v>2552278</v>
      </c>
      <c r="G19" s="27">
        <f>2641582509-21602540</f>
        <v>2619979969</v>
      </c>
      <c r="H19" s="19">
        <v>6536</v>
      </c>
      <c r="I19" s="27">
        <f>3968426-118650</f>
        <v>3849776</v>
      </c>
      <c r="J19" s="19">
        <v>2942222</v>
      </c>
      <c r="K19" s="13">
        <f t="shared" si="1"/>
        <v>2969680036</v>
      </c>
    </row>
    <row r="20" spans="1:11" s="16" customFormat="1" ht="16.5">
      <c r="A20" s="19" t="s">
        <v>33</v>
      </c>
      <c r="B20" s="19"/>
      <c r="C20" s="19">
        <f>C21</f>
        <v>0</v>
      </c>
      <c r="D20" s="19"/>
      <c r="E20" s="19">
        <f>E21</f>
        <v>0</v>
      </c>
      <c r="F20" s="19">
        <v>162000</v>
      </c>
      <c r="G20" s="19">
        <f>G21</f>
        <v>149550723</v>
      </c>
      <c r="H20" s="19"/>
      <c r="I20" s="19">
        <f>I21</f>
        <v>0</v>
      </c>
      <c r="J20" s="19">
        <v>162000</v>
      </c>
      <c r="K20" s="19">
        <f>K21</f>
        <v>149550723</v>
      </c>
    </row>
    <row r="21" spans="1:11" ht="16.5">
      <c r="A21" s="21" t="s">
        <v>34</v>
      </c>
      <c r="B21" s="19"/>
      <c r="C21" s="13">
        <v>0</v>
      </c>
      <c r="D21" s="19"/>
      <c r="E21" s="13">
        <v>0</v>
      </c>
      <c r="F21" s="19">
        <v>162000</v>
      </c>
      <c r="G21" s="27">
        <f>150756640-1205917</f>
        <v>149550723</v>
      </c>
      <c r="H21" s="19"/>
      <c r="I21" s="13">
        <v>0</v>
      </c>
      <c r="J21" s="19">
        <v>162000</v>
      </c>
      <c r="K21" s="13">
        <f>I21+G21+E21+C21</f>
        <v>149550723</v>
      </c>
    </row>
    <row r="22" spans="1:11" s="16" customFormat="1" ht="16.5">
      <c r="A22" s="19" t="s">
        <v>3</v>
      </c>
      <c r="B22" s="19">
        <v>2323493</v>
      </c>
      <c r="C22" s="19">
        <f>SUM(C23:C24)</f>
        <v>2184591200</v>
      </c>
      <c r="D22" s="19">
        <v>697071</v>
      </c>
      <c r="E22" s="19">
        <f>SUM(E23:E24)</f>
        <v>1731592032</v>
      </c>
      <c r="F22" s="19">
        <v>8657263</v>
      </c>
      <c r="G22" s="19">
        <f>SUM(G23:G24)</f>
        <v>7708348214</v>
      </c>
      <c r="H22" s="19">
        <v>117965</v>
      </c>
      <c r="I22" s="19">
        <f>SUM(I23:I24)</f>
        <v>113477236</v>
      </c>
      <c r="J22" s="19">
        <v>11795792</v>
      </c>
      <c r="K22" s="19">
        <f>SUM(K23:K24)</f>
        <v>11738008682</v>
      </c>
    </row>
    <row r="23" spans="1:11" ht="16.5">
      <c r="A23" s="21" t="s">
        <v>35</v>
      </c>
      <c r="B23" s="19">
        <v>2323493</v>
      </c>
      <c r="C23" s="13">
        <v>2184591200</v>
      </c>
      <c r="D23" s="19">
        <v>697071</v>
      </c>
      <c r="E23" s="13">
        <v>656818032</v>
      </c>
      <c r="F23" s="19">
        <v>7458844</v>
      </c>
      <c r="G23" s="13">
        <v>7019983214</v>
      </c>
      <c r="H23" s="19">
        <v>117965</v>
      </c>
      <c r="I23" s="13">
        <v>111015236</v>
      </c>
      <c r="J23" s="19">
        <v>10597373</v>
      </c>
      <c r="K23" s="13">
        <f>I23+G23+E23+C23</f>
        <v>9972407682</v>
      </c>
    </row>
    <row r="24" spans="1:11" ht="16.5">
      <c r="A24" s="21" t="s">
        <v>36</v>
      </c>
      <c r="B24" s="19"/>
      <c r="C24" s="13"/>
      <c r="D24" s="19"/>
      <c r="E24" s="13">
        <v>1074774000</v>
      </c>
      <c r="F24" s="19">
        <v>1198419</v>
      </c>
      <c r="G24" s="13">
        <v>688365000</v>
      </c>
      <c r="H24" s="19"/>
      <c r="I24" s="13">
        <v>2462000</v>
      </c>
      <c r="J24" s="19">
        <v>1198419</v>
      </c>
      <c r="K24" s="13">
        <f>I24+G24+E24+C24</f>
        <v>1765601000</v>
      </c>
    </row>
    <row r="25" spans="1:11" s="16" customFormat="1" ht="16.5">
      <c r="A25" s="19" t="s">
        <v>4</v>
      </c>
      <c r="B25" s="19">
        <v>693403</v>
      </c>
      <c r="C25" s="19">
        <f>C26</f>
        <v>815943371</v>
      </c>
      <c r="D25" s="19">
        <v>775701</v>
      </c>
      <c r="E25" s="19">
        <f>E26</f>
        <v>864318265</v>
      </c>
      <c r="F25" s="19">
        <v>10959122</v>
      </c>
      <c r="G25" s="19">
        <f>G26</f>
        <v>11322461977</v>
      </c>
      <c r="H25" s="19">
        <v>341394</v>
      </c>
      <c r="I25" s="19">
        <f>I26</f>
        <v>250952751</v>
      </c>
      <c r="J25" s="19">
        <v>12769620</v>
      </c>
      <c r="K25" s="19">
        <f>K26</f>
        <v>13253676364</v>
      </c>
    </row>
    <row r="26" spans="1:11" ht="16.5">
      <c r="A26" s="21" t="s">
        <v>37</v>
      </c>
      <c r="B26" s="19">
        <v>693403</v>
      </c>
      <c r="C26" s="27">
        <f>825713267-9769896</f>
        <v>815943371</v>
      </c>
      <c r="D26" s="19">
        <v>775701</v>
      </c>
      <c r="E26" s="27">
        <f>867467713-3149448</f>
        <v>864318265</v>
      </c>
      <c r="F26" s="28">
        <v>10959122</v>
      </c>
      <c r="G26" s="27">
        <f>11371129338-48667361</f>
        <v>11322461977</v>
      </c>
      <c r="H26" s="28">
        <v>341394</v>
      </c>
      <c r="I26" s="27">
        <f>254213100-3260349</f>
        <v>250952751</v>
      </c>
      <c r="J26" s="19">
        <v>12769620</v>
      </c>
      <c r="K26" s="13">
        <f>I26+G26+E26+C26</f>
        <v>13253676364</v>
      </c>
    </row>
    <row r="27" spans="1:11" s="16" customFormat="1" ht="16.5">
      <c r="A27" s="19" t="s">
        <v>11</v>
      </c>
      <c r="B27" s="19">
        <v>648</v>
      </c>
      <c r="C27" s="19">
        <f>C28</f>
        <v>2052335</v>
      </c>
      <c r="D27" s="19">
        <v>1166</v>
      </c>
      <c r="E27" s="19">
        <f>E28</f>
        <v>2084480</v>
      </c>
      <c r="F27" s="19">
        <v>24794</v>
      </c>
      <c r="G27" s="19">
        <f>G28</f>
        <v>49980441</v>
      </c>
      <c r="H27" s="19"/>
      <c r="I27" s="19">
        <f>I28</f>
        <v>0</v>
      </c>
      <c r="J27" s="19">
        <v>26608</v>
      </c>
      <c r="K27" s="19">
        <f>K28</f>
        <v>54117256</v>
      </c>
    </row>
    <row r="28" spans="1:11" ht="16.5">
      <c r="A28" s="21" t="s">
        <v>38</v>
      </c>
      <c r="B28" s="19">
        <v>648</v>
      </c>
      <c r="C28" s="13">
        <v>2052335</v>
      </c>
      <c r="D28" s="19">
        <v>1166</v>
      </c>
      <c r="E28" s="13">
        <v>2084480</v>
      </c>
      <c r="F28" s="19">
        <v>24794</v>
      </c>
      <c r="G28" s="13">
        <v>49980441</v>
      </c>
      <c r="H28" s="19"/>
      <c r="I28" s="13">
        <v>0</v>
      </c>
      <c r="J28" s="19">
        <v>26608</v>
      </c>
      <c r="K28" s="13">
        <f>I28+G28+E28+C28</f>
        <v>54117256</v>
      </c>
    </row>
    <row r="29" spans="1:11" s="16" customFormat="1" ht="16.5">
      <c r="A29" s="19" t="s">
        <v>5</v>
      </c>
      <c r="B29" s="19">
        <v>623000</v>
      </c>
      <c r="C29" s="19">
        <f>SUM(C30:C32)</f>
        <v>614000000</v>
      </c>
      <c r="D29" s="19"/>
      <c r="E29" s="19">
        <f>SUM(E30:E32)</f>
        <v>0</v>
      </c>
      <c r="F29" s="19">
        <v>1089393</v>
      </c>
      <c r="G29" s="19">
        <f>SUM(G30:G32)</f>
        <v>768272586</v>
      </c>
      <c r="H29" s="19">
        <v>577372</v>
      </c>
      <c r="I29" s="19">
        <f>SUM(I30:I32)</f>
        <v>360169202</v>
      </c>
      <c r="J29" s="19">
        <v>2289765</v>
      </c>
      <c r="K29" s="19">
        <f>SUM(K30:K32)</f>
        <v>1742441788</v>
      </c>
    </row>
    <row r="30" spans="1:11" ht="16.5">
      <c r="A30" s="21" t="s">
        <v>39</v>
      </c>
      <c r="B30" s="19"/>
      <c r="C30" s="13">
        <v>0</v>
      </c>
      <c r="D30" s="19"/>
      <c r="E30" s="13">
        <v>0</v>
      </c>
      <c r="F30" s="19">
        <v>61130</v>
      </c>
      <c r="G30" s="13">
        <v>31658286</v>
      </c>
      <c r="H30" s="19"/>
      <c r="I30" s="13">
        <v>0</v>
      </c>
      <c r="J30" s="19">
        <v>61130</v>
      </c>
      <c r="K30" s="13">
        <f>I30+G30+E30+C30</f>
        <v>31658286</v>
      </c>
    </row>
    <row r="31" spans="1:11" ht="16.5">
      <c r="A31" s="21" t="s">
        <v>40</v>
      </c>
      <c r="B31" s="19">
        <v>623000</v>
      </c>
      <c r="C31" s="13">
        <v>614000000</v>
      </c>
      <c r="D31" s="19"/>
      <c r="E31" s="13">
        <v>0</v>
      </c>
      <c r="F31" s="19">
        <v>824263</v>
      </c>
      <c r="G31" s="13">
        <v>548817118</v>
      </c>
      <c r="H31" s="19">
        <v>577372</v>
      </c>
      <c r="I31" s="27">
        <f>399169202-39000000</f>
        <v>360169202</v>
      </c>
      <c r="J31" s="19">
        <v>2024635</v>
      </c>
      <c r="K31" s="13">
        <f>I31+G31+E31+C31</f>
        <v>1522986320</v>
      </c>
    </row>
    <row r="32" spans="1:11" ht="16.5">
      <c r="A32" s="21" t="s">
        <v>41</v>
      </c>
      <c r="B32" s="19"/>
      <c r="C32" s="13">
        <v>0</v>
      </c>
      <c r="D32" s="19"/>
      <c r="E32" s="13">
        <v>0</v>
      </c>
      <c r="F32" s="19">
        <v>204000</v>
      </c>
      <c r="G32" s="13">
        <v>187797182</v>
      </c>
      <c r="H32" s="19"/>
      <c r="I32" s="13">
        <v>0</v>
      </c>
      <c r="J32" s="19">
        <v>204000</v>
      </c>
      <c r="K32" s="13">
        <f>I32+G32+E32+C32</f>
        <v>187797182</v>
      </c>
    </row>
    <row r="33" spans="1:11" s="16" customFormat="1" ht="16.5">
      <c r="A33" s="19" t="s">
        <v>6</v>
      </c>
      <c r="B33" s="19">
        <v>15466300</v>
      </c>
      <c r="C33" s="19">
        <f>SUM(C34:C36)</f>
        <v>14677952307</v>
      </c>
      <c r="D33" s="19">
        <v>6962226</v>
      </c>
      <c r="E33" s="19">
        <f>SUM(E34:E36)</f>
        <v>5767885924</v>
      </c>
      <c r="F33" s="19">
        <v>17261022</v>
      </c>
      <c r="G33" s="19">
        <f>SUM(G34:G36)</f>
        <v>12342898425</v>
      </c>
      <c r="H33" s="19">
        <v>148100</v>
      </c>
      <c r="I33" s="19">
        <f>SUM(I34:I36)</f>
        <v>138709914</v>
      </c>
      <c r="J33" s="19">
        <v>39837648</v>
      </c>
      <c r="K33" s="19">
        <f>SUM(K34:K36)</f>
        <v>32927446570</v>
      </c>
    </row>
    <row r="34" spans="1:11" ht="16.5">
      <c r="A34" s="21" t="s">
        <v>42</v>
      </c>
      <c r="B34" s="19">
        <v>15441300</v>
      </c>
      <c r="C34" s="13">
        <v>14650960926</v>
      </c>
      <c r="D34" s="19">
        <v>6937226</v>
      </c>
      <c r="E34" s="13">
        <v>5725517153</v>
      </c>
      <c r="F34" s="19">
        <v>3667000</v>
      </c>
      <c r="G34" s="27">
        <f>2836401356-923000000</f>
        <v>1913401356</v>
      </c>
      <c r="H34" s="19">
        <v>47000</v>
      </c>
      <c r="I34" s="13">
        <v>39176482</v>
      </c>
      <c r="J34" s="19">
        <v>26092526</v>
      </c>
      <c r="K34" s="13">
        <f>I34+G34+E34+C34</f>
        <v>22329055917</v>
      </c>
    </row>
    <row r="35" spans="1:11" ht="16.5">
      <c r="A35" s="21" t="s">
        <v>43</v>
      </c>
      <c r="B35" s="19"/>
      <c r="C35" s="13">
        <v>20991381</v>
      </c>
      <c r="D35" s="19"/>
      <c r="E35" s="13">
        <v>26858771</v>
      </c>
      <c r="F35" s="19">
        <v>1487000</v>
      </c>
      <c r="G35" s="13">
        <v>1434245127</v>
      </c>
      <c r="H35" s="19">
        <v>13000</v>
      </c>
      <c r="I35" s="13">
        <v>43414591</v>
      </c>
      <c r="J35" s="19">
        <v>1500000</v>
      </c>
      <c r="K35" s="13">
        <f>I35+G35+E35+C35</f>
        <v>1525509870</v>
      </c>
    </row>
    <row r="36" spans="1:11" ht="16.5">
      <c r="A36" s="21" t="s">
        <v>44</v>
      </c>
      <c r="B36" s="19">
        <v>25000</v>
      </c>
      <c r="C36" s="13">
        <v>6000000</v>
      </c>
      <c r="D36" s="19">
        <v>25000</v>
      </c>
      <c r="E36" s="13">
        <v>15510000</v>
      </c>
      <c r="F36" s="19">
        <v>12107022</v>
      </c>
      <c r="G36" s="27">
        <f>10110075466-1114823524</f>
        <v>8995251942</v>
      </c>
      <c r="H36" s="19">
        <v>88100</v>
      </c>
      <c r="I36" s="13">
        <v>56118841</v>
      </c>
      <c r="J36" s="19">
        <v>12245122</v>
      </c>
      <c r="K36" s="13">
        <f>I36+G36+E36+C36</f>
        <v>9072880783</v>
      </c>
    </row>
    <row r="37" spans="1:11" s="16" customFormat="1" ht="16.5">
      <c r="A37" s="19" t="s">
        <v>12</v>
      </c>
      <c r="B37" s="19"/>
      <c r="C37" s="19">
        <f>C38</f>
        <v>0</v>
      </c>
      <c r="D37" s="19"/>
      <c r="E37" s="19">
        <f>E38</f>
        <v>0</v>
      </c>
      <c r="F37" s="19">
        <v>1500</v>
      </c>
      <c r="G37" s="19">
        <f>G38</f>
        <v>0</v>
      </c>
      <c r="H37" s="19"/>
      <c r="I37" s="19">
        <f>I38</f>
        <v>0</v>
      </c>
      <c r="J37" s="19">
        <v>1500</v>
      </c>
      <c r="K37" s="19">
        <f>K38</f>
        <v>0</v>
      </c>
    </row>
    <row r="38" spans="1:11" ht="16.5">
      <c r="A38" s="20" t="s">
        <v>45</v>
      </c>
      <c r="B38" s="19"/>
      <c r="C38" s="13">
        <v>0</v>
      </c>
      <c r="D38" s="19"/>
      <c r="E38" s="13">
        <v>0</v>
      </c>
      <c r="F38" s="19">
        <v>1500</v>
      </c>
      <c r="G38" s="13">
        <v>0</v>
      </c>
      <c r="H38" s="19"/>
      <c r="I38" s="13">
        <v>0</v>
      </c>
      <c r="J38" s="19">
        <v>1500</v>
      </c>
      <c r="K38" s="13">
        <f>I38+G38+E38+C38</f>
        <v>0</v>
      </c>
    </row>
    <row r="39" spans="1:11" s="16" customFormat="1" ht="16.5">
      <c r="A39" s="19" t="s">
        <v>7</v>
      </c>
      <c r="B39" s="19">
        <v>2042450</v>
      </c>
      <c r="C39" s="19">
        <f>SUM(C40:C45)</f>
        <v>2044881373</v>
      </c>
      <c r="D39" s="19">
        <v>2300</v>
      </c>
      <c r="E39" s="19">
        <f>SUM(E40:E45)</f>
        <v>2473971</v>
      </c>
      <c r="F39" s="19">
        <v>3811298</v>
      </c>
      <c r="G39" s="19">
        <f>SUM(G40:G45)</f>
        <v>2870044452</v>
      </c>
      <c r="H39" s="19">
        <v>50362</v>
      </c>
      <c r="I39" s="19">
        <f>SUM(I40:I45)</f>
        <v>55582375</v>
      </c>
      <c r="J39" s="19">
        <v>5906410</v>
      </c>
      <c r="K39" s="19">
        <f>SUM(K40:K45)</f>
        <v>4972982171</v>
      </c>
    </row>
    <row r="40" spans="1:11" ht="16.5">
      <c r="A40" s="21" t="s">
        <v>46</v>
      </c>
      <c r="B40" s="19">
        <v>2450</v>
      </c>
      <c r="C40" s="13">
        <v>1256059</v>
      </c>
      <c r="D40" s="19">
        <v>2300</v>
      </c>
      <c r="E40" s="27">
        <f>2260000-67957</f>
        <v>2192043</v>
      </c>
      <c r="F40" s="19">
        <v>1478106</v>
      </c>
      <c r="G40" s="27">
        <f>1380328172-30418945</f>
        <v>1349909227</v>
      </c>
      <c r="H40" s="28">
        <v>8734</v>
      </c>
      <c r="I40" s="13">
        <f>13403844</f>
        <v>13403844</v>
      </c>
      <c r="J40" s="19">
        <v>1491590</v>
      </c>
      <c r="K40" s="13">
        <f aca="true" t="shared" si="2" ref="K40:K45">I40+G40+E40+C40</f>
        <v>1366761173</v>
      </c>
    </row>
    <row r="41" spans="1:11" ht="16.5">
      <c r="A41" s="21" t="s">
        <v>47</v>
      </c>
      <c r="B41" s="19"/>
      <c r="C41" s="13">
        <v>300000</v>
      </c>
      <c r="D41" s="19"/>
      <c r="E41" s="13"/>
      <c r="F41" s="19">
        <v>249510</v>
      </c>
      <c r="G41" s="27">
        <f>34663773+141980630-1577832-8656071</f>
        <v>166410500</v>
      </c>
      <c r="H41" s="19">
        <v>10000</v>
      </c>
      <c r="I41" s="13">
        <f>142700+10647315</f>
        <v>10790015</v>
      </c>
      <c r="J41" s="19">
        <v>259510</v>
      </c>
      <c r="K41" s="13">
        <f t="shared" si="2"/>
        <v>177500515</v>
      </c>
    </row>
    <row r="42" spans="1:11" ht="16.5">
      <c r="A42" s="21" t="s">
        <v>48</v>
      </c>
      <c r="B42" s="19"/>
      <c r="C42" s="13">
        <v>2500000</v>
      </c>
      <c r="D42" s="19"/>
      <c r="E42" s="13">
        <v>0</v>
      </c>
      <c r="F42" s="19">
        <v>403400</v>
      </c>
      <c r="G42" s="13">
        <f>46300000+101216454</f>
        <v>147516454</v>
      </c>
      <c r="H42" s="19">
        <v>500</v>
      </c>
      <c r="I42" s="13">
        <v>483758</v>
      </c>
      <c r="J42" s="19">
        <v>403900</v>
      </c>
      <c r="K42" s="13">
        <f t="shared" si="2"/>
        <v>150500212</v>
      </c>
    </row>
    <row r="43" spans="1:11" ht="16.5">
      <c r="A43" s="21" t="s">
        <v>49</v>
      </c>
      <c r="B43" s="19"/>
      <c r="C43" s="13">
        <v>0</v>
      </c>
      <c r="D43" s="19"/>
      <c r="E43" s="13">
        <v>0</v>
      </c>
      <c r="F43" s="19">
        <v>1067583</v>
      </c>
      <c r="G43" s="27">
        <f>831437689-100239719</f>
        <v>731197970</v>
      </c>
      <c r="H43" s="28">
        <v>22100</v>
      </c>
      <c r="I43" s="27">
        <f>22714179-798684</f>
        <v>21915495</v>
      </c>
      <c r="J43" s="19">
        <v>1089683</v>
      </c>
      <c r="K43" s="13">
        <f t="shared" si="2"/>
        <v>753113465</v>
      </c>
    </row>
    <row r="44" spans="1:11" ht="16.5">
      <c r="A44" s="21" t="s">
        <v>50</v>
      </c>
      <c r="B44" s="19"/>
      <c r="C44" s="27">
        <f>927000-101686</f>
        <v>825314</v>
      </c>
      <c r="D44" s="28"/>
      <c r="E44" s="27">
        <f>262000-4072</f>
        <v>257928</v>
      </c>
      <c r="F44" s="28">
        <v>176648</v>
      </c>
      <c r="G44" s="27">
        <f>88723408-2167499</f>
        <v>86555909</v>
      </c>
      <c r="H44" s="28">
        <v>7580</v>
      </c>
      <c r="I44" s="27">
        <f>8319288-287162</f>
        <v>8032126</v>
      </c>
      <c r="J44" s="19">
        <v>184228</v>
      </c>
      <c r="K44" s="13">
        <f t="shared" si="2"/>
        <v>95671277</v>
      </c>
    </row>
    <row r="45" spans="1:11" ht="16.5">
      <c r="A45" s="21" t="s">
        <v>51</v>
      </c>
      <c r="B45" s="19">
        <v>2040000</v>
      </c>
      <c r="C45" s="13">
        <v>2040000000</v>
      </c>
      <c r="D45" s="19"/>
      <c r="E45" s="13">
        <v>24000</v>
      </c>
      <c r="F45" s="19">
        <v>436051</v>
      </c>
      <c r="G45" s="27">
        <f>272318756+131352005-838573-14377796</f>
        <v>388454392</v>
      </c>
      <c r="H45" s="28">
        <v>1448</v>
      </c>
      <c r="I45" s="27">
        <f>100000+936352-79215</f>
        <v>957137</v>
      </c>
      <c r="J45" s="19">
        <v>2477499</v>
      </c>
      <c r="K45" s="13">
        <f t="shared" si="2"/>
        <v>2429435529</v>
      </c>
    </row>
    <row r="46" spans="1:11" s="16" customFormat="1" ht="16.5">
      <c r="A46" s="19" t="s">
        <v>8</v>
      </c>
      <c r="B46" s="19"/>
      <c r="C46" s="19">
        <f>C47</f>
        <v>0</v>
      </c>
      <c r="D46" s="19"/>
      <c r="E46" s="19">
        <f>E47</f>
        <v>0</v>
      </c>
      <c r="F46" s="19">
        <v>503200</v>
      </c>
      <c r="G46" s="19">
        <f>G47</f>
        <v>424279967</v>
      </c>
      <c r="H46" s="19">
        <v>179852</v>
      </c>
      <c r="I46" s="19">
        <f>I47</f>
        <v>179831883</v>
      </c>
      <c r="J46" s="19">
        <v>683052</v>
      </c>
      <c r="K46" s="19">
        <f>K47</f>
        <v>604111850</v>
      </c>
    </row>
    <row r="47" spans="1:11" ht="16.5">
      <c r="A47" s="21" t="s">
        <v>52</v>
      </c>
      <c r="B47" s="19"/>
      <c r="C47" s="13">
        <v>0</v>
      </c>
      <c r="D47" s="19"/>
      <c r="E47" s="13">
        <v>0</v>
      </c>
      <c r="F47" s="19">
        <v>503200</v>
      </c>
      <c r="G47" s="27">
        <f>425888457-1608490</f>
        <v>424279967</v>
      </c>
      <c r="H47" s="19">
        <v>179852</v>
      </c>
      <c r="I47" s="13">
        <v>179831883</v>
      </c>
      <c r="J47" s="19">
        <v>683052</v>
      </c>
      <c r="K47" s="13">
        <f>I47+G47+E47+C47</f>
        <v>604111850</v>
      </c>
    </row>
    <row r="48" spans="1:11" s="16" customFormat="1" ht="16.5">
      <c r="A48" s="19" t="s">
        <v>9</v>
      </c>
      <c r="B48" s="19"/>
      <c r="C48" s="19">
        <f>C49</f>
        <v>1166503</v>
      </c>
      <c r="D48" s="19">
        <v>55860</v>
      </c>
      <c r="E48" s="19">
        <f>E49</f>
        <v>33557693</v>
      </c>
      <c r="F48" s="19">
        <v>5342666</v>
      </c>
      <c r="G48" s="19">
        <f>G49</f>
        <v>4913281728</v>
      </c>
      <c r="H48" s="19">
        <v>147425</v>
      </c>
      <c r="I48" s="19">
        <f>I49</f>
        <v>50111921</v>
      </c>
      <c r="J48" s="19">
        <v>5545951</v>
      </c>
      <c r="K48" s="19">
        <f>K49</f>
        <v>4998117845</v>
      </c>
    </row>
    <row r="49" spans="1:11" ht="16.5">
      <c r="A49" s="20" t="s">
        <v>53</v>
      </c>
      <c r="B49" s="19"/>
      <c r="C49" s="27">
        <f>400000+790000-23497</f>
        <v>1166503</v>
      </c>
      <c r="D49" s="28">
        <v>55860</v>
      </c>
      <c r="E49" s="27">
        <f>403856+47154357-14000520</f>
        <v>33557693</v>
      </c>
      <c r="F49" s="28">
        <v>5342666</v>
      </c>
      <c r="G49" s="27">
        <f>3342914499+1694999903-24692596-99940078</f>
        <v>4913281728</v>
      </c>
      <c r="H49" s="28">
        <v>147425</v>
      </c>
      <c r="I49" s="27">
        <f>23258861+14916342+12000000-63282</f>
        <v>50111921</v>
      </c>
      <c r="J49" s="19">
        <v>5545951</v>
      </c>
      <c r="K49" s="13">
        <f>I49+G49+E49+C49</f>
        <v>4998117845</v>
      </c>
    </row>
    <row r="50" spans="1:11" s="16" customFormat="1" ht="16.5">
      <c r="A50" s="19" t="s">
        <v>10</v>
      </c>
      <c r="B50" s="19">
        <v>15500000</v>
      </c>
      <c r="C50" s="19">
        <f>SUM(C51:C54)</f>
        <v>15875331339</v>
      </c>
      <c r="D50" s="19">
        <v>10910000</v>
      </c>
      <c r="E50" s="19">
        <f>SUM(E51:E54)</f>
        <v>10910750000</v>
      </c>
      <c r="F50" s="19">
        <v>159456438</v>
      </c>
      <c r="G50" s="19">
        <f>SUM(G51:G54)</f>
        <v>146983123004</v>
      </c>
      <c r="H50" s="19">
        <v>2191519</v>
      </c>
      <c r="I50" s="19">
        <f>SUM(I51:I54)</f>
        <v>2245821250</v>
      </c>
      <c r="J50" s="19">
        <v>188057957</v>
      </c>
      <c r="K50" s="19">
        <f>SUM(K51:K54)</f>
        <v>176015025593</v>
      </c>
    </row>
    <row r="51" spans="1:11" ht="16.5">
      <c r="A51" s="14" t="s">
        <v>54</v>
      </c>
      <c r="B51" s="19"/>
      <c r="C51" s="13">
        <v>375331339</v>
      </c>
      <c r="D51" s="19">
        <v>910000</v>
      </c>
      <c r="E51" s="13">
        <v>910750000</v>
      </c>
      <c r="F51" s="19">
        <v>129756438</v>
      </c>
      <c r="G51" s="13">
        <v>121263582380</v>
      </c>
      <c r="H51" s="19"/>
      <c r="I51" s="13">
        <f>49002250+5300000</f>
        <v>54302250</v>
      </c>
      <c r="J51" s="19">
        <v>130666438</v>
      </c>
      <c r="K51" s="13">
        <f>I51+G51+E51+C51</f>
        <v>122603965969</v>
      </c>
    </row>
    <row r="52" spans="1:11" ht="16.5">
      <c r="A52" s="14" t="s">
        <v>55</v>
      </c>
      <c r="B52" s="19"/>
      <c r="C52" s="13">
        <v>0</v>
      </c>
      <c r="D52" s="19"/>
      <c r="E52" s="13">
        <v>0</v>
      </c>
      <c r="F52" s="19"/>
      <c r="G52" s="13">
        <v>0</v>
      </c>
      <c r="H52" s="19">
        <v>1891519</v>
      </c>
      <c r="I52" s="13">
        <v>1891519000</v>
      </c>
      <c r="J52" s="19">
        <v>1891519</v>
      </c>
      <c r="K52" s="13">
        <f>I52+G52+E52+C52</f>
        <v>1891519000</v>
      </c>
    </row>
    <row r="53" spans="1:11" ht="16.5">
      <c r="A53" s="15" t="s">
        <v>56</v>
      </c>
      <c r="B53" s="19">
        <v>15500000</v>
      </c>
      <c r="C53" s="13">
        <v>15500000000</v>
      </c>
      <c r="D53" s="19">
        <v>10000000</v>
      </c>
      <c r="E53" s="13">
        <v>10000000000</v>
      </c>
      <c r="F53" s="19"/>
      <c r="G53" s="13">
        <v>0</v>
      </c>
      <c r="H53" s="19"/>
      <c r="I53" s="13">
        <v>0</v>
      </c>
      <c r="J53" s="19">
        <v>25500000</v>
      </c>
      <c r="K53" s="13">
        <f>I53+G53+E53+C53</f>
        <v>25500000000</v>
      </c>
    </row>
    <row r="54" spans="1:11" ht="16.5">
      <c r="A54" s="14" t="s">
        <v>57</v>
      </c>
      <c r="B54" s="19"/>
      <c r="C54" s="13">
        <v>0</v>
      </c>
      <c r="D54" s="19"/>
      <c r="E54" s="13">
        <v>0</v>
      </c>
      <c r="F54" s="19">
        <v>29700000</v>
      </c>
      <c r="G54" s="13">
        <v>25719540624</v>
      </c>
      <c r="H54" s="19">
        <v>300000</v>
      </c>
      <c r="I54" s="13">
        <v>300000000</v>
      </c>
      <c r="J54" s="19">
        <v>30000000</v>
      </c>
      <c r="K54" s="13">
        <f>I54+G54+E54+C54</f>
        <v>26019540624</v>
      </c>
    </row>
    <row r="56" ht="16.5">
      <c r="A56" s="33" t="s">
        <v>71</v>
      </c>
    </row>
    <row r="70" spans="3:9" ht="16.5">
      <c r="C70" s="31">
        <f>SUM(C71:C79)</f>
        <v>31722170</v>
      </c>
      <c r="D70" s="32"/>
      <c r="E70" s="31">
        <f>SUM(E71:E79)</f>
        <v>31956640</v>
      </c>
      <c r="F70" s="31">
        <f>SUM(F71:F79)</f>
        <v>0</v>
      </c>
      <c r="G70" s="31">
        <f>SUM(G71:G79)</f>
        <v>2018757037</v>
      </c>
      <c r="H70" s="31">
        <f>SUM(H71:H79)</f>
        <v>0</v>
      </c>
      <c r="I70" s="31">
        <f>SUM(I71:I79)</f>
        <v>68557108</v>
      </c>
    </row>
    <row r="71" spans="3:9" ht="16.5">
      <c r="C71" s="29">
        <v>1500000</v>
      </c>
      <c r="D71" s="30"/>
      <c r="E71" s="29"/>
      <c r="F71" s="30"/>
      <c r="G71" s="29">
        <v>11409500</v>
      </c>
      <c r="H71" s="30"/>
      <c r="I71" s="29">
        <v>896549</v>
      </c>
    </row>
    <row r="72" spans="3:9" ht="16.5">
      <c r="C72" s="29">
        <v>600000</v>
      </c>
      <c r="D72" s="30"/>
      <c r="E72" s="29">
        <v>870000</v>
      </c>
      <c r="F72" s="30"/>
      <c r="G72" s="29">
        <v>10261138</v>
      </c>
      <c r="H72" s="30"/>
      <c r="I72" s="29"/>
    </row>
    <row r="73" spans="3:9" ht="16.5">
      <c r="C73" s="29">
        <v>3023182</v>
      </c>
      <c r="D73" s="30"/>
      <c r="E73" s="29"/>
      <c r="F73" s="30"/>
      <c r="G73" s="29">
        <v>1059139169</v>
      </c>
      <c r="H73" s="30"/>
      <c r="I73" s="29">
        <v>17490557</v>
      </c>
    </row>
    <row r="74" spans="3:9" ht="16.5">
      <c r="C74" s="29"/>
      <c r="D74" s="30"/>
      <c r="E74" s="29"/>
      <c r="F74" s="30"/>
      <c r="G74" s="29">
        <v>4362000</v>
      </c>
      <c r="H74" s="30"/>
      <c r="I74" s="29"/>
    </row>
    <row r="75" spans="3:9" ht="16.5">
      <c r="C75" s="29">
        <v>16270000</v>
      </c>
      <c r="D75" s="30"/>
      <c r="E75" s="29">
        <v>19912137</v>
      </c>
      <c r="F75" s="30"/>
      <c r="G75" s="29">
        <v>443743179</v>
      </c>
      <c r="H75" s="30"/>
      <c r="I75" s="29">
        <v>21895332</v>
      </c>
    </row>
    <row r="76" spans="3:9" ht="16.5">
      <c r="C76" s="29">
        <v>2396400</v>
      </c>
      <c r="D76" s="30"/>
      <c r="E76" s="29">
        <v>1717457</v>
      </c>
      <c r="F76" s="30"/>
      <c r="G76" s="29">
        <v>62836250</v>
      </c>
      <c r="H76" s="30"/>
      <c r="I76" s="29">
        <v>1530000</v>
      </c>
    </row>
    <row r="77" spans="3:9" ht="16.5">
      <c r="C77" s="29">
        <v>2590000</v>
      </c>
      <c r="D77" s="30"/>
      <c r="E77" s="29">
        <v>4500000</v>
      </c>
      <c r="F77" s="30"/>
      <c r="G77" s="29">
        <v>27556113</v>
      </c>
      <c r="H77" s="30"/>
      <c r="I77" s="29"/>
    </row>
    <row r="78" spans="3:9" ht="16.5">
      <c r="C78" s="29"/>
      <c r="D78" s="30"/>
      <c r="E78" s="29">
        <v>1000000</v>
      </c>
      <c r="F78" s="30"/>
      <c r="G78" s="29">
        <v>27853874</v>
      </c>
      <c r="H78" s="30"/>
      <c r="I78" s="29">
        <v>1400000</v>
      </c>
    </row>
    <row r="79" spans="3:9" ht="16.5">
      <c r="C79" s="29">
        <v>5342588</v>
      </c>
      <c r="D79" s="30"/>
      <c r="E79" s="29">
        <v>3957046</v>
      </c>
      <c r="F79" s="30"/>
      <c r="G79" s="29">
        <v>371595814</v>
      </c>
      <c r="H79" s="30"/>
      <c r="I79" s="29">
        <v>25344670</v>
      </c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admin</cp:lastModifiedBy>
  <cp:lastPrinted>2010-04-22T10:10:33Z</cp:lastPrinted>
  <dcterms:created xsi:type="dcterms:W3CDTF">2001-08-24T08:12:00Z</dcterms:created>
  <dcterms:modified xsi:type="dcterms:W3CDTF">2010-04-30T07:07:37Z</dcterms:modified>
  <cp:category>I13</cp:category>
  <cp:version/>
  <cp:contentType/>
  <cp:contentStatus/>
</cp:coreProperties>
</file>