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0" windowWidth="9270" windowHeight="5160" tabRatio="602" activeTab="0"/>
  </bookViews>
  <sheets>
    <sheet name="92" sheetId="1" r:id="rId1"/>
  </sheets>
  <definedNames>
    <definedName name="_xlnm.Print_Area" localSheetId="0">'92'!$A$1:$L$122</definedName>
    <definedName name="_xlnm.Print_Titles" localSheetId="0">'92'!$1:$6</definedName>
  </definedNames>
  <calcPr fullCalcOnLoad="1"/>
</workbook>
</file>

<file path=xl/sharedStrings.xml><?xml version="1.0" encoding="utf-8"?>
<sst xmlns="http://schemas.openxmlformats.org/spreadsheetml/2006/main" count="199" uniqueCount="81">
  <si>
    <t>單位</t>
  </si>
  <si>
    <t>數量</t>
  </si>
  <si>
    <t>總值</t>
  </si>
  <si>
    <t xml:space="preserve">  中      央      銀      行</t>
  </si>
  <si>
    <t>存放銀行業</t>
  </si>
  <si>
    <t>〞</t>
  </si>
  <si>
    <t>銀行業融通</t>
  </si>
  <si>
    <t xml:space="preserve"> </t>
  </si>
  <si>
    <t>國際金融機構存款</t>
  </si>
  <si>
    <t>銀行業存款</t>
  </si>
  <si>
    <t>國庫及政府機關存款</t>
  </si>
  <si>
    <t>儲蓄存款及儲蓄券</t>
  </si>
  <si>
    <t>發行券幣</t>
  </si>
  <si>
    <t>投資有價證券</t>
  </si>
  <si>
    <t>信託投資</t>
  </si>
  <si>
    <t xml:space="preserve">  中   國   輸  出  入  銀  行</t>
  </si>
  <si>
    <t>貼現</t>
  </si>
  <si>
    <t>短期放款及透支</t>
  </si>
  <si>
    <t>中期放款</t>
  </si>
  <si>
    <t>長期放款</t>
  </si>
  <si>
    <t>支票存款</t>
  </si>
  <si>
    <t>活期存款</t>
  </si>
  <si>
    <t>定期存款</t>
  </si>
  <si>
    <t>儲蓄存款</t>
  </si>
  <si>
    <t>代處理物資</t>
  </si>
  <si>
    <t>公務人員保險</t>
  </si>
  <si>
    <t>人壽保險</t>
  </si>
  <si>
    <t>中央存款保險股份有限公司</t>
  </si>
  <si>
    <t>中   央   健   康   保   險   局</t>
  </si>
  <si>
    <t>存放央行及同業</t>
  </si>
  <si>
    <t>勞工保險局</t>
  </si>
  <si>
    <t>保險</t>
  </si>
  <si>
    <t>機關與營運項目名稱</t>
  </si>
  <si>
    <t>放款</t>
  </si>
  <si>
    <t>存款</t>
  </si>
  <si>
    <t>投資</t>
  </si>
  <si>
    <t>輸出保險</t>
  </si>
  <si>
    <t>儲運</t>
  </si>
  <si>
    <t>運輸</t>
  </si>
  <si>
    <t>保險</t>
  </si>
  <si>
    <t>存款保險</t>
  </si>
  <si>
    <t>匯兌</t>
  </si>
  <si>
    <t>簡易壽險</t>
  </si>
  <si>
    <t>代理業務</t>
  </si>
  <si>
    <t>勞工保險</t>
  </si>
  <si>
    <t>農民保險</t>
  </si>
  <si>
    <t>健康保險</t>
  </si>
  <si>
    <t>公庫存款</t>
  </si>
  <si>
    <t>本年度預算營運量值</t>
  </si>
  <si>
    <t xml:space="preserve"> 本年度決算營運量值占預算營運量值％</t>
  </si>
  <si>
    <t>合作金庫銀行股份有限公司</t>
  </si>
  <si>
    <t>短期放款及透支</t>
  </si>
  <si>
    <t>投資長期證券</t>
  </si>
  <si>
    <t>購料業務</t>
  </si>
  <si>
    <t>代公民營事業外銷產品</t>
  </si>
  <si>
    <t>自辦進口物資銷售</t>
  </si>
  <si>
    <t>中期放款</t>
  </si>
  <si>
    <t>長期放款</t>
  </si>
  <si>
    <t>上年度決算營運量值</t>
  </si>
  <si>
    <t>保險</t>
  </si>
  <si>
    <t>購料及貿易</t>
  </si>
  <si>
    <t>儲匯</t>
  </si>
  <si>
    <t>短期放款及透支</t>
  </si>
  <si>
    <t>中央信託局（中央信託局股份有限公司）</t>
  </si>
  <si>
    <t>臺灣銀行（臺灣銀行股份有限公司）</t>
  </si>
  <si>
    <t>中華郵政股份有限公司</t>
  </si>
  <si>
    <t>退休人員保險</t>
  </si>
  <si>
    <r>
      <t>放</t>
    </r>
    <r>
      <rPr>
        <b/>
        <sz val="10"/>
        <rFont val="Times New Roman"/>
        <family val="1"/>
      </rPr>
      <t xml:space="preserve">                                                              </t>
    </r>
    <r>
      <rPr>
        <b/>
        <sz val="10"/>
        <rFont val="華康中黑體"/>
        <family val="3"/>
      </rPr>
      <t>款（註）</t>
    </r>
  </si>
  <si>
    <t>就業保險</t>
  </si>
  <si>
    <t>丁二、（五）金 融、保 險 及 不 動 產 業 主</t>
  </si>
  <si>
    <t>要 營 運 量 值 綜 計 表(續)</t>
  </si>
  <si>
    <t>貨幣單位：新臺幣元</t>
  </si>
  <si>
    <t>臺灣土地銀行（臺灣土地銀行股份有限公司)</t>
  </si>
  <si>
    <r>
      <t>新台幣元</t>
    </r>
    <r>
      <rPr>
        <sz val="10"/>
        <rFont val="Times New Roman"/>
        <family val="1"/>
      </rPr>
      <t xml:space="preserve">   (</t>
    </r>
    <r>
      <rPr>
        <sz val="10"/>
        <rFont val="細明體"/>
        <family val="3"/>
      </rPr>
      <t>平均餘額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  </t>
    </r>
  </si>
  <si>
    <t>新台幣元</t>
  </si>
  <si>
    <r>
      <t>新台幣元</t>
    </r>
  </si>
  <si>
    <t>新台幣元     (平均餘額)</t>
  </si>
  <si>
    <t>新台幣元     (平均保額)</t>
  </si>
  <si>
    <r>
      <t>新台幣元</t>
    </r>
    <r>
      <rPr>
        <sz val="10"/>
        <rFont val="Times New Roman"/>
        <family val="1"/>
      </rPr>
      <t xml:space="preserve">     </t>
    </r>
  </si>
  <si>
    <t>本年度決     算營運量值</t>
  </si>
  <si>
    <r>
      <t>註：中華郵政公司所吸收之儲金依規定不辦理放款，本表內將其存放中央銀行及同業之數額計</t>
    </r>
    <r>
      <rPr>
        <sz val="12"/>
        <rFont val="Times New Roman"/>
        <family val="1"/>
      </rPr>
      <t>2</t>
    </r>
    <r>
      <rPr>
        <sz val="10"/>
        <rFont val="Times New Roman"/>
        <family val="1"/>
      </rPr>
      <t xml:space="preserve">,842,136,324   </t>
    </r>
    <r>
      <rPr>
        <sz val="12"/>
        <rFont val="華康中黑體"/>
        <family val="3"/>
      </rPr>
      <t>千元</t>
    </r>
    <r>
      <rPr>
        <sz val="12"/>
        <rFont val="華康中黑體"/>
        <family val="3"/>
      </rPr>
      <t>視同放款，以求資金流向表達之完整。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</si>
</sst>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0.0000%"/>
    <numFmt numFmtId="187" formatCode="0_);[Red]\(0\)"/>
    <numFmt numFmtId="188" formatCode="0.00_);[Red]\(0.00\)"/>
    <numFmt numFmtId="189" formatCode="_(* #,##0.0_);_(* \(#,##0.0\);_(* &quot;-&quot;??_);_(@_)"/>
    <numFmt numFmtId="190" formatCode="_(* #,##0_);_(* \(#,##0\);_(* &quot;-&quot;??_);_(@_)"/>
  </numFmts>
  <fonts count="2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b/>
      <sz val="28"/>
      <name val="細明體"/>
      <family val="3"/>
    </font>
    <font>
      <b/>
      <sz val="20"/>
      <name val="細明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華康中黑體"/>
      <family val="3"/>
    </font>
    <font>
      <sz val="12"/>
      <name val="華康中黑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0"/>
      <name val="華康中黑體"/>
      <family val="3"/>
    </font>
    <font>
      <sz val="10"/>
      <name val="細明體"/>
      <family val="3"/>
    </font>
    <font>
      <b/>
      <sz val="10"/>
      <name val="Times New Roman"/>
      <family val="1"/>
    </font>
    <font>
      <b/>
      <sz val="10"/>
      <name val="細明體"/>
      <family val="3"/>
    </font>
    <font>
      <sz val="10"/>
      <name val="華康中黑體"/>
      <family val="3"/>
    </font>
    <font>
      <b/>
      <sz val="9"/>
      <name val="華康中黑體"/>
      <family val="3"/>
    </font>
    <font>
      <b/>
      <sz val="10"/>
      <color indexed="10"/>
      <name val="Times New Roman"/>
      <family val="1"/>
    </font>
    <font>
      <sz val="12"/>
      <color indexed="8"/>
      <name val="細明體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83" fontId="7" fillId="0" borderId="0" xfId="15" applyFont="1" applyAlignment="1">
      <alignment/>
    </xf>
    <xf numFmtId="183" fontId="8" fillId="0" borderId="0" xfId="15" applyFont="1" applyAlignment="1">
      <alignment horizontal="left"/>
    </xf>
    <xf numFmtId="183" fontId="0" fillId="0" borderId="0" xfId="15" applyAlignment="1">
      <alignment horizontal="distributed" vertical="center"/>
    </xf>
    <xf numFmtId="183" fontId="0" fillId="0" borderId="0" xfId="15" applyFont="1" applyAlignment="1">
      <alignment horizontal="left" vertical="center"/>
    </xf>
    <xf numFmtId="183" fontId="0" fillId="0" borderId="0" xfId="15" applyAlignment="1">
      <alignment/>
    </xf>
    <xf numFmtId="183" fontId="5" fillId="0" borderId="0" xfId="15" applyFont="1" applyAlignment="1">
      <alignment horizontal="right" vertical="center"/>
    </xf>
    <xf numFmtId="183" fontId="4" fillId="0" borderId="0" xfId="15" applyFont="1" applyAlignment="1">
      <alignment horizontal="centerContinuous" vertical="center"/>
    </xf>
    <xf numFmtId="183" fontId="7" fillId="0" borderId="0" xfId="15" applyFont="1" applyAlignment="1">
      <alignment horizontal="centerContinuous" vertical="center"/>
    </xf>
    <xf numFmtId="183" fontId="8" fillId="0" borderId="0" xfId="15" applyFont="1" applyAlignment="1">
      <alignment horizontal="left" vertical="center"/>
    </xf>
    <xf numFmtId="183" fontId="0" fillId="0" borderId="0" xfId="15" applyFont="1" applyAlignment="1">
      <alignment horizontal="centerContinuous" vertical="center"/>
    </xf>
    <xf numFmtId="183" fontId="0" fillId="0" borderId="0" xfId="15" applyFont="1" applyAlignment="1">
      <alignment/>
    </xf>
    <xf numFmtId="183" fontId="0" fillId="0" borderId="0" xfId="15" applyFont="1" applyAlignment="1">
      <alignment horizontal="right" vertical="center"/>
    </xf>
    <xf numFmtId="183" fontId="6" fillId="0" borderId="1" xfId="15" applyFont="1" applyBorder="1" applyAlignment="1">
      <alignment horizontal="centerContinuous" vertical="center"/>
    </xf>
    <xf numFmtId="183" fontId="0" fillId="0" borderId="0" xfId="15" applyBorder="1" applyAlignment="1">
      <alignment/>
    </xf>
    <xf numFmtId="183" fontId="6" fillId="0" borderId="2" xfId="15" applyFont="1" applyBorder="1" applyAlignment="1">
      <alignment horizontal="centerContinuous" vertical="center"/>
    </xf>
    <xf numFmtId="183" fontId="10" fillId="0" borderId="3" xfId="15" applyFont="1" applyBorder="1" applyAlignment="1">
      <alignment horizontal="distributed" vertical="center"/>
    </xf>
    <xf numFmtId="183" fontId="10" fillId="0" borderId="4" xfId="15" applyFont="1" applyBorder="1" applyAlignment="1">
      <alignment horizontal="distributed" vertical="center"/>
    </xf>
    <xf numFmtId="183" fontId="7" fillId="0" borderId="5" xfId="15" applyFont="1" applyBorder="1" applyAlignment="1">
      <alignment horizontal="distributed" vertical="center"/>
    </xf>
    <xf numFmtId="183" fontId="0" fillId="0" borderId="6" xfId="15" applyBorder="1" applyAlignment="1">
      <alignment horizontal="distributed" vertical="center"/>
    </xf>
    <xf numFmtId="183" fontId="0" fillId="0" borderId="7" xfId="15" applyBorder="1" applyAlignment="1">
      <alignment horizontal="distributed" vertical="center"/>
    </xf>
    <xf numFmtId="183" fontId="0" fillId="0" borderId="8" xfId="15" applyBorder="1" applyAlignment="1">
      <alignment horizontal="distributed" vertical="center"/>
    </xf>
    <xf numFmtId="183" fontId="0" fillId="0" borderId="9" xfId="15" applyBorder="1" applyAlignment="1">
      <alignment horizontal="distributed" vertical="center"/>
    </xf>
    <xf numFmtId="183" fontId="0" fillId="0" borderId="0" xfId="15" applyBorder="1" applyAlignment="1">
      <alignment horizontal="distributed" vertical="center"/>
    </xf>
    <xf numFmtId="183" fontId="0" fillId="0" borderId="0" xfId="15" applyFont="1" applyBorder="1" applyAlignment="1">
      <alignment horizontal="left" vertical="center"/>
    </xf>
    <xf numFmtId="183" fontId="0" fillId="0" borderId="0" xfId="15" applyBorder="1" applyAlignment="1">
      <alignment horizontal="distributed" vertical="center"/>
    </xf>
    <xf numFmtId="183" fontId="14" fillId="0" borderId="0" xfId="15" applyFont="1" applyAlignment="1">
      <alignment/>
    </xf>
    <xf numFmtId="183" fontId="12" fillId="0" borderId="0" xfId="15" applyFont="1" applyBorder="1" applyAlignment="1">
      <alignment horizontal="distributed" vertical="center"/>
    </xf>
    <xf numFmtId="183" fontId="13" fillId="0" borderId="0" xfId="15" applyFont="1" applyBorder="1" applyAlignment="1">
      <alignment horizontal="left" vertical="center"/>
    </xf>
    <xf numFmtId="183" fontId="13" fillId="0" borderId="0" xfId="15" applyFont="1" applyAlignment="1" quotePrefix="1">
      <alignment horizontal="left" vertical="center"/>
    </xf>
    <xf numFmtId="183" fontId="14" fillId="0" borderId="0" xfId="15" applyFont="1" applyAlignment="1">
      <alignment horizontal="left" vertical="center"/>
    </xf>
    <xf numFmtId="183" fontId="14" fillId="0" borderId="0" xfId="15" applyFont="1" applyBorder="1" applyAlignment="1">
      <alignment/>
    </xf>
    <xf numFmtId="183" fontId="15" fillId="0" borderId="0" xfId="15" applyFont="1" applyAlignment="1">
      <alignment vertical="center"/>
    </xf>
    <xf numFmtId="183" fontId="15" fillId="0" borderId="0" xfId="15" applyFont="1" applyAlignment="1">
      <alignment/>
    </xf>
    <xf numFmtId="183" fontId="13" fillId="0" borderId="0" xfId="15" applyFont="1" applyAlignment="1">
      <alignment horizontal="distributed" vertical="center"/>
    </xf>
    <xf numFmtId="183" fontId="14" fillId="0" borderId="0" xfId="15" applyFont="1" applyAlignment="1">
      <alignment horizontal="distributed" vertical="center"/>
    </xf>
    <xf numFmtId="183" fontId="14" fillId="0" borderId="0" xfId="15" applyFont="1" applyAlignment="1">
      <alignment horizontal="center" vertical="center" wrapText="1"/>
    </xf>
    <xf numFmtId="183" fontId="16" fillId="0" borderId="0" xfId="15" applyFont="1" applyAlignment="1">
      <alignment vertical="center"/>
    </xf>
    <xf numFmtId="183" fontId="16" fillId="0" borderId="0" xfId="15" applyFont="1" applyAlignment="1">
      <alignment/>
    </xf>
    <xf numFmtId="183" fontId="12" fillId="0" borderId="0" xfId="15" applyFont="1" applyAlignment="1">
      <alignment vertical="center"/>
    </xf>
    <xf numFmtId="183" fontId="13" fillId="0" borderId="0" xfId="15" applyFont="1" applyAlignment="1">
      <alignment horizontal="left" vertical="center"/>
    </xf>
    <xf numFmtId="183" fontId="14" fillId="0" borderId="0" xfId="15" applyFont="1" applyBorder="1" applyAlignment="1" quotePrefix="1">
      <alignment horizontal="distributed" vertical="center"/>
    </xf>
    <xf numFmtId="183" fontId="14" fillId="0" borderId="0" xfId="15" applyFont="1" applyBorder="1" applyAlignment="1" quotePrefix="1">
      <alignment horizontal="center"/>
    </xf>
    <xf numFmtId="183" fontId="14" fillId="0" borderId="0" xfId="15" applyFont="1" applyAlignment="1">
      <alignment vertical="center"/>
    </xf>
    <xf numFmtId="183" fontId="14" fillId="0" borderId="0" xfId="15" applyFont="1" applyBorder="1" applyAlignment="1">
      <alignment horizontal="center"/>
    </xf>
    <xf numFmtId="183" fontId="14" fillId="0" borderId="0" xfId="15" applyFont="1" applyBorder="1" applyAlignment="1">
      <alignment horizontal="distributed" vertical="center"/>
    </xf>
    <xf numFmtId="183" fontId="14" fillId="0" borderId="0" xfId="15" applyFont="1" applyAlignment="1" quotePrefix="1">
      <alignment horizontal="distributed" vertical="center"/>
    </xf>
    <xf numFmtId="183" fontId="13" fillId="0" borderId="0" xfId="15" applyFont="1" applyAlignment="1">
      <alignment horizontal="centerContinuous" vertical="distributed"/>
    </xf>
    <xf numFmtId="183" fontId="14" fillId="0" borderId="0" xfId="15" applyFont="1" applyAlignment="1" quotePrefix="1">
      <alignment horizontal="distributed" vertical="distributed"/>
    </xf>
    <xf numFmtId="183" fontId="13" fillId="0" borderId="0" xfId="15" applyFont="1" applyAlignment="1" quotePrefix="1">
      <alignment horizontal="distributed" vertical="center"/>
    </xf>
    <xf numFmtId="183" fontId="14" fillId="0" borderId="0" xfId="15" applyFont="1" applyBorder="1" applyAlignment="1">
      <alignment horizontal="center" vertical="center"/>
    </xf>
    <xf numFmtId="183" fontId="14" fillId="0" borderId="0" xfId="15" applyFont="1" applyAlignment="1">
      <alignment horizontal="center" vertical="center"/>
    </xf>
    <xf numFmtId="183" fontId="12" fillId="0" borderId="0" xfId="15" applyFont="1" applyAlignment="1">
      <alignment/>
    </xf>
    <xf numFmtId="183" fontId="17" fillId="0" borderId="0" xfId="15" applyFont="1" applyAlignment="1">
      <alignment horizontal="distributed" vertical="center"/>
    </xf>
    <xf numFmtId="183" fontId="18" fillId="0" borderId="0" xfId="15" applyFont="1" applyAlignment="1" quotePrefix="1">
      <alignment horizontal="distributed" vertical="center"/>
    </xf>
    <xf numFmtId="183" fontId="12" fillId="0" borderId="0" xfId="15" applyFont="1" applyBorder="1" applyAlignment="1">
      <alignment vertical="center"/>
    </xf>
    <xf numFmtId="183" fontId="14" fillId="0" borderId="0" xfId="15" applyFont="1" applyBorder="1" applyAlignment="1">
      <alignment vertical="center"/>
    </xf>
    <xf numFmtId="183" fontId="14" fillId="0" borderId="6" xfId="15" applyFont="1" applyBorder="1" applyAlignment="1">
      <alignment horizontal="distributed" vertical="center"/>
    </xf>
    <xf numFmtId="183" fontId="14" fillId="0" borderId="6" xfId="15" applyFont="1" applyBorder="1" applyAlignment="1">
      <alignment horizontal="center" vertical="center"/>
    </xf>
    <xf numFmtId="183" fontId="12" fillId="0" borderId="6" xfId="15" applyFont="1" applyBorder="1" applyAlignment="1">
      <alignment vertical="center"/>
    </xf>
    <xf numFmtId="183" fontId="14" fillId="0" borderId="6" xfId="15" applyFont="1" applyBorder="1" applyAlignment="1">
      <alignment vertical="center"/>
    </xf>
    <xf numFmtId="183" fontId="15" fillId="0" borderId="0" xfId="15" applyFont="1" applyBorder="1" applyAlignment="1">
      <alignment vertical="center"/>
    </xf>
    <xf numFmtId="183" fontId="13" fillId="0" borderId="0" xfId="15" applyFont="1" applyBorder="1" applyAlignment="1">
      <alignment horizontal="distributed" vertical="center"/>
    </xf>
    <xf numFmtId="183" fontId="14" fillId="0" borderId="0" xfId="15" applyFont="1" applyBorder="1" applyAlignment="1">
      <alignment horizontal="center" vertical="center" wrapText="1"/>
    </xf>
    <xf numFmtId="183" fontId="16" fillId="0" borderId="0" xfId="15" applyFont="1" applyBorder="1" applyAlignment="1">
      <alignment vertical="center"/>
    </xf>
    <xf numFmtId="183" fontId="17" fillId="0" borderId="0" xfId="15" applyFont="1" applyBorder="1" applyAlignment="1">
      <alignment horizontal="distributed" vertical="center"/>
    </xf>
    <xf numFmtId="183" fontId="0" fillId="0" borderId="0" xfId="15" applyFont="1" applyAlignment="1">
      <alignment horizontal="left" vertical="center"/>
    </xf>
    <xf numFmtId="183" fontId="14" fillId="0" borderId="0" xfId="15" applyFont="1" applyAlignment="1" quotePrefix="1">
      <alignment horizontal="center" wrapText="1"/>
    </xf>
    <xf numFmtId="183" fontId="13" fillId="0" borderId="6" xfId="15" applyFont="1" applyBorder="1" applyAlignment="1">
      <alignment horizontal="left" vertical="center"/>
    </xf>
    <xf numFmtId="183" fontId="14" fillId="0" borderId="6" xfId="15" applyFont="1" applyBorder="1" applyAlignment="1" quotePrefix="1">
      <alignment horizontal="distributed" vertical="center"/>
    </xf>
    <xf numFmtId="183" fontId="14" fillId="0" borderId="0" xfId="15" applyFont="1" applyAlignment="1" quotePrefix="1">
      <alignment horizontal="center" vertical="center"/>
    </xf>
    <xf numFmtId="183" fontId="13" fillId="0" borderId="0" xfId="15" applyFont="1" applyBorder="1" applyAlignment="1">
      <alignment horizontal="distributed" vertical="center" wrapText="1"/>
    </xf>
    <xf numFmtId="183" fontId="14" fillId="0" borderId="0" xfId="15" applyFont="1" applyBorder="1" applyAlignment="1" quotePrefix="1">
      <alignment horizontal="center" vertical="center"/>
    </xf>
    <xf numFmtId="183" fontId="17" fillId="0" borderId="0" xfId="15" applyFont="1" applyBorder="1" applyAlignment="1" quotePrefix="1">
      <alignment horizontal="distributed" vertical="center"/>
    </xf>
    <xf numFmtId="183" fontId="17" fillId="0" borderId="0" xfId="15" applyFont="1" applyAlignment="1">
      <alignment horizontal="left" vertical="center"/>
    </xf>
    <xf numFmtId="183" fontId="13" fillId="0" borderId="0" xfId="15" applyFont="1" applyBorder="1" applyAlignment="1" quotePrefix="1">
      <alignment horizontal="distributed" vertical="center"/>
    </xf>
    <xf numFmtId="183" fontId="19" fillId="0" borderId="0" xfId="15" applyFont="1" applyBorder="1" applyAlignment="1">
      <alignment vertical="center"/>
    </xf>
    <xf numFmtId="183" fontId="12" fillId="0" borderId="6" xfId="15" applyFont="1" applyBorder="1" applyAlignment="1">
      <alignment/>
    </xf>
    <xf numFmtId="183" fontId="13" fillId="0" borderId="6" xfId="15" applyFont="1" applyBorder="1" applyAlignment="1">
      <alignment horizontal="left"/>
    </xf>
    <xf numFmtId="183" fontId="14" fillId="0" borderId="6" xfId="15" applyFont="1" applyBorder="1" applyAlignment="1">
      <alignment horizontal="left" vertical="center"/>
    </xf>
    <xf numFmtId="183" fontId="14" fillId="0" borderId="6" xfId="15" applyFont="1" applyBorder="1" applyAlignment="1">
      <alignment/>
    </xf>
    <xf numFmtId="183" fontId="7" fillId="0" borderId="0" xfId="15" applyFont="1" applyAlignment="1">
      <alignment horizontal="distributed" vertical="center"/>
    </xf>
    <xf numFmtId="183" fontId="20" fillId="0" borderId="7" xfId="15" applyFont="1" applyBorder="1" applyAlignment="1">
      <alignment horizontal="distributed" vertical="center"/>
    </xf>
    <xf numFmtId="183" fontId="12" fillId="0" borderId="0" xfId="15" applyFont="1" applyFill="1" applyAlignment="1">
      <alignment vertical="center"/>
    </xf>
    <xf numFmtId="183" fontId="13" fillId="0" borderId="0" xfId="15" applyFont="1" applyAlignment="1" quotePrefix="1">
      <alignment horizontal="center" vertical="center"/>
    </xf>
    <xf numFmtId="183" fontId="14" fillId="0" borderId="0" xfId="15" applyFont="1" applyFill="1" applyAlignment="1">
      <alignment/>
    </xf>
    <xf numFmtId="183" fontId="14" fillId="0" borderId="0" xfId="15" applyFont="1" applyBorder="1" applyAlignment="1" quotePrefix="1">
      <alignment horizontal="left"/>
    </xf>
    <xf numFmtId="183" fontId="14" fillId="0" borderId="0" xfId="15" applyFont="1" applyAlignment="1" quotePrefix="1">
      <alignment horizontal="left" wrapText="1"/>
    </xf>
    <xf numFmtId="183" fontId="14" fillId="0" borderId="6" xfId="15" applyFont="1" applyBorder="1" applyAlignment="1">
      <alignment horizontal="center"/>
    </xf>
    <xf numFmtId="183" fontId="9" fillId="0" borderId="0" xfId="15" applyFont="1" applyAlignment="1">
      <alignment horizontal="left"/>
    </xf>
    <xf numFmtId="183" fontId="0" fillId="0" borderId="7" xfId="15" applyBorder="1" applyAlignment="1">
      <alignment horizontal="distributed" vertical="center"/>
    </xf>
    <xf numFmtId="183" fontId="0" fillId="0" borderId="10" xfId="15" applyFont="1" applyBorder="1" applyAlignment="1">
      <alignment horizontal="distributed" vertical="center"/>
    </xf>
    <xf numFmtId="183" fontId="0" fillId="0" borderId="11" xfId="15" applyBorder="1" applyAlignment="1">
      <alignment horizontal="distributed" vertical="center"/>
    </xf>
    <xf numFmtId="183" fontId="13" fillId="0" borderId="0" xfId="15" applyFont="1" applyAlignment="1">
      <alignment horizontal="distributed" vertical="center"/>
    </xf>
    <xf numFmtId="183" fontId="16" fillId="0" borderId="0" xfId="15" applyFont="1" applyAlignment="1">
      <alignment horizontal="distributed" vertical="center"/>
    </xf>
    <xf numFmtId="183" fontId="14" fillId="0" borderId="0" xfId="15" applyFont="1" applyAlignment="1">
      <alignment horizontal="distributed" vertical="center"/>
    </xf>
    <xf numFmtId="183" fontId="13" fillId="0" borderId="0" xfId="15" applyFont="1" applyAlignment="1">
      <alignment vertical="center"/>
    </xf>
    <xf numFmtId="183" fontId="14" fillId="0" borderId="0" xfId="15" applyFont="1" applyAlignment="1">
      <alignment vertical="center"/>
    </xf>
    <xf numFmtId="183" fontId="13" fillId="0" borderId="0" xfId="15" applyFont="1" applyBorder="1" applyAlignment="1">
      <alignment horizontal="distributed" vertical="center"/>
    </xf>
    <xf numFmtId="183" fontId="14" fillId="0" borderId="0" xfId="15" applyFont="1" applyBorder="1" applyAlignment="1">
      <alignment horizontal="distributed" vertical="center"/>
    </xf>
    <xf numFmtId="183" fontId="16" fillId="0" borderId="0" xfId="15" applyFont="1" applyBorder="1" applyAlignment="1">
      <alignment horizontal="distributed" vertical="center"/>
    </xf>
    <xf numFmtId="183" fontId="0" fillId="0" borderId="1" xfId="15" applyBorder="1" applyAlignment="1" quotePrefix="1">
      <alignment horizontal="distributed" vertical="center" wrapText="1"/>
    </xf>
    <xf numFmtId="183" fontId="0" fillId="0" borderId="12" xfId="15" applyBorder="1" applyAlignment="1">
      <alignment horizontal="distributed" vertical="center" wrapText="1"/>
    </xf>
    <xf numFmtId="183" fontId="0" fillId="0" borderId="13" xfId="15" applyBorder="1" applyAlignment="1">
      <alignment horizontal="distributed" vertical="center" wrapText="1"/>
    </xf>
    <xf numFmtId="183" fontId="0" fillId="0" borderId="14" xfId="15" applyBorder="1" applyAlignment="1">
      <alignment horizontal="distributed" vertical="center" wrapText="1"/>
    </xf>
    <xf numFmtId="183" fontId="13" fillId="0" borderId="0" xfId="15" applyFont="1" applyAlignment="1" quotePrefix="1">
      <alignment horizontal="distributed" vertical="center"/>
    </xf>
    <xf numFmtId="183" fontId="5" fillId="0" borderId="0" xfId="15" applyFont="1" applyAlignment="1">
      <alignment vertical="center"/>
    </xf>
    <xf numFmtId="183" fontId="5" fillId="0" borderId="0" xfId="15" applyFont="1" applyAlignment="1" quotePrefix="1">
      <alignment vertical="center"/>
    </xf>
    <xf numFmtId="183" fontId="10" fillId="0" borderId="12" xfId="15" applyFont="1" applyBorder="1" applyAlignment="1" quotePrefix="1">
      <alignment horizontal="distributed" vertical="center"/>
    </xf>
    <xf numFmtId="183" fontId="0" fillId="0" borderId="15" xfId="15" applyBorder="1" applyAlignment="1">
      <alignment horizontal="distributed" vertical="center"/>
    </xf>
    <xf numFmtId="183" fontId="0" fillId="0" borderId="14" xfId="15" applyBorder="1" applyAlignment="1">
      <alignment horizontal="distributed" vertical="center"/>
    </xf>
    <xf numFmtId="183" fontId="0" fillId="0" borderId="16" xfId="15" applyBorder="1" applyAlignment="1">
      <alignment horizontal="distributed" vertical="center"/>
    </xf>
    <xf numFmtId="183" fontId="0" fillId="0" borderId="12" xfId="15" applyBorder="1" applyAlignment="1" quotePrefix="1">
      <alignment horizontal="distributed" vertical="center"/>
    </xf>
    <xf numFmtId="183" fontId="0" fillId="0" borderId="0" xfId="15" applyAlignment="1">
      <alignment horizontal="distributed" vertical="center"/>
    </xf>
    <xf numFmtId="183" fontId="0" fillId="0" borderId="17" xfId="15" applyBorder="1" applyAlignment="1">
      <alignment horizontal="distributed" vertical="center"/>
    </xf>
    <xf numFmtId="183" fontId="0" fillId="0" borderId="6" xfId="15" applyBorder="1" applyAlignment="1">
      <alignment horizontal="distributed" vertical="center"/>
    </xf>
    <xf numFmtId="183" fontId="0" fillId="0" borderId="8" xfId="15" applyBorder="1" applyAlignment="1">
      <alignment horizontal="distributed" vertical="center"/>
    </xf>
    <xf numFmtId="183" fontId="0" fillId="0" borderId="1" xfId="15" applyFont="1" applyBorder="1" applyAlignment="1" quotePrefix="1">
      <alignment horizontal="center" vertical="center"/>
    </xf>
    <xf numFmtId="183" fontId="0" fillId="0" borderId="15" xfId="15" applyBorder="1" applyAlignment="1">
      <alignment horizontal="center" vertical="center"/>
    </xf>
    <xf numFmtId="183" fontId="0" fillId="0" borderId="13" xfId="15" applyBorder="1" applyAlignment="1">
      <alignment horizontal="center" vertical="center"/>
    </xf>
    <xf numFmtId="183" fontId="0" fillId="0" borderId="16" xfId="15" applyBorder="1" applyAlignment="1">
      <alignment horizontal="center" vertical="center"/>
    </xf>
    <xf numFmtId="183" fontId="0" fillId="0" borderId="1" xfId="15" applyBorder="1" applyAlignment="1" quotePrefix="1">
      <alignment horizontal="distributed" vertical="center"/>
    </xf>
    <xf numFmtId="183" fontId="0" fillId="0" borderId="13" xfId="15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17.00390625" style="1" customWidth="1"/>
    <col min="2" max="2" width="16.375" style="1" customWidth="1"/>
    <col min="3" max="3" width="0.74609375" style="1" customWidth="1"/>
    <col min="4" max="4" width="2.625" style="2" customWidth="1"/>
    <col min="5" max="5" width="31.625" style="3" customWidth="1"/>
    <col min="6" max="6" width="10.375" style="4" customWidth="1"/>
    <col min="7" max="7" width="19.25390625" style="5" customWidth="1"/>
    <col min="8" max="8" width="21.125" style="5" customWidth="1"/>
    <col min="9" max="9" width="20.375" style="5" customWidth="1"/>
    <col min="10" max="10" width="21.50390625" style="5" customWidth="1"/>
    <col min="11" max="12" width="13.75390625" style="5" customWidth="1"/>
    <col min="13" max="13" width="13.25390625" style="5" customWidth="1"/>
    <col min="14" max="16384" width="9.00390625" style="5" customWidth="1"/>
  </cols>
  <sheetData>
    <row r="1" ht="13.5" customHeight="1"/>
    <row r="2" spans="2:13" ht="33.75" customHeight="1">
      <c r="B2" s="6"/>
      <c r="C2" s="6"/>
      <c r="D2" s="6"/>
      <c r="E2" s="6"/>
      <c r="F2" s="6"/>
      <c r="G2" s="6" t="s">
        <v>69</v>
      </c>
      <c r="H2" s="106" t="s">
        <v>70</v>
      </c>
      <c r="I2" s="107"/>
      <c r="J2" s="107"/>
      <c r="K2" s="7"/>
      <c r="L2" s="7"/>
      <c r="M2" s="7"/>
    </row>
    <row r="3" spans="1:13" s="11" customFormat="1" ht="17.25" thickBot="1">
      <c r="A3" s="8"/>
      <c r="B3" s="8"/>
      <c r="C3" s="8"/>
      <c r="D3" s="9"/>
      <c r="E3" s="10"/>
      <c r="F3" s="4"/>
      <c r="G3" s="10"/>
      <c r="H3" s="10"/>
      <c r="I3" s="10"/>
      <c r="J3" s="10"/>
      <c r="L3" s="12" t="s">
        <v>71</v>
      </c>
      <c r="M3" s="10"/>
    </row>
    <row r="4" spans="1:13" ht="17.25" customHeight="1">
      <c r="A4" s="108" t="s">
        <v>58</v>
      </c>
      <c r="B4" s="109"/>
      <c r="C4" s="13"/>
      <c r="D4" s="112" t="s">
        <v>32</v>
      </c>
      <c r="E4" s="109"/>
      <c r="F4" s="91" t="s">
        <v>0</v>
      </c>
      <c r="G4" s="117" t="s">
        <v>79</v>
      </c>
      <c r="H4" s="118"/>
      <c r="I4" s="121" t="s">
        <v>48</v>
      </c>
      <c r="J4" s="109"/>
      <c r="K4" s="101" t="s">
        <v>49</v>
      </c>
      <c r="L4" s="102"/>
      <c r="M4" s="14"/>
    </row>
    <row r="5" spans="1:13" ht="22.5" customHeight="1">
      <c r="A5" s="110"/>
      <c r="B5" s="111"/>
      <c r="C5" s="15"/>
      <c r="D5" s="113"/>
      <c r="E5" s="114"/>
      <c r="F5" s="92"/>
      <c r="G5" s="119"/>
      <c r="H5" s="120"/>
      <c r="I5" s="122"/>
      <c r="J5" s="111"/>
      <c r="K5" s="103"/>
      <c r="L5" s="104"/>
      <c r="M5" s="14"/>
    </row>
    <row r="6" spans="1:12" ht="33.75" customHeight="1" thickBot="1">
      <c r="A6" s="16" t="s">
        <v>1</v>
      </c>
      <c r="B6" s="17" t="s">
        <v>2</v>
      </c>
      <c r="C6" s="18">
        <v>2</v>
      </c>
      <c r="D6" s="115"/>
      <c r="E6" s="90"/>
      <c r="F6" s="116"/>
      <c r="G6" s="21" t="s">
        <v>1</v>
      </c>
      <c r="H6" s="22" t="s">
        <v>2</v>
      </c>
      <c r="I6" s="20" t="s">
        <v>1</v>
      </c>
      <c r="J6" s="82" t="s">
        <v>2</v>
      </c>
      <c r="K6" s="21" t="s">
        <v>1</v>
      </c>
      <c r="L6" s="19" t="s">
        <v>2</v>
      </c>
    </row>
    <row r="7" spans="1:13" ht="15" customHeight="1">
      <c r="A7" s="23"/>
      <c r="B7" s="23"/>
      <c r="E7" s="23"/>
      <c r="F7" s="24"/>
      <c r="G7" s="23"/>
      <c r="H7" s="23"/>
      <c r="I7" s="23"/>
      <c r="J7" s="23"/>
      <c r="K7" s="25"/>
      <c r="L7" s="23"/>
      <c r="M7" s="14"/>
    </row>
    <row r="8" spans="3:13" s="26" customFormat="1" ht="17.25" customHeight="1">
      <c r="C8" s="27"/>
      <c r="D8" s="28"/>
      <c r="E8" s="29" t="s">
        <v>3</v>
      </c>
      <c r="F8" s="30"/>
      <c r="H8" s="85"/>
      <c r="M8" s="31"/>
    </row>
    <row r="9" spans="1:13" s="38" customFormat="1" ht="27" customHeight="1">
      <c r="A9" s="32">
        <f>A10+A11+A12</f>
        <v>992875871397</v>
      </c>
      <c r="B9" s="32">
        <f>SUM(B10:B12)</f>
        <v>19215155538.97</v>
      </c>
      <c r="C9" s="33"/>
      <c r="D9" s="93" t="s">
        <v>33</v>
      </c>
      <c r="E9" s="95"/>
      <c r="F9" s="36" t="s">
        <v>73</v>
      </c>
      <c r="G9" s="32">
        <f>SUM(G10:G12)</f>
        <v>1036894389814.08</v>
      </c>
      <c r="H9" s="32">
        <f>SUM(H10:H12)</f>
        <v>13762283080.2</v>
      </c>
      <c r="I9" s="32">
        <f>SUM(I10:I12)</f>
        <v>1002863496000</v>
      </c>
      <c r="J9" s="32">
        <f>SUM(J10:J12)</f>
        <v>21012732000</v>
      </c>
      <c r="K9" s="32">
        <f aca="true" t="shared" si="0" ref="K9:L12">G9/I9*100</f>
        <v>103.39337247290533</v>
      </c>
      <c r="L9" s="32">
        <f>H9/J9*100</f>
        <v>65.49497266799958</v>
      </c>
      <c r="M9" s="37"/>
    </row>
    <row r="10" spans="1:25" s="43" customFormat="1" ht="17.25" customHeight="1">
      <c r="A10" s="39">
        <f>481818352383</f>
        <v>481818352383</v>
      </c>
      <c r="B10" s="39">
        <f>8023720777.95</f>
        <v>8023720777.95</v>
      </c>
      <c r="C10" s="39"/>
      <c r="D10" s="40"/>
      <c r="E10" s="41" t="s">
        <v>4</v>
      </c>
      <c r="F10" s="42" t="s">
        <v>5</v>
      </c>
      <c r="G10" s="39">
        <f>470669116454.71</f>
        <v>470669116454.71</v>
      </c>
      <c r="H10" s="83">
        <v>5426979698.33</v>
      </c>
      <c r="I10" s="39">
        <f>603401000000</f>
        <v>603401000000</v>
      </c>
      <c r="J10" s="39">
        <f>11171502000</f>
        <v>11171502000</v>
      </c>
      <c r="K10" s="39">
        <f t="shared" si="0"/>
        <v>78.00270739602851</v>
      </c>
      <c r="L10" s="39">
        <f>H10/J10*100</f>
        <v>48.57878285596691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s="43" customFormat="1" ht="17.25" customHeight="1">
      <c r="A11" s="39">
        <f>510453142020</f>
        <v>510453142020</v>
      </c>
      <c r="B11" s="39">
        <f>11191434761.02</f>
        <v>11191434761.02</v>
      </c>
      <c r="C11" s="39"/>
      <c r="D11" s="40"/>
      <c r="E11" s="41" t="s">
        <v>6</v>
      </c>
      <c r="F11" s="44" t="s">
        <v>5</v>
      </c>
      <c r="G11" s="39">
        <f>565304997529.3</f>
        <v>565304997529.3</v>
      </c>
      <c r="H11" s="39">
        <f>8327177432.87</f>
        <v>8327177432.87</v>
      </c>
      <c r="I11" s="39">
        <f>397962496000</f>
        <v>397962496000</v>
      </c>
      <c r="J11" s="39">
        <f>9800730000</f>
        <v>9800730000</v>
      </c>
      <c r="K11" s="39">
        <f>G11/I11*100</f>
        <v>142.04981705846473</v>
      </c>
      <c r="L11" s="39">
        <f t="shared" si="0"/>
        <v>84.96486927881902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s="43" customFormat="1" ht="17.25" customHeight="1">
      <c r="A12" s="39">
        <f>604376994</f>
        <v>604376994</v>
      </c>
      <c r="B12" s="39"/>
      <c r="C12" s="39"/>
      <c r="D12" s="40"/>
      <c r="E12" s="45" t="s">
        <v>62</v>
      </c>
      <c r="F12" s="44"/>
      <c r="G12" s="39">
        <f>920275830.07</f>
        <v>920275830.07</v>
      </c>
      <c r="H12" s="39">
        <f>8125949</f>
        <v>8125949</v>
      </c>
      <c r="I12" s="39">
        <f>1500000000</f>
        <v>1500000000</v>
      </c>
      <c r="J12" s="39">
        <f>40500000</f>
        <v>40500000</v>
      </c>
      <c r="K12" s="39">
        <f>G12/I12*100</f>
        <v>61.35172200466668</v>
      </c>
      <c r="L12" s="39">
        <f t="shared" si="0"/>
        <v>20.06407160493827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12" s="38" customFormat="1" ht="17.25" customHeight="1">
      <c r="A13" s="33">
        <f>SUM(A14:A17)</f>
        <v>4264592209956</v>
      </c>
      <c r="B13" s="33">
        <f>SUM(B14:B17)</f>
        <v>94813880146.89</v>
      </c>
      <c r="C13" s="33"/>
      <c r="D13" s="93" t="s">
        <v>34</v>
      </c>
      <c r="E13" s="95"/>
      <c r="F13" s="44" t="s">
        <v>5</v>
      </c>
      <c r="G13" s="33">
        <f>SUM(G14:G17)</f>
        <v>5335312624308.4</v>
      </c>
      <c r="H13" s="33">
        <f>SUM(H14:H17)</f>
        <v>79410104257.38</v>
      </c>
      <c r="I13" s="33">
        <f>SUM(I14:I17)</f>
        <v>4799013809000</v>
      </c>
      <c r="J13" s="33">
        <f>SUM(J14:J17)</f>
        <v>111067968000</v>
      </c>
      <c r="K13" s="33">
        <f aca="true" t="shared" si="1" ref="K13:K23">G13/I13*100</f>
        <v>111.17518800013939</v>
      </c>
      <c r="L13" s="33">
        <f>H13/J13*100</f>
        <v>71.4968552025549</v>
      </c>
    </row>
    <row r="14" spans="1:35" s="43" customFormat="1" ht="17.25" customHeight="1">
      <c r="A14" s="39">
        <f>428918912</f>
        <v>428918912</v>
      </c>
      <c r="B14" s="39"/>
      <c r="C14" s="39"/>
      <c r="D14" s="40"/>
      <c r="E14" s="46" t="s">
        <v>8</v>
      </c>
      <c r="F14" s="44" t="s">
        <v>5</v>
      </c>
      <c r="G14" s="39">
        <f>379033434.44</f>
        <v>379033434.44</v>
      </c>
      <c r="H14" s="39"/>
      <c r="I14" s="39">
        <f>430300000</f>
        <v>430300000</v>
      </c>
      <c r="J14" s="39"/>
      <c r="K14" s="39">
        <f t="shared" si="1"/>
        <v>88.0858550871485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43" customFormat="1" ht="17.25" customHeight="1">
      <c r="A15" s="39">
        <f>4097434888793</f>
        <v>4097434888793</v>
      </c>
      <c r="B15" s="39">
        <f>92683040917</f>
        <v>92683040917</v>
      </c>
      <c r="C15" s="39"/>
      <c r="D15" s="40"/>
      <c r="E15" s="46" t="s">
        <v>9</v>
      </c>
      <c r="F15" s="44" t="s">
        <v>5</v>
      </c>
      <c r="G15" s="39">
        <f>5161232279624.45</f>
        <v>5161232279624.45</v>
      </c>
      <c r="H15" s="39">
        <f>77957578261</f>
        <v>77957578261</v>
      </c>
      <c r="I15" s="39">
        <f>4639407764000</f>
        <v>4639407764000</v>
      </c>
      <c r="J15" s="39">
        <f>108832548000</f>
        <v>108832548000</v>
      </c>
      <c r="K15" s="39">
        <f t="shared" si="1"/>
        <v>111.24765362668929</v>
      </c>
      <c r="L15" s="39">
        <f>H15/J15*100</f>
        <v>71.63075724460664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s="43" customFormat="1" ht="17.25" customHeight="1">
      <c r="A16" s="39">
        <f>162089429779</f>
        <v>162089429779</v>
      </c>
      <c r="B16" s="39">
        <f>1700383329.89</f>
        <v>1700383329.89</v>
      </c>
      <c r="C16" s="39"/>
      <c r="D16" s="40"/>
      <c r="E16" s="46" t="s">
        <v>10</v>
      </c>
      <c r="F16" s="44" t="s">
        <v>5</v>
      </c>
      <c r="G16" s="39">
        <f>168659865858.51</f>
        <v>168659865858.51</v>
      </c>
      <c r="H16" s="39">
        <f>1008413841.38</f>
        <v>1008413841.38</v>
      </c>
      <c r="I16" s="39">
        <f>154465984000</f>
        <v>154465984000</v>
      </c>
      <c r="J16" s="39">
        <f>1784216000</f>
        <v>1784216000</v>
      </c>
      <c r="K16" s="39">
        <f t="shared" si="1"/>
        <v>109.18900167593533</v>
      </c>
      <c r="L16" s="39">
        <f>H16/J16*100</f>
        <v>56.518596480470976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s="43" customFormat="1" ht="17.25" customHeight="1">
      <c r="A17" s="39">
        <f>4638972472</f>
        <v>4638972472</v>
      </c>
      <c r="B17" s="39">
        <f>430455900</f>
        <v>430455900</v>
      </c>
      <c r="C17" s="39"/>
      <c r="D17" s="47"/>
      <c r="E17" s="48" t="s">
        <v>11</v>
      </c>
      <c r="F17" s="44" t="s">
        <v>5</v>
      </c>
      <c r="G17" s="39">
        <f>5041445391</f>
        <v>5041445391</v>
      </c>
      <c r="H17" s="39">
        <f>444112155</f>
        <v>444112155</v>
      </c>
      <c r="I17" s="39">
        <f>4709761000</f>
        <v>4709761000</v>
      </c>
      <c r="J17" s="39">
        <f>451204000</f>
        <v>451204000</v>
      </c>
      <c r="K17" s="39">
        <f t="shared" si="1"/>
        <v>107.04248880144873</v>
      </c>
      <c r="L17" s="39">
        <f>H17/J17*100</f>
        <v>98.42823977624312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12" s="37" customFormat="1" ht="17.25" customHeight="1">
      <c r="A18" s="32">
        <f>A19</f>
        <v>723617981636</v>
      </c>
      <c r="B18" s="32"/>
      <c r="C18" s="32"/>
      <c r="D18" s="105" t="s">
        <v>12</v>
      </c>
      <c r="E18" s="95"/>
      <c r="F18" s="44" t="s">
        <v>5</v>
      </c>
      <c r="G18" s="32">
        <f>G19</f>
        <v>771696095121.02</v>
      </c>
      <c r="H18" s="32"/>
      <c r="I18" s="32">
        <f>SUM(I19)</f>
        <v>749504600000</v>
      </c>
      <c r="J18" s="32"/>
      <c r="K18" s="32">
        <f t="shared" si="1"/>
        <v>102.96082173758774</v>
      </c>
      <c r="L18" s="32"/>
    </row>
    <row r="19" spans="1:34" s="43" customFormat="1" ht="17.25" customHeight="1">
      <c r="A19" s="39">
        <f>723617981636</f>
        <v>723617981636</v>
      </c>
      <c r="B19" s="39"/>
      <c r="C19" s="39"/>
      <c r="D19" s="40"/>
      <c r="E19" s="46" t="s">
        <v>12</v>
      </c>
      <c r="F19" s="44" t="s">
        <v>5</v>
      </c>
      <c r="G19" s="39">
        <f>771696095121.02</f>
        <v>771696095121.02</v>
      </c>
      <c r="H19" s="39"/>
      <c r="I19" s="39">
        <f>749504600000</f>
        <v>749504600000</v>
      </c>
      <c r="J19" s="39"/>
      <c r="K19" s="39">
        <f t="shared" si="1"/>
        <v>102.96082173758774</v>
      </c>
      <c r="L19" s="32" t="s">
        <v>7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1:13" s="37" customFormat="1" ht="17.25" customHeight="1">
      <c r="A20" s="32">
        <f>SUM(A21:A23)</f>
        <v>4579191845241</v>
      </c>
      <c r="B20" s="32">
        <f>SUM(B21:B23)</f>
        <v>254643198373.61</v>
      </c>
      <c r="C20" s="32"/>
      <c r="D20" s="93" t="s">
        <v>35</v>
      </c>
      <c r="E20" s="95"/>
      <c r="F20" s="44" t="s">
        <v>5</v>
      </c>
      <c r="G20" s="32">
        <f>SUM(G21:G23)</f>
        <v>5898279987185.851</v>
      </c>
      <c r="H20" s="32">
        <f>SUM(H21:H23)</f>
        <v>314529809110.71</v>
      </c>
      <c r="I20" s="32">
        <f>SUM(I21:I23)</f>
        <v>4159113695000</v>
      </c>
      <c r="J20" s="32">
        <f>SUM(J21:J23)</f>
        <v>183292243000</v>
      </c>
      <c r="K20" s="32">
        <f t="shared" si="1"/>
        <v>141.81579104886313</v>
      </c>
      <c r="L20" s="32">
        <f>H20/J20*100</f>
        <v>171.60017465153177</v>
      </c>
      <c r="M20" s="37" t="s">
        <v>7</v>
      </c>
    </row>
    <row r="21" spans="1:30" s="43" customFormat="1" ht="17.25" customHeight="1">
      <c r="A21" s="39">
        <f>8019056885</f>
        <v>8019056885</v>
      </c>
      <c r="B21" s="39">
        <f>134756672.8</f>
        <v>134756672.8</v>
      </c>
      <c r="C21" s="32"/>
      <c r="D21" s="40"/>
      <c r="E21" s="46" t="s">
        <v>13</v>
      </c>
      <c r="F21" s="44" t="s">
        <v>5</v>
      </c>
      <c r="G21" s="39">
        <f>10303677621.46</f>
        <v>10303677621.46</v>
      </c>
      <c r="H21" s="39">
        <f>104701390.99</f>
        <v>104701390.99</v>
      </c>
      <c r="I21" s="39">
        <f>60540000000</f>
        <v>60540000000</v>
      </c>
      <c r="J21" s="39">
        <f>1524091000</f>
        <v>1524091000</v>
      </c>
      <c r="K21" s="39">
        <f t="shared" si="1"/>
        <v>17.019619460621076</v>
      </c>
      <c r="L21" s="39">
        <f>H21/J21*100</f>
        <v>6.869759810273796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43" customFormat="1" ht="17.25" customHeight="1">
      <c r="A22" s="39">
        <f>4505024096833</f>
        <v>4505024096833</v>
      </c>
      <c r="B22" s="39">
        <f>250023096320.31</f>
        <v>250023096320.31</v>
      </c>
      <c r="C22" s="32"/>
      <c r="D22" s="40"/>
      <c r="E22" s="35" t="s">
        <v>52</v>
      </c>
      <c r="F22" s="44" t="s">
        <v>5</v>
      </c>
      <c r="G22" s="39">
        <f>5806010322800.73</f>
        <v>5806010322800.73</v>
      </c>
      <c r="H22" s="39">
        <f>308336559701.26</f>
        <v>308336559701.26</v>
      </c>
      <c r="I22" s="39">
        <f>4030752000000</f>
        <v>4030752000000</v>
      </c>
      <c r="J22" s="39">
        <f>178932102000</f>
        <v>178932102000</v>
      </c>
      <c r="K22" s="39">
        <f t="shared" si="1"/>
        <v>144.04285658856537</v>
      </c>
      <c r="L22" s="39">
        <f>H22/J22*100</f>
        <v>172.32042559990717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43" customFormat="1" ht="17.25" customHeight="1">
      <c r="A23" s="39">
        <f>66148691523</f>
        <v>66148691523</v>
      </c>
      <c r="B23" s="39">
        <f>4485345380.5</f>
        <v>4485345380.5</v>
      </c>
      <c r="C23" s="39"/>
      <c r="D23" s="40"/>
      <c r="E23" s="46" t="s">
        <v>14</v>
      </c>
      <c r="F23" s="44" t="s">
        <v>5</v>
      </c>
      <c r="G23" s="39">
        <f>81965986763.66</f>
        <v>81965986763.66</v>
      </c>
      <c r="H23" s="83">
        <v>6088548018.46</v>
      </c>
      <c r="I23" s="39">
        <f>67821695000</f>
        <v>67821695000</v>
      </c>
      <c r="J23" s="39">
        <f>2836050000</f>
        <v>2836050000</v>
      </c>
      <c r="K23" s="39">
        <f t="shared" si="1"/>
        <v>120.85511393317434</v>
      </c>
      <c r="L23" s="39">
        <f>H23/J23*100</f>
        <v>214.68408591033304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3:6" s="43" customFormat="1" ht="9" customHeight="1">
      <c r="C24" s="39"/>
      <c r="D24" s="40"/>
      <c r="E24" s="46"/>
      <c r="F24" s="50"/>
    </row>
    <row r="25" spans="3:6" s="43" customFormat="1" ht="17.25" customHeight="1">
      <c r="C25" s="39"/>
      <c r="D25" s="40" t="s">
        <v>7</v>
      </c>
      <c r="E25" s="29" t="s">
        <v>15</v>
      </c>
      <c r="F25" s="51"/>
    </row>
    <row r="26" spans="1:12" s="43" customFormat="1" ht="17.25" customHeight="1">
      <c r="A26" s="32">
        <f>SUM(A27:A29)</f>
        <v>109595159725</v>
      </c>
      <c r="B26" s="32">
        <f>SUM(B27:B29)</f>
        <v>4097502076.72</v>
      </c>
      <c r="C26" s="32"/>
      <c r="D26" s="93" t="s">
        <v>33</v>
      </c>
      <c r="E26" s="95"/>
      <c r="F26" s="44" t="s">
        <v>5</v>
      </c>
      <c r="G26" s="32">
        <f>SUM(G27:G29)</f>
        <v>98921135367</v>
      </c>
      <c r="H26" s="32">
        <f>SUM(H27:H29)</f>
        <v>2896558537.05</v>
      </c>
      <c r="I26" s="32">
        <f>SUM(I27:I29)</f>
        <v>112500000000</v>
      </c>
      <c r="J26" s="32">
        <f>SUM(J27:J29)</f>
        <v>4950742000</v>
      </c>
      <c r="K26" s="32">
        <f aca="true" t="shared" si="2" ref="K26:L31">G26/I26*100</f>
        <v>87.929898104</v>
      </c>
      <c r="L26" s="32">
        <f t="shared" si="2"/>
        <v>58.50756385709456</v>
      </c>
    </row>
    <row r="27" spans="1:12" s="43" customFormat="1" ht="17.25" customHeight="1">
      <c r="A27" s="39">
        <f>1449976982</f>
        <v>1449976982</v>
      </c>
      <c r="B27" s="39">
        <f>40122525.07</f>
        <v>40122525.07</v>
      </c>
      <c r="C27" s="39"/>
      <c r="D27" s="40"/>
      <c r="E27" s="46" t="s">
        <v>17</v>
      </c>
      <c r="F27" s="44" t="s">
        <v>5</v>
      </c>
      <c r="G27" s="39">
        <f>1672563818</f>
        <v>1672563818</v>
      </c>
      <c r="H27" s="39">
        <f>35972734</f>
        <v>35972734</v>
      </c>
      <c r="I27" s="39">
        <f>2470308000</f>
        <v>2470308000</v>
      </c>
      <c r="J27" s="39">
        <f>95398000</f>
        <v>95398000</v>
      </c>
      <c r="K27" s="39">
        <f t="shared" si="2"/>
        <v>67.70669155425153</v>
      </c>
      <c r="L27" s="39">
        <f t="shared" si="2"/>
        <v>37.708058869158684</v>
      </c>
    </row>
    <row r="28" spans="1:12" s="43" customFormat="1" ht="17.25" customHeight="1">
      <c r="A28" s="39">
        <f>22358166215</f>
        <v>22358166215</v>
      </c>
      <c r="B28" s="39">
        <f>894940145.16</f>
        <v>894940145.16</v>
      </c>
      <c r="C28" s="39"/>
      <c r="D28" s="40"/>
      <c r="E28" s="46" t="s">
        <v>18</v>
      </c>
      <c r="F28" s="44" t="s">
        <v>5</v>
      </c>
      <c r="G28" s="39">
        <f>18463467962</f>
        <v>18463467962</v>
      </c>
      <c r="H28" s="39">
        <f>524773015.94</f>
        <v>524773015.94</v>
      </c>
      <c r="I28" s="39">
        <f>22458938000</f>
        <v>22458938000</v>
      </c>
      <c r="J28" s="39">
        <f>1088232000</f>
        <v>1088232000</v>
      </c>
      <c r="K28" s="39">
        <f t="shared" si="2"/>
        <v>82.20988882911561</v>
      </c>
      <c r="L28" s="39">
        <f t="shared" si="2"/>
        <v>48.222531219445855</v>
      </c>
    </row>
    <row r="29" spans="1:12" s="43" customFormat="1" ht="17.25" customHeight="1">
      <c r="A29" s="39">
        <f>85787016528</f>
        <v>85787016528</v>
      </c>
      <c r="B29" s="39">
        <f>3162439406.49</f>
        <v>3162439406.49</v>
      </c>
      <c r="C29" s="39"/>
      <c r="D29" s="40"/>
      <c r="E29" s="46" t="s">
        <v>19</v>
      </c>
      <c r="F29" s="42" t="s">
        <v>5</v>
      </c>
      <c r="G29" s="39">
        <f>78785103587</f>
        <v>78785103587</v>
      </c>
      <c r="H29" s="39">
        <f>2335812787.11</f>
        <v>2335812787.11</v>
      </c>
      <c r="I29" s="39">
        <f>87570754000</f>
        <v>87570754000</v>
      </c>
      <c r="J29" s="39">
        <f>3767112000</f>
        <v>3767112000</v>
      </c>
      <c r="K29" s="39">
        <f t="shared" si="2"/>
        <v>89.96736922808726</v>
      </c>
      <c r="L29" s="39">
        <f t="shared" si="2"/>
        <v>62.00539795763971</v>
      </c>
    </row>
    <row r="30" spans="1:12" s="43" customFormat="1" ht="17.25" customHeight="1">
      <c r="A30" s="32">
        <f>A31</f>
        <v>13052656000</v>
      </c>
      <c r="B30" s="32">
        <f>B31</f>
        <v>42238169.56</v>
      </c>
      <c r="C30" s="39"/>
      <c r="D30" s="93" t="s">
        <v>59</v>
      </c>
      <c r="E30" s="93"/>
      <c r="F30" s="44" t="s">
        <v>74</v>
      </c>
      <c r="G30" s="32">
        <f>G31</f>
        <v>15731526000</v>
      </c>
      <c r="H30" s="32">
        <f>H31</f>
        <v>54907291.33</v>
      </c>
      <c r="I30" s="32">
        <f>I31</f>
        <v>12300000000</v>
      </c>
      <c r="J30" s="32">
        <f>J31</f>
        <v>46740000</v>
      </c>
      <c r="K30" s="33">
        <f t="shared" si="2"/>
        <v>127.89858536585366</v>
      </c>
      <c r="L30" s="33">
        <f t="shared" si="2"/>
        <v>117.47387961061189</v>
      </c>
    </row>
    <row r="31" spans="1:12" s="26" customFormat="1" ht="17.25" customHeight="1">
      <c r="A31" s="52">
        <v>13052656000</v>
      </c>
      <c r="B31" s="52">
        <v>42238169.56</v>
      </c>
      <c r="C31" s="52"/>
      <c r="E31" s="53" t="s">
        <v>36</v>
      </c>
      <c r="F31" s="42" t="s">
        <v>5</v>
      </c>
      <c r="G31" s="52">
        <v>15731526000</v>
      </c>
      <c r="H31" s="52">
        <v>54907291.33</v>
      </c>
      <c r="I31" s="52">
        <v>12300000000</v>
      </c>
      <c r="J31" s="52">
        <v>46740000</v>
      </c>
      <c r="K31" s="52">
        <f t="shared" si="2"/>
        <v>127.89858536585366</v>
      </c>
      <c r="L31" s="52">
        <f t="shared" si="2"/>
        <v>117.47387961061189</v>
      </c>
    </row>
    <row r="32" spans="1:20" s="43" customFormat="1" ht="10.5" customHeight="1">
      <c r="A32" s="39"/>
      <c r="B32" s="39"/>
      <c r="C32" s="39"/>
      <c r="D32" s="40"/>
      <c r="E32" s="46"/>
      <c r="F32" s="5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3:6" s="43" customFormat="1" ht="17.25" customHeight="1">
      <c r="C33" s="39"/>
      <c r="D33" s="40"/>
      <c r="E33" s="54" t="s">
        <v>63</v>
      </c>
      <c r="F33" s="51"/>
    </row>
    <row r="34" spans="1:23" s="43" customFormat="1" ht="28.5" customHeight="1">
      <c r="A34" s="32">
        <f>SUM(A35:A37)</f>
        <v>175399286000</v>
      </c>
      <c r="B34" s="32">
        <f>SUM(B35:B37)</f>
        <v>7856655740.690001</v>
      </c>
      <c r="C34" s="32"/>
      <c r="D34" s="93" t="s">
        <v>33</v>
      </c>
      <c r="E34" s="95"/>
      <c r="F34" s="36" t="s">
        <v>73</v>
      </c>
      <c r="G34" s="32">
        <f>SUM(G35:G37)</f>
        <v>166548628000</v>
      </c>
      <c r="H34" s="32">
        <f>SUM(H35:H37)</f>
        <v>5571060377.51</v>
      </c>
      <c r="I34" s="32">
        <f>SUM(I35:I37)</f>
        <v>199894417000</v>
      </c>
      <c r="J34" s="32">
        <f>SUM(J35:J37)</f>
        <v>9115717000</v>
      </c>
      <c r="K34" s="32">
        <f aca="true" t="shared" si="3" ref="K34:L54">G34/I34*100</f>
        <v>83.31829897980593</v>
      </c>
      <c r="L34" s="32">
        <f t="shared" si="3"/>
        <v>61.114889563925686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12" s="43" customFormat="1" ht="17.25" customHeight="1">
      <c r="A35" s="39">
        <f>24960891000</f>
        <v>24960891000</v>
      </c>
      <c r="B35" s="39">
        <f>1071585120.66</f>
        <v>1071585120.66</v>
      </c>
      <c r="C35" s="39"/>
      <c r="D35" s="40"/>
      <c r="E35" s="46" t="s">
        <v>17</v>
      </c>
      <c r="F35" s="50" t="s">
        <v>5</v>
      </c>
      <c r="G35" s="39">
        <f>24706038000</f>
        <v>24706038000</v>
      </c>
      <c r="H35" s="39">
        <f>661527629.87</f>
        <v>661527629.87</v>
      </c>
      <c r="I35" s="39">
        <f>33997157000</f>
        <v>33997157000</v>
      </c>
      <c r="J35" s="39">
        <f>1531719000</f>
        <v>1531719000</v>
      </c>
      <c r="K35" s="39">
        <f t="shared" si="3"/>
        <v>72.67089421624284</v>
      </c>
      <c r="L35" s="39">
        <f t="shared" si="3"/>
        <v>43.18857635571538</v>
      </c>
    </row>
    <row r="36" spans="1:12" s="43" customFormat="1" ht="17.25" customHeight="1">
      <c r="A36" s="39">
        <f>51490852000</f>
        <v>51490852000</v>
      </c>
      <c r="B36" s="39">
        <f>2733426962.55</f>
        <v>2733426962.55</v>
      </c>
      <c r="C36" s="39"/>
      <c r="D36" s="40"/>
      <c r="E36" s="46" t="s">
        <v>18</v>
      </c>
      <c r="F36" s="50" t="s">
        <v>5</v>
      </c>
      <c r="G36" s="39">
        <f>39866511000</f>
        <v>39866511000</v>
      </c>
      <c r="H36" s="39">
        <v>1722073384.88</v>
      </c>
      <c r="I36" s="39">
        <f>68514534000</f>
        <v>68514534000</v>
      </c>
      <c r="J36" s="39">
        <f>3456272000</f>
        <v>3456272000</v>
      </c>
      <c r="K36" s="39">
        <f t="shared" si="3"/>
        <v>58.18694030670923</v>
      </c>
      <c r="L36" s="39">
        <f t="shared" si="3"/>
        <v>49.82459091414102</v>
      </c>
    </row>
    <row r="37" spans="1:12" s="43" customFormat="1" ht="17.25" customHeight="1">
      <c r="A37" s="39">
        <f>98947543000</f>
        <v>98947543000</v>
      </c>
      <c r="B37" s="39">
        <f>4051643657.48</f>
        <v>4051643657.48</v>
      </c>
      <c r="C37" s="39"/>
      <c r="D37" s="40"/>
      <c r="E37" s="46" t="s">
        <v>19</v>
      </c>
      <c r="F37" s="50" t="s">
        <v>5</v>
      </c>
      <c r="G37" s="39">
        <f>101976079000</f>
        <v>101976079000</v>
      </c>
      <c r="H37" s="39">
        <f>3187459362.76</f>
        <v>3187459362.76</v>
      </c>
      <c r="I37" s="39">
        <f>97382726000</f>
        <v>97382726000</v>
      </c>
      <c r="J37" s="39">
        <f>4127726000</f>
        <v>4127726000</v>
      </c>
      <c r="K37" s="39">
        <f t="shared" si="3"/>
        <v>104.71680470312567</v>
      </c>
      <c r="L37" s="39">
        <f t="shared" si="3"/>
        <v>77.22071093769306</v>
      </c>
    </row>
    <row r="38" spans="1:13" s="43" customFormat="1" ht="17.25" customHeight="1">
      <c r="A38" s="32">
        <f>SUM(A39:A42)</f>
        <v>177987001000</v>
      </c>
      <c r="B38" s="32">
        <f>SUM(B39:B42)</f>
        <v>4312126135.5</v>
      </c>
      <c r="C38" s="32"/>
      <c r="D38" s="93" t="s">
        <v>34</v>
      </c>
      <c r="E38" s="95"/>
      <c r="F38" s="50" t="s">
        <v>5</v>
      </c>
      <c r="G38" s="32">
        <f>SUM(G39:G42)</f>
        <v>169045876000</v>
      </c>
      <c r="H38" s="32">
        <f>SUM(H39:H42)</f>
        <v>2643075867.21</v>
      </c>
      <c r="I38" s="32">
        <f>SUM(I39:I42)</f>
        <v>181305452000</v>
      </c>
      <c r="J38" s="32">
        <f>SUM(J39:J42)</f>
        <v>4571977000</v>
      </c>
      <c r="K38" s="32">
        <f t="shared" si="3"/>
        <v>93.23816472987254</v>
      </c>
      <c r="L38" s="32">
        <f t="shared" si="3"/>
        <v>57.81034915989297</v>
      </c>
      <c r="M38" s="39"/>
    </row>
    <row r="39" spans="1:13" s="56" customFormat="1" ht="17.25" customHeight="1">
      <c r="A39" s="55">
        <v>3136348000</v>
      </c>
      <c r="B39" s="55"/>
      <c r="C39" s="55"/>
      <c r="D39" s="28"/>
      <c r="E39" s="41" t="s">
        <v>20</v>
      </c>
      <c r="F39" s="50" t="s">
        <v>5</v>
      </c>
      <c r="G39" s="55">
        <f>2443746000</f>
        <v>2443746000</v>
      </c>
      <c r="H39" s="55">
        <v>0</v>
      </c>
      <c r="I39" s="55">
        <f>2633123000</f>
        <v>2633123000</v>
      </c>
      <c r="J39" s="55">
        <v>0</v>
      </c>
      <c r="K39" s="55">
        <f t="shared" si="3"/>
        <v>92.80789389633527</v>
      </c>
      <c r="L39" s="55" t="s">
        <v>7</v>
      </c>
      <c r="M39" s="55"/>
    </row>
    <row r="40" spans="1:13" s="56" customFormat="1" ht="17.25" customHeight="1">
      <c r="A40" s="55">
        <f>16775270000</f>
        <v>16775270000</v>
      </c>
      <c r="B40" s="55">
        <f>149091623.97</f>
        <v>149091623.97</v>
      </c>
      <c r="C40" s="55"/>
      <c r="D40" s="28"/>
      <c r="E40" s="41" t="s">
        <v>21</v>
      </c>
      <c r="F40" s="50" t="s">
        <v>5</v>
      </c>
      <c r="G40" s="55">
        <f>18931354000</f>
        <v>18931354000</v>
      </c>
      <c r="H40" s="55">
        <f>46683938.33</f>
        <v>46683938.33</v>
      </c>
      <c r="I40" s="55">
        <f>12379814000</f>
        <v>12379814000</v>
      </c>
      <c r="J40" s="55">
        <f>121769000</f>
        <v>121769000</v>
      </c>
      <c r="K40" s="55">
        <f t="shared" si="3"/>
        <v>152.92115051163125</v>
      </c>
      <c r="L40" s="55">
        <f t="shared" si="3"/>
        <v>38.338114240898754</v>
      </c>
      <c r="M40" s="55"/>
    </row>
    <row r="41" spans="1:13" s="43" customFormat="1" ht="17.25" customHeight="1">
      <c r="A41" s="39">
        <f>67122032000</f>
        <v>67122032000</v>
      </c>
      <c r="B41" s="39">
        <f>1620242087.53</f>
        <v>1620242087.53</v>
      </c>
      <c r="C41" s="39"/>
      <c r="D41" s="40"/>
      <c r="E41" s="46" t="s">
        <v>22</v>
      </c>
      <c r="F41" s="50" t="s">
        <v>5</v>
      </c>
      <c r="G41" s="39">
        <f>58014876000</f>
        <v>58014876000</v>
      </c>
      <c r="H41" s="39">
        <f>913943898.88</f>
        <v>913943898.88</v>
      </c>
      <c r="I41" s="39">
        <f>83082323000</f>
        <v>83082323000</v>
      </c>
      <c r="J41" s="39">
        <f>2006766000</f>
        <v>2006766000</v>
      </c>
      <c r="K41" s="39">
        <f t="shared" si="3"/>
        <v>69.82818234391448</v>
      </c>
      <c r="L41" s="39">
        <f t="shared" si="3"/>
        <v>45.543122560378244</v>
      </c>
      <c r="M41" s="39"/>
    </row>
    <row r="42" spans="1:20" s="43" customFormat="1" ht="17.25" customHeight="1">
      <c r="A42" s="39">
        <f>90953351000</f>
        <v>90953351000</v>
      </c>
      <c r="B42" s="39">
        <f>2542792424</f>
        <v>2542792424</v>
      </c>
      <c r="C42" s="39"/>
      <c r="D42" s="40"/>
      <c r="E42" s="46" t="s">
        <v>23</v>
      </c>
      <c r="F42" s="50" t="s">
        <v>5</v>
      </c>
      <c r="G42" s="39">
        <f>89655900000</f>
        <v>89655900000</v>
      </c>
      <c r="H42" s="39">
        <f>1682448030</f>
        <v>1682448030</v>
      </c>
      <c r="I42" s="39">
        <f>83210192000</f>
        <v>83210192000</v>
      </c>
      <c r="J42" s="39">
        <f>2443442000</f>
        <v>2443442000</v>
      </c>
      <c r="K42" s="39">
        <f t="shared" si="3"/>
        <v>107.74629627101449</v>
      </c>
      <c r="L42" s="39">
        <f t="shared" si="3"/>
        <v>68.85565648785607</v>
      </c>
      <c r="M42" s="39"/>
      <c r="N42" s="39"/>
      <c r="O42" s="39"/>
      <c r="P42" s="39"/>
      <c r="Q42" s="39"/>
      <c r="R42" s="39"/>
      <c r="S42" s="39"/>
      <c r="T42" s="39"/>
    </row>
    <row r="43" spans="1:26" s="56" customFormat="1" ht="17.25" customHeight="1">
      <c r="A43" s="61"/>
      <c r="B43" s="61">
        <f>SUM(B44:B46)</f>
        <v>28738737978</v>
      </c>
      <c r="C43" s="61"/>
      <c r="D43" s="98" t="s">
        <v>39</v>
      </c>
      <c r="E43" s="99"/>
      <c r="F43" s="50" t="s">
        <v>5</v>
      </c>
      <c r="G43" s="61"/>
      <c r="H43" s="61">
        <f>SUM(H44:H46)</f>
        <v>28974326595.73</v>
      </c>
      <c r="I43" s="61"/>
      <c r="J43" s="61">
        <f>SUM(J44:J46)</f>
        <v>28375126000</v>
      </c>
      <c r="K43" s="55"/>
      <c r="L43" s="61">
        <f>H43/J43*100</f>
        <v>102.11171078405079</v>
      </c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12" s="43" customFormat="1" ht="17.25" customHeight="1">
      <c r="A44" s="39"/>
      <c r="B44" s="39">
        <f>12288540514</f>
        <v>12288540514</v>
      </c>
      <c r="C44" s="39"/>
      <c r="D44" s="40"/>
      <c r="E44" s="46" t="s">
        <v>26</v>
      </c>
      <c r="F44" s="44"/>
      <c r="G44" s="39"/>
      <c r="H44" s="39">
        <f>12481866635.73</f>
        <v>12481866635.73</v>
      </c>
      <c r="I44" s="39"/>
      <c r="J44" s="39">
        <f>12185155000</f>
        <v>12185155000</v>
      </c>
      <c r="K44" s="39"/>
      <c r="L44" s="39">
        <f>H44/J44*100</f>
        <v>102.4350255350055</v>
      </c>
    </row>
    <row r="45" spans="1:15" s="43" customFormat="1" ht="17.25" customHeight="1">
      <c r="A45" s="39"/>
      <c r="B45" s="83">
        <v>16447868679</v>
      </c>
      <c r="C45" s="39"/>
      <c r="D45" s="40"/>
      <c r="E45" s="46" t="s">
        <v>25</v>
      </c>
      <c r="F45" s="44"/>
      <c r="G45" s="39"/>
      <c r="H45" s="39">
        <v>16490325500</v>
      </c>
      <c r="I45" s="39"/>
      <c r="J45" s="39">
        <v>16187789000</v>
      </c>
      <c r="K45" s="39"/>
      <c r="L45" s="39">
        <f>H45/J45*100</f>
        <v>101.86891798503181</v>
      </c>
      <c r="M45" s="39"/>
      <c r="N45" s="39"/>
      <c r="O45" s="39"/>
    </row>
    <row r="46" spans="1:15" s="43" customFormat="1" ht="17.25" customHeight="1">
      <c r="A46" s="39"/>
      <c r="B46" s="39">
        <v>2328785</v>
      </c>
      <c r="C46" s="39"/>
      <c r="D46" s="40"/>
      <c r="E46" s="35" t="s">
        <v>66</v>
      </c>
      <c r="F46" s="44"/>
      <c r="G46" s="39"/>
      <c r="H46" s="39">
        <v>2134460</v>
      </c>
      <c r="I46" s="39"/>
      <c r="J46" s="39">
        <v>2182000</v>
      </c>
      <c r="K46" s="39"/>
      <c r="L46" s="39">
        <f>H46/J46*100</f>
        <v>97.82126489459212</v>
      </c>
      <c r="M46" s="39"/>
      <c r="N46" s="39"/>
      <c r="O46" s="39"/>
    </row>
    <row r="47" spans="1:15" s="60" customFormat="1" ht="17.25" customHeight="1" thickBot="1">
      <c r="A47" s="59"/>
      <c r="B47" s="59"/>
      <c r="C47" s="59"/>
      <c r="D47" s="68"/>
      <c r="E47" s="57"/>
      <c r="F47" s="88"/>
      <c r="G47" s="59"/>
      <c r="H47" s="59"/>
      <c r="I47" s="59"/>
      <c r="J47" s="59"/>
      <c r="K47" s="59"/>
      <c r="L47" s="59"/>
      <c r="M47" s="59"/>
      <c r="N47" s="59"/>
      <c r="O47" s="59"/>
    </row>
    <row r="48" spans="1:15" s="43" customFormat="1" ht="49.5" customHeight="1">
      <c r="A48" s="39"/>
      <c r="B48" s="39"/>
      <c r="C48" s="39"/>
      <c r="D48" s="40"/>
      <c r="E48" s="35"/>
      <c r="F48" s="44"/>
      <c r="G48" s="39"/>
      <c r="H48" s="39"/>
      <c r="I48" s="39"/>
      <c r="J48" s="39"/>
      <c r="K48" s="39"/>
      <c r="L48" s="39"/>
      <c r="M48" s="39"/>
      <c r="N48" s="39"/>
      <c r="O48" s="39"/>
    </row>
    <row r="49" spans="1:35" s="64" customFormat="1" ht="17.25" customHeight="1">
      <c r="A49" s="61">
        <f>SUM(A50:A53)</f>
        <v>44005269000</v>
      </c>
      <c r="B49" s="61">
        <f>SUM(B50:B53)</f>
        <v>3451921425</v>
      </c>
      <c r="C49" s="61"/>
      <c r="D49" s="98" t="s">
        <v>60</v>
      </c>
      <c r="E49" s="100"/>
      <c r="F49" s="63" t="s">
        <v>75</v>
      </c>
      <c r="G49" s="61">
        <f>SUM(G50:G53)</f>
        <v>62038742813</v>
      </c>
      <c r="H49" s="61">
        <f>SUM(H50:H53)</f>
        <v>4583256876</v>
      </c>
      <c r="I49" s="61">
        <f>SUM(I50:I53)</f>
        <v>34083160000</v>
      </c>
      <c r="J49" s="61">
        <f>SUM(J50:J53)</f>
        <v>5859993000</v>
      </c>
      <c r="K49" s="61">
        <f t="shared" si="3"/>
        <v>182.0216869943984</v>
      </c>
      <c r="L49" s="61">
        <f t="shared" si="3"/>
        <v>78.21266810386976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</row>
    <row r="50" spans="1:35" s="56" customFormat="1" ht="17.25" customHeight="1">
      <c r="A50" s="55">
        <f>32096487000</f>
        <v>32096487000</v>
      </c>
      <c r="B50" s="55">
        <f>341028310</f>
        <v>341028310</v>
      </c>
      <c r="C50" s="55"/>
      <c r="D50" s="65"/>
      <c r="E50" s="45" t="s">
        <v>53</v>
      </c>
      <c r="F50" s="50" t="s">
        <v>5</v>
      </c>
      <c r="G50" s="55">
        <f>52014817000</f>
        <v>52014817000</v>
      </c>
      <c r="H50" s="55">
        <f>406311488</f>
        <v>406311488</v>
      </c>
      <c r="I50" s="55">
        <f>28200000000</f>
        <v>28200000000</v>
      </c>
      <c r="J50" s="55">
        <f>230090000</f>
        <v>230090000</v>
      </c>
      <c r="K50" s="55">
        <f t="shared" si="3"/>
        <v>184.44970567375887</v>
      </c>
      <c r="L50" s="55">
        <f t="shared" si="3"/>
        <v>176.58806901647182</v>
      </c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8" s="43" customFormat="1" ht="17.25" customHeight="1">
      <c r="A51" s="39">
        <f>801018000</f>
        <v>801018000</v>
      </c>
      <c r="B51" s="39">
        <f>11071792</f>
        <v>11071792</v>
      </c>
      <c r="C51" s="39"/>
      <c r="D51" s="40"/>
      <c r="E51" s="35" t="s">
        <v>54</v>
      </c>
      <c r="F51" s="44" t="s">
        <v>5</v>
      </c>
      <c r="G51" s="39">
        <f>399204516</f>
        <v>399204516</v>
      </c>
      <c r="H51" s="39">
        <f>10419089</f>
        <v>10419089</v>
      </c>
      <c r="I51" s="39">
        <f>346500000</f>
        <v>346500000</v>
      </c>
      <c r="J51" s="39">
        <f>10000000</f>
        <v>10000000</v>
      </c>
      <c r="K51" s="39">
        <f t="shared" si="3"/>
        <v>115.21053852813851</v>
      </c>
      <c r="L51" s="39">
        <f t="shared" si="3"/>
        <v>104.19089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1:38" s="43" customFormat="1" ht="17.25" customHeight="1">
      <c r="A52" s="39">
        <f>2977608000</f>
        <v>2977608000</v>
      </c>
      <c r="B52" s="39">
        <f>2977607806</f>
        <v>2977607806</v>
      </c>
      <c r="C52" s="39"/>
      <c r="D52" s="40"/>
      <c r="E52" s="35" t="s">
        <v>55</v>
      </c>
      <c r="F52" s="44" t="s">
        <v>5</v>
      </c>
      <c r="G52" s="39">
        <f>3998586463</f>
        <v>3998586463</v>
      </c>
      <c r="H52" s="39">
        <f>3998586463</f>
        <v>3998586463</v>
      </c>
      <c r="I52" s="39">
        <f>5518000000</f>
        <v>5518000000</v>
      </c>
      <c r="J52" s="39">
        <f>5518000000</f>
        <v>5518000000</v>
      </c>
      <c r="K52" s="39">
        <f t="shared" si="3"/>
        <v>72.4644157847046</v>
      </c>
      <c r="L52" s="39">
        <f t="shared" si="3"/>
        <v>72.4644157847046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1:38" s="56" customFormat="1" ht="17.25" customHeight="1">
      <c r="A53" s="55">
        <f>8130156000</f>
        <v>8130156000</v>
      </c>
      <c r="B53" s="55">
        <f>122213517</f>
        <v>122213517</v>
      </c>
      <c r="C53" s="55"/>
      <c r="D53" s="28"/>
      <c r="E53" s="41" t="s">
        <v>24</v>
      </c>
      <c r="F53" s="44" t="s">
        <v>5</v>
      </c>
      <c r="G53" s="55">
        <f>5626134834</f>
        <v>5626134834</v>
      </c>
      <c r="H53" s="55">
        <f>167939836</f>
        <v>167939836</v>
      </c>
      <c r="I53" s="55">
        <f>18660000</f>
        <v>18660000</v>
      </c>
      <c r="J53" s="55">
        <f>101903000</f>
        <v>101903000</v>
      </c>
      <c r="K53" s="55">
        <f t="shared" si="3"/>
        <v>30150.776173633443</v>
      </c>
      <c r="L53" s="55">
        <f t="shared" si="3"/>
        <v>164.80362305329578</v>
      </c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</row>
    <row r="54" spans="1:19" s="43" customFormat="1" ht="17.25" customHeight="1">
      <c r="A54" s="32">
        <f>A55</f>
        <v>1053643000</v>
      </c>
      <c r="B54" s="32">
        <f>B55</f>
        <v>27557037</v>
      </c>
      <c r="C54" s="32"/>
      <c r="D54" s="93" t="s">
        <v>37</v>
      </c>
      <c r="E54" s="95"/>
      <c r="F54" s="50" t="s">
        <v>5</v>
      </c>
      <c r="G54" s="32">
        <f>G55</f>
        <v>901596000</v>
      </c>
      <c r="H54" s="32">
        <f>H55</f>
        <v>18860296</v>
      </c>
      <c r="I54" s="32">
        <f>I55</f>
        <v>1207200000</v>
      </c>
      <c r="J54" s="32">
        <f>J55</f>
        <v>27162000</v>
      </c>
      <c r="K54" s="61">
        <f t="shared" si="3"/>
        <v>74.68489065606362</v>
      </c>
      <c r="L54" s="61">
        <f t="shared" si="3"/>
        <v>69.43633016714527</v>
      </c>
      <c r="M54" s="39"/>
      <c r="N54" s="39"/>
      <c r="O54" s="39"/>
      <c r="P54" s="39"/>
      <c r="Q54" s="39"/>
      <c r="R54" s="39"/>
      <c r="S54" s="39"/>
    </row>
    <row r="55" spans="1:14" s="43" customFormat="1" ht="17.25" customHeight="1">
      <c r="A55" s="39">
        <f>1053643000</f>
        <v>1053643000</v>
      </c>
      <c r="B55" s="39">
        <f>27557037</f>
        <v>27557037</v>
      </c>
      <c r="C55" s="39"/>
      <c r="D55" s="40"/>
      <c r="E55" s="46" t="s">
        <v>38</v>
      </c>
      <c r="F55" s="50" t="s">
        <v>5</v>
      </c>
      <c r="G55" s="39">
        <f>901596000</f>
        <v>901596000</v>
      </c>
      <c r="H55" s="39">
        <f>18860296</f>
        <v>18860296</v>
      </c>
      <c r="I55" s="39">
        <f>1207200000</f>
        <v>1207200000</v>
      </c>
      <c r="J55" s="39">
        <f>27162000</f>
        <v>27162000</v>
      </c>
      <c r="K55" s="39">
        <f>G55/I55*100</f>
        <v>74.68489065606362</v>
      </c>
      <c r="L55" s="39">
        <f>H55/J55*100</f>
        <v>69.43633016714527</v>
      </c>
      <c r="M55" s="39"/>
      <c r="N55" s="39"/>
    </row>
    <row r="56" ht="10.5" customHeight="1">
      <c r="F56" s="66"/>
    </row>
    <row r="57" spans="1:24" s="43" customFormat="1" ht="17.25" customHeight="1">
      <c r="A57" s="32"/>
      <c r="B57" s="32"/>
      <c r="C57" s="39"/>
      <c r="D57" s="40"/>
      <c r="E57" s="49" t="s">
        <v>27</v>
      </c>
      <c r="F57" s="51"/>
      <c r="G57" s="32"/>
      <c r="H57" s="32"/>
      <c r="I57" s="32"/>
      <c r="J57" s="32"/>
      <c r="K57" s="32"/>
      <c r="L57" s="32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s="43" customFormat="1" ht="17.25" customHeight="1">
      <c r="A58" s="32"/>
      <c r="B58" s="32">
        <f>B59</f>
        <v>3597274436</v>
      </c>
      <c r="C58" s="39"/>
      <c r="D58" s="93" t="s">
        <v>39</v>
      </c>
      <c r="E58" s="95"/>
      <c r="F58" s="44"/>
      <c r="G58" s="32"/>
      <c r="H58" s="32">
        <f>H59</f>
        <v>3765842895</v>
      </c>
      <c r="I58" s="32"/>
      <c r="J58" s="32">
        <f>J59</f>
        <v>3400177000</v>
      </c>
      <c r="K58" s="32"/>
      <c r="L58" s="32">
        <f>H58/J58*100</f>
        <v>110.75431940748967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1" s="43" customFormat="1" ht="17.25" customHeight="1">
      <c r="A59" s="39"/>
      <c r="B59" s="39">
        <v>3597274436</v>
      </c>
      <c r="C59" s="39"/>
      <c r="E59" s="53" t="s">
        <v>40</v>
      </c>
      <c r="F59" s="44"/>
      <c r="G59" s="39"/>
      <c r="H59" s="39">
        <v>3765842895</v>
      </c>
      <c r="I59" s="39"/>
      <c r="J59" s="39">
        <v>3400177000</v>
      </c>
      <c r="K59" s="39"/>
      <c r="L59" s="39">
        <f>H59/J59*100</f>
        <v>110.75431940748967</v>
      </c>
      <c r="M59" s="39"/>
      <c r="N59" s="39"/>
      <c r="O59" s="39"/>
      <c r="P59" s="39"/>
      <c r="Q59" s="39"/>
      <c r="R59" s="39"/>
      <c r="S59" s="39"/>
      <c r="T59" s="39"/>
      <c r="U59" s="39"/>
    </row>
    <row r="60" spans="1:21" s="37" customFormat="1" ht="10.5" customHeight="1">
      <c r="A60" s="32"/>
      <c r="B60" s="32"/>
      <c r="C60" s="32"/>
      <c r="D60" s="34"/>
      <c r="E60" s="35"/>
      <c r="F60" s="67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3:6" s="43" customFormat="1" ht="18.75" customHeight="1">
      <c r="C61" s="39"/>
      <c r="D61" s="40"/>
      <c r="E61" s="84" t="s">
        <v>64</v>
      </c>
      <c r="F61" s="51"/>
    </row>
    <row r="62" spans="1:23" s="43" customFormat="1" ht="28.5" customHeight="1">
      <c r="A62" s="32">
        <f>SUM(A63:A66)</f>
        <v>1205417235000</v>
      </c>
      <c r="B62" s="32">
        <f>SUM(B63:B66)</f>
        <v>62140648248.74</v>
      </c>
      <c r="C62" s="32"/>
      <c r="D62" s="93" t="s">
        <v>33</v>
      </c>
      <c r="E62" s="95"/>
      <c r="F62" s="67" t="s">
        <v>76</v>
      </c>
      <c r="G62" s="32">
        <f>SUM(G63:G66)</f>
        <v>1142749460000</v>
      </c>
      <c r="H62" s="32">
        <f>SUM(H63:H66)</f>
        <v>39723868312.85</v>
      </c>
      <c r="I62" s="32">
        <f>SUM(I63:I66)</f>
        <v>1410000000000</v>
      </c>
      <c r="J62" s="32">
        <f>SUM(J63:J66)</f>
        <v>87172413000</v>
      </c>
      <c r="K62" s="32">
        <f aca="true" t="shared" si="4" ref="K62:L67">G62/I62*100</f>
        <v>81.0460609929078</v>
      </c>
      <c r="L62" s="32">
        <f t="shared" si="4"/>
        <v>45.569311374746505</v>
      </c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12" s="43" customFormat="1" ht="17.25" customHeight="1">
      <c r="A63" s="39">
        <v>1657000</v>
      </c>
      <c r="B63" s="39">
        <v>65317</v>
      </c>
      <c r="C63" s="39"/>
      <c r="D63" s="40"/>
      <c r="E63" s="35" t="s">
        <v>16</v>
      </c>
      <c r="F63" s="50" t="s">
        <v>5</v>
      </c>
      <c r="G63" s="39">
        <v>1447000</v>
      </c>
      <c r="H63" s="39">
        <v>89503</v>
      </c>
      <c r="I63" s="39">
        <v>800000000</v>
      </c>
      <c r="J63" s="39">
        <v>52000000</v>
      </c>
      <c r="K63" s="39">
        <f t="shared" si="4"/>
        <v>0.180875</v>
      </c>
      <c r="L63" s="39">
        <f t="shared" si="4"/>
        <v>0.17212115384615384</v>
      </c>
    </row>
    <row r="64" spans="1:12" s="43" customFormat="1" ht="17.25" customHeight="1">
      <c r="A64" s="39">
        <v>223901385000</v>
      </c>
      <c r="B64" s="39">
        <v>9130203074</v>
      </c>
      <c r="C64" s="39"/>
      <c r="D64" s="40"/>
      <c r="E64" s="35" t="s">
        <v>51</v>
      </c>
      <c r="F64" s="50" t="s">
        <v>5</v>
      </c>
      <c r="G64" s="39">
        <v>328236453000</v>
      </c>
      <c r="H64" s="39">
        <v>7751969718</v>
      </c>
      <c r="I64" s="39">
        <v>232000000000</v>
      </c>
      <c r="J64" s="39">
        <v>13205749000</v>
      </c>
      <c r="K64" s="39">
        <f t="shared" si="4"/>
        <v>141.4812297413793</v>
      </c>
      <c r="L64" s="39">
        <f t="shared" si="4"/>
        <v>58.701477046095604</v>
      </c>
    </row>
    <row r="65" spans="1:12" s="43" customFormat="1" ht="17.25" customHeight="1">
      <c r="A65" s="39">
        <v>277926285000</v>
      </c>
      <c r="B65" s="39">
        <v>15469587848.17</v>
      </c>
      <c r="C65" s="39"/>
      <c r="D65" s="40"/>
      <c r="E65" s="46" t="s">
        <v>56</v>
      </c>
      <c r="F65" s="50" t="s">
        <v>5</v>
      </c>
      <c r="G65" s="39">
        <v>241988776000</v>
      </c>
      <c r="H65" s="39">
        <v>9756292298.49</v>
      </c>
      <c r="I65" s="39">
        <v>317200000000</v>
      </c>
      <c r="J65" s="39">
        <v>19601560000</v>
      </c>
      <c r="K65" s="39">
        <f t="shared" si="4"/>
        <v>76.28902143757882</v>
      </c>
      <c r="L65" s="39">
        <f t="shared" si="4"/>
        <v>49.773039995235074</v>
      </c>
    </row>
    <row r="66" spans="1:12" s="43" customFormat="1" ht="17.25" customHeight="1">
      <c r="A66" s="39">
        <v>703587908000</v>
      </c>
      <c r="B66" s="39">
        <v>37540792009.57</v>
      </c>
      <c r="C66" s="39"/>
      <c r="D66" s="40"/>
      <c r="E66" s="46" t="s">
        <v>57</v>
      </c>
      <c r="F66" s="50" t="s">
        <v>5</v>
      </c>
      <c r="G66" s="39">
        <v>572522784000</v>
      </c>
      <c r="H66" s="39">
        <v>22215516793.36</v>
      </c>
      <c r="I66" s="39">
        <v>860000000000</v>
      </c>
      <c r="J66" s="39">
        <v>54313104000</v>
      </c>
      <c r="K66" s="39">
        <f t="shared" si="4"/>
        <v>66.57241674418604</v>
      </c>
      <c r="L66" s="39">
        <f t="shared" si="4"/>
        <v>40.902683067717874</v>
      </c>
    </row>
    <row r="67" spans="1:13" s="43" customFormat="1" ht="17.25" customHeight="1">
      <c r="A67" s="32">
        <f>SUM(A68:A70)</f>
        <v>1921655372000</v>
      </c>
      <c r="B67" s="32">
        <f>SUM(B68:B70)</f>
        <v>120345055341</v>
      </c>
      <c r="C67" s="32"/>
      <c r="D67" s="93" t="s">
        <v>34</v>
      </c>
      <c r="E67" s="95"/>
      <c r="F67" s="50" t="s">
        <v>5</v>
      </c>
      <c r="G67" s="32">
        <f>SUM(G68:G70)</f>
        <v>1960246029</v>
      </c>
      <c r="H67" s="32">
        <f>SUM(H68:H70)</f>
        <v>34988155054.64</v>
      </c>
      <c r="I67" s="32">
        <f>SUM(I68:I70)</f>
        <v>1860627006</v>
      </c>
      <c r="J67" s="32">
        <f>SUM(J68:J70)</f>
        <v>66368245000</v>
      </c>
      <c r="K67" s="32">
        <f t="shared" si="4"/>
        <v>105.35405659913333</v>
      </c>
      <c r="L67" s="32">
        <f t="shared" si="4"/>
        <v>52.71821645222049</v>
      </c>
      <c r="M67" s="39"/>
    </row>
    <row r="68" spans="1:13" s="56" customFormat="1" ht="17.25" customHeight="1">
      <c r="A68" s="39">
        <v>286748491000</v>
      </c>
      <c r="B68" s="55">
        <v>5630184732</v>
      </c>
      <c r="C68" s="55"/>
      <c r="D68" s="28"/>
      <c r="E68" s="41" t="s">
        <v>21</v>
      </c>
      <c r="F68" s="50" t="s">
        <v>5</v>
      </c>
      <c r="G68" s="55">
        <v>333510974</v>
      </c>
      <c r="H68" s="55">
        <f>4097461296</f>
        <v>4097461296</v>
      </c>
      <c r="I68" s="55">
        <v>246000000</v>
      </c>
      <c r="J68" s="55">
        <v>6271768000</v>
      </c>
      <c r="K68" s="55">
        <f aca="true" t="shared" si="5" ref="K68:L70">G68/I68*100</f>
        <v>135.57356666666666</v>
      </c>
      <c r="L68" s="55">
        <f t="shared" si="5"/>
        <v>65.33183778481602</v>
      </c>
      <c r="M68" s="55"/>
    </row>
    <row r="69" spans="1:13" s="43" customFormat="1" ht="17.25" customHeight="1">
      <c r="A69" s="39">
        <v>1341957375000</v>
      </c>
      <c r="B69" s="39">
        <f>34208630698+75628425555</f>
        <v>109837056253</v>
      </c>
      <c r="C69" s="39"/>
      <c r="D69" s="40"/>
      <c r="E69" s="46" t="s">
        <v>22</v>
      </c>
      <c r="F69" s="50" t="s">
        <v>5</v>
      </c>
      <c r="G69" s="39">
        <v>1343881942</v>
      </c>
      <c r="H69" s="39">
        <f>23625034829+4772281971.64</f>
        <v>28397316800.64</v>
      </c>
      <c r="I69" s="39">
        <v>1324627006</v>
      </c>
      <c r="J69" s="39">
        <v>51522977000</v>
      </c>
      <c r="K69" s="39">
        <f t="shared" si="5"/>
        <v>101.45361191586638</v>
      </c>
      <c r="L69" s="39">
        <f t="shared" si="5"/>
        <v>55.115830749919596</v>
      </c>
      <c r="M69" s="39"/>
    </row>
    <row r="70" spans="1:20" s="43" customFormat="1" ht="17.25" customHeight="1">
      <c r="A70" s="39">
        <v>292949506000</v>
      </c>
      <c r="B70" s="39">
        <v>4877814356</v>
      </c>
      <c r="C70" s="39"/>
      <c r="D70" s="40"/>
      <c r="E70" s="46" t="s">
        <v>47</v>
      </c>
      <c r="F70" s="50" t="s">
        <v>5</v>
      </c>
      <c r="G70" s="39">
        <v>282853113</v>
      </c>
      <c r="H70" s="39">
        <v>2493376958</v>
      </c>
      <c r="I70" s="39">
        <v>290000000</v>
      </c>
      <c r="J70" s="39">
        <v>8573500000</v>
      </c>
      <c r="K70" s="39">
        <f t="shared" si="5"/>
        <v>97.53555620689656</v>
      </c>
      <c r="L70" s="39">
        <f t="shared" si="5"/>
        <v>29.082369604012364</v>
      </c>
      <c r="M70" s="39"/>
      <c r="N70" s="39"/>
      <c r="O70" s="39"/>
      <c r="P70" s="39"/>
      <c r="Q70" s="39"/>
      <c r="R70" s="39"/>
      <c r="S70" s="39"/>
      <c r="T70" s="39"/>
    </row>
    <row r="71" spans="1:21" s="37" customFormat="1" ht="8.25" customHeight="1">
      <c r="A71" s="32"/>
      <c r="B71" s="32"/>
      <c r="C71" s="32"/>
      <c r="D71" s="34"/>
      <c r="E71" s="35"/>
      <c r="F71" s="67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3:6" s="43" customFormat="1" ht="17.25" customHeight="1">
      <c r="C72" s="39"/>
      <c r="D72" s="40"/>
      <c r="E72" s="84" t="s">
        <v>72</v>
      </c>
      <c r="F72" s="29"/>
    </row>
    <row r="73" spans="1:23" s="43" customFormat="1" ht="17.25" customHeight="1">
      <c r="A73" s="32">
        <f>SUM(A74:A77)</f>
        <v>1022658059000</v>
      </c>
      <c r="B73" s="32">
        <f>SUM(B74:B77)</f>
        <v>53743714663.659996</v>
      </c>
      <c r="C73" s="32"/>
      <c r="D73" s="93" t="s">
        <v>33</v>
      </c>
      <c r="E73" s="95"/>
      <c r="F73" s="50" t="s">
        <v>5</v>
      </c>
      <c r="G73" s="32">
        <f>SUM(G74:G77)</f>
        <v>1057844635000</v>
      </c>
      <c r="H73" s="32">
        <f>SUM(H74:H77)</f>
        <v>37548744679.270004</v>
      </c>
      <c r="I73" s="32">
        <f>SUM(I74:I77)</f>
        <v>1074728721000</v>
      </c>
      <c r="J73" s="32">
        <f>SUM(J74:J77)</f>
        <v>64961731000</v>
      </c>
      <c r="K73" s="32">
        <f aca="true" t="shared" si="6" ref="K73:L78">G73/I73*100</f>
        <v>98.42899090067213</v>
      </c>
      <c r="L73" s="32">
        <f t="shared" si="6"/>
        <v>57.80133026207385</v>
      </c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12" s="43" customFormat="1" ht="17.25" customHeight="1">
      <c r="A74" s="39">
        <f>963607000</f>
        <v>963607000</v>
      </c>
      <c r="B74" s="39">
        <f>32478464</f>
        <v>32478464</v>
      </c>
      <c r="C74" s="39"/>
      <c r="D74" s="40"/>
      <c r="E74" s="35" t="s">
        <v>16</v>
      </c>
      <c r="F74" s="50" t="s">
        <v>5</v>
      </c>
      <c r="G74" s="39">
        <f>999247000</f>
        <v>999247000</v>
      </c>
      <c r="H74" s="39">
        <f>26016016.04</f>
        <v>26016016.04</v>
      </c>
      <c r="I74" s="39">
        <f>1500000000</f>
        <v>1500000000</v>
      </c>
      <c r="J74" s="39">
        <f>104475000</f>
        <v>104475000</v>
      </c>
      <c r="K74" s="39">
        <f t="shared" si="6"/>
        <v>66.61646666666667</v>
      </c>
      <c r="L74" s="39">
        <f t="shared" si="6"/>
        <v>24.90166646566164</v>
      </c>
    </row>
    <row r="75" spans="1:12" s="43" customFormat="1" ht="17.25" customHeight="1">
      <c r="A75" s="39">
        <f>111657019000</f>
        <v>111657019000</v>
      </c>
      <c r="B75" s="39">
        <f>4299120833.59</f>
        <v>4299120833.59</v>
      </c>
      <c r="C75" s="39"/>
      <c r="D75" s="40"/>
      <c r="E75" s="46" t="s">
        <v>17</v>
      </c>
      <c r="F75" s="50" t="s">
        <v>5</v>
      </c>
      <c r="G75" s="39">
        <f>147618804000</f>
        <v>147618804000</v>
      </c>
      <c r="H75" s="39">
        <f>3839993033.33</f>
        <v>3839993033.33</v>
      </c>
      <c r="I75" s="39">
        <f>90570000000</f>
        <v>90570000000</v>
      </c>
      <c r="J75" s="39">
        <f>5865935000</f>
        <v>5865935000</v>
      </c>
      <c r="K75" s="39">
        <f t="shared" si="6"/>
        <v>162.98863199735013</v>
      </c>
      <c r="L75" s="39">
        <f t="shared" si="6"/>
        <v>65.46259093102805</v>
      </c>
    </row>
    <row r="76" spans="1:12" s="43" customFormat="1" ht="17.25" customHeight="1">
      <c r="A76" s="55">
        <f>272511740000</f>
        <v>272511740000</v>
      </c>
      <c r="B76" s="55">
        <f>14098982484.37</f>
        <v>14098982484.37</v>
      </c>
      <c r="C76" s="55"/>
      <c r="D76" s="28"/>
      <c r="E76" s="41" t="s">
        <v>18</v>
      </c>
      <c r="F76" s="50" t="s">
        <v>5</v>
      </c>
      <c r="G76" s="55">
        <f>302762530000</f>
        <v>302762530000</v>
      </c>
      <c r="H76" s="55">
        <f>9968420161.32</f>
        <v>9968420161.32</v>
      </c>
      <c r="I76" s="55">
        <f>308486845000</f>
        <v>308486845000</v>
      </c>
      <c r="J76" s="55">
        <f>19854912000</f>
        <v>19854912000</v>
      </c>
      <c r="K76" s="55">
        <f t="shared" si="6"/>
        <v>98.14438926885197</v>
      </c>
      <c r="L76" s="55">
        <f t="shared" si="6"/>
        <v>50.20631751639091</v>
      </c>
    </row>
    <row r="77" spans="1:12" s="43" customFormat="1" ht="17.25" customHeight="1">
      <c r="A77" s="39">
        <f>637525693000</f>
        <v>637525693000</v>
      </c>
      <c r="B77" s="39">
        <f>35313132881.7</f>
        <v>35313132881.7</v>
      </c>
      <c r="C77" s="39"/>
      <c r="D77" s="40"/>
      <c r="E77" s="46" t="s">
        <v>19</v>
      </c>
      <c r="F77" s="50" t="s">
        <v>5</v>
      </c>
      <c r="G77" s="39">
        <f>606464054000</f>
        <v>606464054000</v>
      </c>
      <c r="H77" s="39">
        <f>23714315468.58</f>
        <v>23714315468.58</v>
      </c>
      <c r="I77" s="39">
        <f>674171876000</f>
        <v>674171876000</v>
      </c>
      <c r="J77" s="39">
        <f>39136409000</f>
        <v>39136409000</v>
      </c>
      <c r="K77" s="39">
        <f t="shared" si="6"/>
        <v>89.95689016253179</v>
      </c>
      <c r="L77" s="39">
        <f t="shared" si="6"/>
        <v>60.593999486718374</v>
      </c>
    </row>
    <row r="78" spans="1:13" s="43" customFormat="1" ht="17.25" customHeight="1">
      <c r="A78" s="32">
        <f>SUM(A79:A82)</f>
        <v>1362292257000</v>
      </c>
      <c r="B78" s="32">
        <f>SUM(B79:B82)</f>
        <v>31773369580.129997</v>
      </c>
      <c r="C78" s="32"/>
      <c r="D78" s="93" t="s">
        <v>34</v>
      </c>
      <c r="E78" s="95"/>
      <c r="F78" s="50" t="s">
        <v>5</v>
      </c>
      <c r="G78" s="32">
        <f>SUM(G79:G82)</f>
        <v>1405900969000</v>
      </c>
      <c r="H78" s="32">
        <f>SUM(H79:H82)</f>
        <v>20965186138.489998</v>
      </c>
      <c r="I78" s="32">
        <f>SUM(I79:I82)</f>
        <v>1333699420000</v>
      </c>
      <c r="J78" s="32">
        <f>SUM(J79:J82)</f>
        <v>42958167000</v>
      </c>
      <c r="K78" s="32">
        <f t="shared" si="6"/>
        <v>105.41362978173898</v>
      </c>
      <c r="L78" s="32">
        <f t="shared" si="6"/>
        <v>48.80372604932142</v>
      </c>
      <c r="M78" s="39"/>
    </row>
    <row r="79" spans="1:13" s="56" customFormat="1" ht="16.5" customHeight="1">
      <c r="A79" s="55">
        <f>31345683000</f>
        <v>31345683000</v>
      </c>
      <c r="B79" s="55"/>
      <c r="C79" s="55"/>
      <c r="D79" s="28"/>
      <c r="E79" s="41" t="s">
        <v>20</v>
      </c>
      <c r="F79" s="50" t="s">
        <v>5</v>
      </c>
      <c r="G79" s="55">
        <f>28120686000</f>
        <v>28120686000</v>
      </c>
      <c r="H79" s="55"/>
      <c r="I79" s="55">
        <f>27443815000</f>
        <v>27443815000</v>
      </c>
      <c r="J79" s="55"/>
      <c r="K79" s="55">
        <f>G79/I79*100</f>
        <v>102.46638814610868</v>
      </c>
      <c r="L79" s="55" t="s">
        <v>7</v>
      </c>
      <c r="M79" s="55"/>
    </row>
    <row r="80" spans="1:13" s="56" customFormat="1" ht="17.25" customHeight="1">
      <c r="A80" s="55">
        <f>95931826000</f>
        <v>95931826000</v>
      </c>
      <c r="B80" s="55">
        <f>1238253773.31</f>
        <v>1238253773.31</v>
      </c>
      <c r="C80" s="55"/>
      <c r="D80" s="28"/>
      <c r="E80" s="41" t="s">
        <v>21</v>
      </c>
      <c r="F80" s="50" t="s">
        <v>5</v>
      </c>
      <c r="G80" s="55">
        <f>130259790000</f>
        <v>130259790000</v>
      </c>
      <c r="H80" s="55">
        <f>928135861.62</f>
        <v>928135861.62</v>
      </c>
      <c r="I80" s="55">
        <f>100439746000</f>
        <v>100439746000</v>
      </c>
      <c r="J80" s="55">
        <f>1225403000</f>
        <v>1225403000</v>
      </c>
      <c r="K80" s="55">
        <f>G80/I80*100</f>
        <v>129.68948567432656</v>
      </c>
      <c r="L80" s="55">
        <f>H80/J80*100</f>
        <v>75.74127545142292</v>
      </c>
      <c r="M80" s="55"/>
    </row>
    <row r="81" spans="1:13" s="43" customFormat="1" ht="16.5" customHeight="1">
      <c r="A81" s="39">
        <f>494951640000</f>
        <v>494951640000</v>
      </c>
      <c r="B81" s="39">
        <f>11752176327.82</f>
        <v>11752176327.82</v>
      </c>
      <c r="C81" s="39"/>
      <c r="D81" s="40"/>
      <c r="E81" s="46" t="s">
        <v>22</v>
      </c>
      <c r="F81" s="50" t="s">
        <v>5</v>
      </c>
      <c r="G81" s="39">
        <f>449010043000</f>
        <v>449010043000</v>
      </c>
      <c r="H81" s="39">
        <f>6990520281.87</f>
        <v>6990520281.87</v>
      </c>
      <c r="I81" s="39">
        <f>501992592000</f>
        <v>501992592000</v>
      </c>
      <c r="J81" s="39">
        <f>16992265000</f>
        <v>16992265000</v>
      </c>
      <c r="K81" s="39">
        <f>G81/I81*100</f>
        <v>89.4455516188175</v>
      </c>
      <c r="L81" s="39">
        <f>H81/J81*100</f>
        <v>41.139425979232314</v>
      </c>
      <c r="M81" s="39"/>
    </row>
    <row r="82" spans="1:20" s="56" customFormat="1" ht="17.25" customHeight="1">
      <c r="A82" s="55">
        <f>740063108000</f>
        <v>740063108000</v>
      </c>
      <c r="B82" s="55">
        <f>18782939479</f>
        <v>18782939479</v>
      </c>
      <c r="C82" s="55"/>
      <c r="D82" s="28"/>
      <c r="E82" s="41" t="s">
        <v>23</v>
      </c>
      <c r="F82" s="50" t="s">
        <v>5</v>
      </c>
      <c r="G82" s="55">
        <f>798510450000</f>
        <v>798510450000</v>
      </c>
      <c r="H82" s="55">
        <f>13046529995</f>
        <v>13046529995</v>
      </c>
      <c r="I82" s="55">
        <f>703823267000</f>
        <v>703823267000</v>
      </c>
      <c r="J82" s="55">
        <f>24740499000</f>
        <v>24740499000</v>
      </c>
      <c r="K82" s="55">
        <f>G82/I82*100</f>
        <v>113.45326127162545</v>
      </c>
      <c r="L82" s="55">
        <f>H82/J82*100</f>
        <v>52.733495775489416</v>
      </c>
      <c r="M82" s="55"/>
      <c r="N82" s="55"/>
      <c r="O82" s="55"/>
      <c r="P82" s="55"/>
      <c r="Q82" s="55"/>
      <c r="R82" s="55"/>
      <c r="S82" s="55"/>
      <c r="T82" s="55"/>
    </row>
    <row r="83" spans="1:21" s="37" customFormat="1" ht="10.5" customHeight="1">
      <c r="A83" s="32"/>
      <c r="B83" s="32"/>
      <c r="C83" s="32"/>
      <c r="D83" s="34"/>
      <c r="E83" s="35"/>
      <c r="F83" s="67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3:6" s="43" customFormat="1" ht="17.25" customHeight="1">
      <c r="C84" s="39"/>
      <c r="D84" s="40"/>
      <c r="E84" s="34" t="s">
        <v>50</v>
      </c>
      <c r="F84" s="51"/>
    </row>
    <row r="85" spans="1:23" s="43" customFormat="1" ht="17.25" customHeight="1">
      <c r="A85" s="32">
        <f>SUM(A86:A89)</f>
        <v>1111697532741.48</v>
      </c>
      <c r="B85" s="32">
        <f>SUM(B86:B89)</f>
        <v>56457351380.17999</v>
      </c>
      <c r="C85" s="32"/>
      <c r="D85" s="93" t="s">
        <v>33</v>
      </c>
      <c r="E85" s="95"/>
      <c r="F85" s="50" t="s">
        <v>5</v>
      </c>
      <c r="G85" s="32">
        <f>SUM(G86:G89)</f>
        <v>1112024125001.55</v>
      </c>
      <c r="H85" s="32">
        <f>SUM(H86:H89)</f>
        <v>37075500499.240005</v>
      </c>
      <c r="I85" s="32">
        <f>SUM(I86:I89)</f>
        <v>1202800000000</v>
      </c>
      <c r="J85" s="32">
        <f>SUM(J86:J89)</f>
        <v>54513274000</v>
      </c>
      <c r="K85" s="32">
        <f aca="true" t="shared" si="7" ref="K85:L90">G85/I85*100</f>
        <v>92.45295352523695</v>
      </c>
      <c r="L85" s="32">
        <f t="shared" si="7"/>
        <v>68.01187633536743</v>
      </c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1:12" s="43" customFormat="1" ht="17.25" customHeight="1">
      <c r="A86" s="39">
        <f>866559426.07</f>
        <v>866559426.07</v>
      </c>
      <c r="B86" s="39">
        <f>34570730.56</f>
        <v>34570730.56</v>
      </c>
      <c r="C86" s="39"/>
      <c r="D86" s="40"/>
      <c r="E86" s="35" t="s">
        <v>16</v>
      </c>
      <c r="F86" s="50" t="s">
        <v>5</v>
      </c>
      <c r="G86" s="39">
        <f>804372883.5</f>
        <v>804372883.5</v>
      </c>
      <c r="H86" s="39">
        <f>25119848.38</f>
        <v>25119848.38</v>
      </c>
      <c r="I86" s="39">
        <v>881000000</v>
      </c>
      <c r="J86" s="39">
        <v>35538000</v>
      </c>
      <c r="K86" s="39">
        <f t="shared" si="7"/>
        <v>91.30225692395005</v>
      </c>
      <c r="L86" s="39">
        <f t="shared" si="7"/>
        <v>70.68447402780123</v>
      </c>
    </row>
    <row r="87" spans="1:12" s="43" customFormat="1" ht="17.25" customHeight="1">
      <c r="A87" s="39">
        <f>229694413023.5</f>
        <v>229694413023.5</v>
      </c>
      <c r="B87" s="39">
        <f>9900530558.5</f>
        <v>9900530558.5</v>
      </c>
      <c r="C87" s="39"/>
      <c r="D87" s="40"/>
      <c r="E87" s="46" t="s">
        <v>17</v>
      </c>
      <c r="F87" s="50" t="s">
        <v>5</v>
      </c>
      <c r="G87" s="39">
        <f>252499329310.69</f>
        <v>252499329310.69</v>
      </c>
      <c r="H87" s="39">
        <f>6438075198.81</f>
        <v>6438075198.81</v>
      </c>
      <c r="I87" s="39">
        <v>205251000000</v>
      </c>
      <c r="J87" s="39">
        <v>8556751000</v>
      </c>
      <c r="K87" s="39">
        <f t="shared" si="7"/>
        <v>123.01978032296554</v>
      </c>
      <c r="L87" s="39">
        <f t="shared" si="7"/>
        <v>75.23971655608537</v>
      </c>
    </row>
    <row r="88" spans="1:12" s="43" customFormat="1" ht="17.25" customHeight="1">
      <c r="A88" s="39">
        <f>386949534143.13</f>
        <v>386949534143.13</v>
      </c>
      <c r="B88" s="39">
        <f>19498561607.14</f>
        <v>19498561607.14</v>
      </c>
      <c r="C88" s="39"/>
      <c r="D88" s="40"/>
      <c r="E88" s="46" t="s">
        <v>18</v>
      </c>
      <c r="F88" s="50" t="s">
        <v>5</v>
      </c>
      <c r="G88" s="39">
        <f>400807067016.66</f>
        <v>400807067016.66</v>
      </c>
      <c r="H88" s="39">
        <f>13270765503.53</f>
        <v>13270765503.53</v>
      </c>
      <c r="I88" s="39">
        <v>393810000000</v>
      </c>
      <c r="J88" s="39">
        <v>16791100000</v>
      </c>
      <c r="K88" s="39">
        <f t="shared" si="7"/>
        <v>101.77676214841168</v>
      </c>
      <c r="L88" s="39">
        <f t="shared" si="7"/>
        <v>79.03452128526422</v>
      </c>
    </row>
    <row r="89" spans="1:12" s="43" customFormat="1" ht="17.25" customHeight="1">
      <c r="A89" s="39">
        <f>494187026148.78</f>
        <v>494187026148.78</v>
      </c>
      <c r="B89" s="39">
        <f>27023688483.98</f>
        <v>27023688483.98</v>
      </c>
      <c r="C89" s="39"/>
      <c r="D89" s="40"/>
      <c r="E89" s="46" t="s">
        <v>19</v>
      </c>
      <c r="F89" s="50" t="s">
        <v>5</v>
      </c>
      <c r="G89" s="39">
        <f>457913355790.7</f>
        <v>457913355790.7</v>
      </c>
      <c r="H89" s="39">
        <f>17341539948.52</f>
        <v>17341539948.52</v>
      </c>
      <c r="I89" s="39">
        <v>602858000000</v>
      </c>
      <c r="J89" s="39">
        <v>29129885000</v>
      </c>
      <c r="K89" s="39">
        <f t="shared" si="7"/>
        <v>75.95708372298287</v>
      </c>
      <c r="L89" s="39">
        <f t="shared" si="7"/>
        <v>59.53178307610896</v>
      </c>
    </row>
    <row r="90" spans="1:13" s="43" customFormat="1" ht="17.25" customHeight="1">
      <c r="A90" s="32">
        <f>SUM(A91:A97)</f>
        <v>1428827170232.6099</v>
      </c>
      <c r="B90" s="32">
        <f>SUM(B91:B97)</f>
        <v>32958394120.829998</v>
      </c>
      <c r="C90" s="32"/>
      <c r="D90" s="93" t="s">
        <v>34</v>
      </c>
      <c r="E90" s="95"/>
      <c r="F90" s="50" t="s">
        <v>5</v>
      </c>
      <c r="G90" s="32">
        <f>SUM(G91:G97)</f>
        <v>1487185826034.82</v>
      </c>
      <c r="H90" s="32">
        <f>SUM(H91:H97)</f>
        <v>21478946851.07</v>
      </c>
      <c r="I90" s="32">
        <f>SUM(I91:I97)</f>
        <v>1449200000000</v>
      </c>
      <c r="J90" s="32">
        <f>SUM(J91:J97)</f>
        <v>28792109000</v>
      </c>
      <c r="K90" s="32">
        <f t="shared" si="7"/>
        <v>102.62115829663401</v>
      </c>
      <c r="L90" s="32">
        <f t="shared" si="7"/>
        <v>74.60011648007445</v>
      </c>
      <c r="M90" s="39"/>
    </row>
    <row r="91" spans="1:13" s="43" customFormat="1" ht="17.25" customHeight="1">
      <c r="A91" s="39">
        <f>29155659603.61</f>
        <v>29155659603.61</v>
      </c>
      <c r="B91" s="39">
        <f>231652239.96</f>
        <v>231652239.96</v>
      </c>
      <c r="C91" s="39"/>
      <c r="D91" s="40"/>
      <c r="E91" s="46" t="s">
        <v>20</v>
      </c>
      <c r="F91" s="50" t="s">
        <v>5</v>
      </c>
      <c r="G91" s="39">
        <f>31243214059.3</f>
        <v>31243214059.3</v>
      </c>
      <c r="H91" s="39">
        <f>135468995</f>
        <v>135468995</v>
      </c>
      <c r="I91" s="39">
        <v>31313000000</v>
      </c>
      <c r="J91" s="39">
        <v>58982000</v>
      </c>
      <c r="K91" s="39">
        <f>G91/I91*100</f>
        <v>99.77713428703733</v>
      </c>
      <c r="L91" s="39" t="s">
        <v>7</v>
      </c>
      <c r="M91" s="39"/>
    </row>
    <row r="92" spans="1:13" s="60" customFormat="1" ht="17.25" customHeight="1" thickBot="1">
      <c r="A92" s="59"/>
      <c r="B92" s="59"/>
      <c r="C92" s="59"/>
      <c r="D92" s="68"/>
      <c r="E92" s="69"/>
      <c r="F92" s="58"/>
      <c r="G92" s="59"/>
      <c r="H92" s="59"/>
      <c r="I92" s="59"/>
      <c r="J92" s="59"/>
      <c r="K92" s="59"/>
      <c r="L92" s="59"/>
      <c r="M92" s="59"/>
    </row>
    <row r="93" spans="1:13" s="56" customFormat="1" ht="17.25" customHeight="1">
      <c r="A93" s="55"/>
      <c r="B93" s="55"/>
      <c r="C93" s="55"/>
      <c r="D93" s="28"/>
      <c r="E93" s="41"/>
      <c r="F93" s="50"/>
      <c r="G93" s="55"/>
      <c r="H93" s="55"/>
      <c r="I93" s="55"/>
      <c r="J93" s="55"/>
      <c r="K93" s="55"/>
      <c r="L93" s="55"/>
      <c r="M93" s="55"/>
    </row>
    <row r="94" spans="1:13" s="43" customFormat="1" ht="17.25" customHeight="1">
      <c r="A94" s="39"/>
      <c r="B94" s="39"/>
      <c r="C94" s="39"/>
      <c r="D94" s="40"/>
      <c r="E94" s="46"/>
      <c r="F94" s="50"/>
      <c r="G94" s="39"/>
      <c r="H94" s="39"/>
      <c r="I94" s="39"/>
      <c r="J94" s="39"/>
      <c r="K94" s="39"/>
      <c r="L94" s="39"/>
      <c r="M94" s="39"/>
    </row>
    <row r="95" spans="1:13" s="43" customFormat="1" ht="17.25" customHeight="1">
      <c r="A95" s="39">
        <f>76357377105.06</f>
        <v>76357377105.06</v>
      </c>
      <c r="B95" s="39">
        <f>693670415.6</f>
        <v>693670415.6</v>
      </c>
      <c r="C95" s="39"/>
      <c r="D95" s="40"/>
      <c r="E95" s="46" t="s">
        <v>21</v>
      </c>
      <c r="F95" s="50" t="s">
        <v>5</v>
      </c>
      <c r="G95" s="39">
        <f>87073210592.28</f>
        <v>87073210592.28</v>
      </c>
      <c r="H95" s="39">
        <f>167506450.67</f>
        <v>167506450.67</v>
      </c>
      <c r="I95" s="39">
        <v>70576000000</v>
      </c>
      <c r="J95" s="39">
        <v>435774000</v>
      </c>
      <c r="K95" s="39">
        <f aca="true" t="shared" si="8" ref="K95:L97">G95/I95*100</f>
        <v>123.37510002306733</v>
      </c>
      <c r="L95" s="39">
        <f t="shared" si="8"/>
        <v>38.438835421571724</v>
      </c>
      <c r="M95" s="39"/>
    </row>
    <row r="96" spans="1:13" s="56" customFormat="1" ht="17.25" customHeight="1">
      <c r="A96" s="55">
        <f>289813837033.04</f>
        <v>289813837033.04</v>
      </c>
      <c r="B96" s="55">
        <f>6331286753.33</f>
        <v>6331286753.33</v>
      </c>
      <c r="C96" s="55"/>
      <c r="D96" s="28"/>
      <c r="E96" s="41" t="s">
        <v>22</v>
      </c>
      <c r="F96" s="50" t="s">
        <v>5</v>
      </c>
      <c r="G96" s="55">
        <f>282153515277.87</f>
        <v>282153515277.87</v>
      </c>
      <c r="H96" s="55">
        <f>3986714280.98</f>
        <v>3986714280.98</v>
      </c>
      <c r="I96" s="55">
        <v>318379000000</v>
      </c>
      <c r="J96" s="55">
        <v>6616310000</v>
      </c>
      <c r="K96" s="55">
        <f t="shared" si="8"/>
        <v>88.62189883059813</v>
      </c>
      <c r="L96" s="55">
        <f t="shared" si="8"/>
        <v>60.25585682925981</v>
      </c>
      <c r="M96" s="55"/>
    </row>
    <row r="97" spans="1:20" s="43" customFormat="1" ht="17.25" customHeight="1">
      <c r="A97" s="39">
        <f>1033500296490.9</f>
        <v>1033500296490.9</v>
      </c>
      <c r="B97" s="39">
        <f>25701784711.94</f>
        <v>25701784711.94</v>
      </c>
      <c r="C97" s="39"/>
      <c r="D97" s="40"/>
      <c r="E97" s="46" t="s">
        <v>23</v>
      </c>
      <c r="F97" s="50" t="s">
        <v>5</v>
      </c>
      <c r="G97" s="39">
        <f>1086715886105.37</f>
        <v>1086715886105.37</v>
      </c>
      <c r="H97" s="39">
        <f>17189257124.42</f>
        <v>17189257124.42</v>
      </c>
      <c r="I97" s="39">
        <v>1028932000000</v>
      </c>
      <c r="J97" s="39">
        <v>21681043000</v>
      </c>
      <c r="K97" s="39">
        <f t="shared" si="8"/>
        <v>105.61590912765566</v>
      </c>
      <c r="L97" s="39">
        <f t="shared" si="8"/>
        <v>79.28242716192204</v>
      </c>
      <c r="M97" s="39"/>
      <c r="N97" s="39"/>
      <c r="O97" s="39"/>
      <c r="P97" s="39"/>
      <c r="Q97" s="39"/>
      <c r="R97" s="39"/>
      <c r="S97" s="39"/>
      <c r="T97" s="39"/>
    </row>
    <row r="98" spans="1:21" s="37" customFormat="1" ht="9" customHeight="1">
      <c r="A98" s="32"/>
      <c r="B98" s="32"/>
      <c r="C98" s="32"/>
      <c r="D98" s="40"/>
      <c r="E98" s="49"/>
      <c r="F98" s="70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s="64" customFormat="1" ht="17.25" customHeight="1">
      <c r="A99" s="61"/>
      <c r="B99" s="61"/>
      <c r="C99" s="61"/>
      <c r="D99" s="28"/>
      <c r="E99" s="71" t="s">
        <v>65</v>
      </c>
      <c r="F99" s="72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</row>
    <row r="100" spans="1:21" s="37" customFormat="1" ht="17.25" customHeight="1">
      <c r="A100" s="32">
        <f>A101</f>
        <v>2841552648537.84</v>
      </c>
      <c r="B100" s="32">
        <f>B101</f>
        <v>72474167224</v>
      </c>
      <c r="C100" s="32"/>
      <c r="D100" s="96" t="s">
        <v>67</v>
      </c>
      <c r="E100" s="97"/>
      <c r="F100" s="50" t="s">
        <v>5</v>
      </c>
      <c r="G100" s="32">
        <f aca="true" t="shared" si="9" ref="G100:L100">G101</f>
        <v>2842043306518.77</v>
      </c>
      <c r="H100" s="32">
        <f t="shared" si="9"/>
        <v>47494786969</v>
      </c>
      <c r="I100" s="32">
        <f t="shared" si="9"/>
        <v>2913542173000</v>
      </c>
      <c r="J100" s="32">
        <f t="shared" si="9"/>
        <v>51147721000</v>
      </c>
      <c r="K100" s="32">
        <f t="shared" si="9"/>
        <v>97.54598141246024</v>
      </c>
      <c r="L100" s="32">
        <f t="shared" si="9"/>
        <v>92.85807078090536</v>
      </c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s="64" customFormat="1" ht="17.25" customHeight="1">
      <c r="A101" s="55">
        <f>(2836028565204.51+5524083333.33)</f>
        <v>2841552648537.84</v>
      </c>
      <c r="B101" s="55">
        <f>(72380819545+93347679)</f>
        <v>72474167224</v>
      </c>
      <c r="C101" s="61"/>
      <c r="D101" s="28"/>
      <c r="E101" s="73" t="s">
        <v>29</v>
      </c>
      <c r="F101" s="44" t="s">
        <v>5</v>
      </c>
      <c r="G101" s="55">
        <f>(2827542389852.1+14500916666.67)</f>
        <v>2842043306518.77</v>
      </c>
      <c r="H101" s="55">
        <f>(47336154245+158632724)</f>
        <v>47494786969</v>
      </c>
      <c r="I101" s="55">
        <f>(2906542173000+7000000000)</f>
        <v>2913542173000</v>
      </c>
      <c r="J101" s="55">
        <f>(51063721000+84000000)</f>
        <v>51147721000</v>
      </c>
      <c r="K101" s="55">
        <f aca="true" t="shared" si="10" ref="K101:L107">G101/I101*100</f>
        <v>97.54598141246024</v>
      </c>
      <c r="L101" s="55">
        <f t="shared" si="10"/>
        <v>92.85807078090536</v>
      </c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s="37" customFormat="1" ht="17.25" customHeight="1">
      <c r="A102" s="32">
        <f>SUM(A103)</f>
        <v>3094782530000</v>
      </c>
      <c r="B102" s="32">
        <f>SUM(B103)</f>
        <v>67733328653.33</v>
      </c>
      <c r="C102" s="32"/>
      <c r="D102" s="93" t="s">
        <v>34</v>
      </c>
      <c r="E102" s="95"/>
      <c r="F102" s="44" t="s">
        <v>5</v>
      </c>
      <c r="G102" s="32">
        <f>SUM(G103)</f>
        <v>3142743852000</v>
      </c>
      <c r="H102" s="32">
        <f>SUM(H103)</f>
        <v>38581080752.29</v>
      </c>
      <c r="I102" s="32">
        <f>SUM(I103)</f>
        <v>3200000000000</v>
      </c>
      <c r="J102" s="32">
        <f>SUM(J103)</f>
        <v>40883455000</v>
      </c>
      <c r="K102" s="32">
        <f t="shared" si="10"/>
        <v>98.210745375</v>
      </c>
      <c r="L102" s="32">
        <f t="shared" si="10"/>
        <v>94.36844501593615</v>
      </c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s="43" customFormat="1" ht="17.25" customHeight="1">
      <c r="A103" s="39">
        <f>3094782530000</f>
        <v>3094782530000</v>
      </c>
      <c r="B103" s="39">
        <f>67733328653.33</f>
        <v>67733328653.33</v>
      </c>
      <c r="C103" s="39"/>
      <c r="D103" s="74"/>
      <c r="E103" s="53" t="s">
        <v>23</v>
      </c>
      <c r="F103" s="44" t="s">
        <v>5</v>
      </c>
      <c r="G103" s="39">
        <f>3142743852000</f>
        <v>3142743852000</v>
      </c>
      <c r="H103" s="39">
        <f>38581080752.29</f>
        <v>38581080752.29</v>
      </c>
      <c r="I103" s="39">
        <f>3200000000000</f>
        <v>3200000000000</v>
      </c>
      <c r="J103" s="39">
        <f>40883455000</f>
        <v>40883455000</v>
      </c>
      <c r="K103" s="39">
        <f t="shared" si="10"/>
        <v>98.210745375</v>
      </c>
      <c r="L103" s="39">
        <f t="shared" si="10"/>
        <v>94.36844501593615</v>
      </c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s="37" customFormat="1" ht="29.25" customHeight="1">
      <c r="A104" s="32">
        <f>A105</f>
        <v>687523623000</v>
      </c>
      <c r="B104" s="32">
        <f>B105</f>
        <v>201938682773</v>
      </c>
      <c r="C104" s="32"/>
      <c r="D104" s="93" t="s">
        <v>31</v>
      </c>
      <c r="E104" s="94"/>
      <c r="F104" s="87" t="s">
        <v>77</v>
      </c>
      <c r="G104" s="32">
        <f>G105</f>
        <v>722558407750</v>
      </c>
      <c r="H104" s="32">
        <f>H105</f>
        <v>225574468704</v>
      </c>
      <c r="I104" s="32">
        <f>I105</f>
        <v>620766000000</v>
      </c>
      <c r="J104" s="32">
        <f>J105</f>
        <v>177691499000</v>
      </c>
      <c r="K104" s="32">
        <f>G104/I104*100</f>
        <v>116.3978709771476</v>
      </c>
      <c r="L104" s="32">
        <f>H104/J104*100</f>
        <v>126.94724844659</v>
      </c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s="43" customFormat="1" ht="18.75" customHeight="1">
      <c r="A105" s="39">
        <f>687523623000</f>
        <v>687523623000</v>
      </c>
      <c r="B105" s="39">
        <f>201938682773</f>
        <v>201938682773</v>
      </c>
      <c r="C105" s="39"/>
      <c r="E105" s="53" t="s">
        <v>42</v>
      </c>
      <c r="F105" s="44" t="s">
        <v>5</v>
      </c>
      <c r="G105" s="39">
        <f>722558407750</f>
        <v>722558407750</v>
      </c>
      <c r="H105" s="39">
        <f>225574468704</f>
        <v>225574468704</v>
      </c>
      <c r="I105" s="39">
        <f>620766000000</f>
        <v>620766000000</v>
      </c>
      <c r="J105" s="39">
        <f>177691499000</f>
        <v>177691499000</v>
      </c>
      <c r="K105" s="39">
        <f>G105/I105*100</f>
        <v>116.3978709771476</v>
      </c>
      <c r="L105" s="39">
        <f>H105/J105*100</f>
        <v>126.94724844659</v>
      </c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s="37" customFormat="1" ht="17.25" customHeight="1">
      <c r="A106" s="32">
        <f>A107+A108</f>
        <v>1167832580165</v>
      </c>
      <c r="B106" s="32">
        <f>B107+B108</f>
        <v>486207461.5</v>
      </c>
      <c r="C106" s="32"/>
      <c r="D106" s="93" t="s">
        <v>61</v>
      </c>
      <c r="E106" s="93"/>
      <c r="F106" s="86" t="s">
        <v>78</v>
      </c>
      <c r="G106" s="32">
        <f>G107+G108</f>
        <v>1241747257276</v>
      </c>
      <c r="H106" s="32">
        <f>H107+H108</f>
        <v>513912598</v>
      </c>
      <c r="I106" s="32">
        <f>I107+I108</f>
        <v>970021000000</v>
      </c>
      <c r="J106" s="32">
        <f>J107+J108</f>
        <v>481299000</v>
      </c>
      <c r="K106" s="32">
        <f t="shared" si="10"/>
        <v>128.0124097597887</v>
      </c>
      <c r="L106" s="32">
        <f t="shared" si="10"/>
        <v>106.77616159601413</v>
      </c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s="43" customFormat="1" ht="17.25" customHeight="1">
      <c r="A107" s="39">
        <f>1035277934211</f>
        <v>1035277934211</v>
      </c>
      <c r="B107" s="39">
        <f>390996196.5</f>
        <v>390996196.5</v>
      </c>
      <c r="C107" s="39"/>
      <c r="E107" s="53" t="s">
        <v>41</v>
      </c>
      <c r="F107" s="44" t="s">
        <v>5</v>
      </c>
      <c r="G107" s="39">
        <f>1095381489067</f>
        <v>1095381489067</v>
      </c>
      <c r="H107" s="39">
        <f>421423004</f>
        <v>421423004</v>
      </c>
      <c r="I107" s="39">
        <f>850000000000</f>
        <v>850000000000</v>
      </c>
      <c r="J107" s="39">
        <f>404048000</f>
        <v>404048000</v>
      </c>
      <c r="K107" s="39">
        <f t="shared" si="10"/>
        <v>128.8684104784706</v>
      </c>
      <c r="L107" s="39">
        <f t="shared" si="10"/>
        <v>104.30023264562627</v>
      </c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s="43" customFormat="1" ht="17.25" customHeight="1">
      <c r="A108" s="39">
        <f>132554645954</f>
        <v>132554645954</v>
      </c>
      <c r="B108" s="39">
        <f>95211265</f>
        <v>95211265</v>
      </c>
      <c r="C108" s="39"/>
      <c r="E108" s="53" t="s">
        <v>43</v>
      </c>
      <c r="F108" s="44" t="s">
        <v>5</v>
      </c>
      <c r="G108" s="39">
        <f>146365768209</f>
        <v>146365768209</v>
      </c>
      <c r="H108" s="39">
        <f>92489594</f>
        <v>92489594</v>
      </c>
      <c r="I108" s="39">
        <f>120021000000</f>
        <v>120021000000</v>
      </c>
      <c r="J108" s="39">
        <f>77251000</f>
        <v>77251000</v>
      </c>
      <c r="K108" s="39">
        <f>G108/I108*100</f>
        <v>121.95013223435897</v>
      </c>
      <c r="L108" s="39">
        <f>H108/J108*100</f>
        <v>119.72607992129551</v>
      </c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s="64" customFormat="1" ht="10.5" customHeight="1">
      <c r="A109" s="61"/>
      <c r="B109" s="61"/>
      <c r="C109" s="61"/>
      <c r="D109" s="31"/>
      <c r="E109" s="75"/>
      <c r="F109" s="72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s="64" customFormat="1" ht="18" customHeight="1">
      <c r="A110" s="61"/>
      <c r="B110" s="61"/>
      <c r="C110" s="61"/>
      <c r="D110" s="28"/>
      <c r="E110" s="62" t="s">
        <v>30</v>
      </c>
      <c r="F110" s="72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</row>
    <row r="111" spans="1:21" s="64" customFormat="1" ht="18" customHeight="1">
      <c r="A111" s="61"/>
      <c r="B111" s="61">
        <f>SUM(B112:B114)</f>
        <v>157923999890</v>
      </c>
      <c r="C111" s="61"/>
      <c r="D111" s="93" t="s">
        <v>31</v>
      </c>
      <c r="E111" s="94"/>
      <c r="F111" s="51"/>
      <c r="G111" s="76"/>
      <c r="H111" s="61">
        <f>SUM(H112:H114)</f>
        <v>162112126457</v>
      </c>
      <c r="I111" s="61"/>
      <c r="J111" s="61">
        <f>SUM(J112:J114)</f>
        <v>167507925000</v>
      </c>
      <c r="K111" s="32"/>
      <c r="L111" s="32">
        <f>H111/J111*100</f>
        <v>96.77878014249175</v>
      </c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s="43" customFormat="1" ht="17.25" customHeight="1">
      <c r="A112" s="39"/>
      <c r="B112" s="39">
        <v>152578158694</v>
      </c>
      <c r="C112" s="39"/>
      <c r="E112" s="53" t="s">
        <v>44</v>
      </c>
      <c r="F112" s="44"/>
      <c r="G112" s="39"/>
      <c r="H112" s="39">
        <v>140484702304</v>
      </c>
      <c r="I112" s="39"/>
      <c r="J112" s="39">
        <v>144643056000</v>
      </c>
      <c r="K112" s="39"/>
      <c r="L112" s="39">
        <f>H112/J112*100</f>
        <v>97.1250927552305</v>
      </c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s="43" customFormat="1" ht="17.25" customHeight="1">
      <c r="A113" s="39"/>
      <c r="B113" s="39">
        <v>5345841196</v>
      </c>
      <c r="C113" s="39"/>
      <c r="E113" s="53" t="s">
        <v>45</v>
      </c>
      <c r="F113" s="44"/>
      <c r="G113" s="39"/>
      <c r="H113" s="39">
        <v>5366483894</v>
      </c>
      <c r="I113" s="39"/>
      <c r="J113" s="39">
        <v>5642100000</v>
      </c>
      <c r="K113" s="39"/>
      <c r="L113" s="39">
        <f>H113/J113*100</f>
        <v>95.11500848974673</v>
      </c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s="43" customFormat="1" ht="17.25" customHeight="1">
      <c r="A114" s="39"/>
      <c r="B114" s="39"/>
      <c r="C114" s="39"/>
      <c r="E114" s="53" t="s">
        <v>68</v>
      </c>
      <c r="F114" s="44"/>
      <c r="G114" s="39"/>
      <c r="H114" s="39">
        <v>16260940259</v>
      </c>
      <c r="I114" s="39"/>
      <c r="J114" s="39">
        <v>17222769000</v>
      </c>
      <c r="K114" s="39"/>
      <c r="L114" s="39">
        <f>H114/J114*100</f>
        <v>94.41536525862944</v>
      </c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s="43" customFormat="1" ht="17.25" customHeight="1">
      <c r="A115" s="39"/>
      <c r="B115" s="39"/>
      <c r="C115" s="39"/>
      <c r="E115" s="53"/>
      <c r="F115" s="44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s="37" customFormat="1" ht="17.25" customHeight="1">
      <c r="A116" s="32"/>
      <c r="B116" s="32" t="s">
        <v>7</v>
      </c>
      <c r="C116" s="32"/>
      <c r="D116" s="40"/>
      <c r="E116" s="29" t="s">
        <v>28</v>
      </c>
      <c r="F116" s="51"/>
      <c r="G116" s="32"/>
      <c r="H116" s="32"/>
      <c r="I116" s="32"/>
      <c r="J116" s="32" t="s">
        <v>7</v>
      </c>
      <c r="K116" s="32"/>
      <c r="L116" s="32" t="s">
        <v>7</v>
      </c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s="37" customFormat="1" ht="17.25" customHeight="1">
      <c r="A117" s="32"/>
      <c r="B117" s="32">
        <f>B118</f>
        <v>303416959985</v>
      </c>
      <c r="C117" s="32"/>
      <c r="D117" s="93" t="s">
        <v>31</v>
      </c>
      <c r="E117" s="94"/>
      <c r="F117" s="44"/>
      <c r="G117" s="32"/>
      <c r="H117" s="32">
        <f>H118</f>
        <v>327769520295</v>
      </c>
      <c r="I117" s="32"/>
      <c r="J117" s="32">
        <f>J118</f>
        <v>313059915000</v>
      </c>
      <c r="K117" s="32"/>
      <c r="L117" s="32">
        <f>H117/J117*100</f>
        <v>104.69865498270514</v>
      </c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s="43" customFormat="1" ht="17.25" customHeight="1">
      <c r="A118" s="39"/>
      <c r="B118" s="39">
        <v>303416959985</v>
      </c>
      <c r="C118" s="39"/>
      <c r="E118" s="53" t="s">
        <v>46</v>
      </c>
      <c r="F118" s="44"/>
      <c r="G118" s="39"/>
      <c r="H118" s="39">
        <v>327769520295</v>
      </c>
      <c r="I118" s="39"/>
      <c r="J118" s="39">
        <v>313059915000</v>
      </c>
      <c r="K118" s="39"/>
      <c r="L118" s="39">
        <f>H118/J118*100</f>
        <v>104.69865498270514</v>
      </c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6" s="80" customFormat="1" ht="276.75" customHeight="1" thickBot="1">
      <c r="A119" s="77"/>
      <c r="B119" s="77"/>
      <c r="C119" s="77"/>
      <c r="D119" s="78"/>
      <c r="E119" s="57"/>
      <c r="F119" s="79"/>
    </row>
    <row r="120" spans="1:5" ht="16.5">
      <c r="A120" s="89" t="s">
        <v>80</v>
      </c>
      <c r="E120" s="81"/>
    </row>
  </sheetData>
  <mergeCells count="31">
    <mergeCell ref="H2:J2"/>
    <mergeCell ref="A4:B5"/>
    <mergeCell ref="D4:E6"/>
    <mergeCell ref="F4:F6"/>
    <mergeCell ref="G4:H5"/>
    <mergeCell ref="I4:J5"/>
    <mergeCell ref="K4:L5"/>
    <mergeCell ref="D9:E9"/>
    <mergeCell ref="D30:E30"/>
    <mergeCell ref="D13:E13"/>
    <mergeCell ref="D18:E18"/>
    <mergeCell ref="D20:E20"/>
    <mergeCell ref="D26:E26"/>
    <mergeCell ref="D54:E54"/>
    <mergeCell ref="D43:E43"/>
    <mergeCell ref="D34:E34"/>
    <mergeCell ref="D38:E38"/>
    <mergeCell ref="D49:E49"/>
    <mergeCell ref="D58:E58"/>
    <mergeCell ref="D62:E62"/>
    <mergeCell ref="D67:E67"/>
    <mergeCell ref="D73:E73"/>
    <mergeCell ref="D111:E111"/>
    <mergeCell ref="D117:E117"/>
    <mergeCell ref="D102:E102"/>
    <mergeCell ref="D78:E78"/>
    <mergeCell ref="D85:E85"/>
    <mergeCell ref="D90:E90"/>
    <mergeCell ref="D100:E100"/>
    <mergeCell ref="D106:E106"/>
    <mergeCell ref="D104:E104"/>
  </mergeCells>
  <printOptions horizontalCentered="1"/>
  <pageMargins left="0.5905511811023623" right="0.5905511811023623" top="0.5905511811023623" bottom="0.7874015748031497" header="0.1968503937007874" footer="0.1968503937007874"/>
  <pageSetup fitToHeight="4" fitToWidth="4" horizontalDpi="300" verticalDpi="300" orientation="portrait" pageOrder="overThenDown" paperSize="9" scale="86" r:id="rId1"/>
  <colBreaks count="1" manualBreakCount="1">
    <brk id="7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25</dc:title>
  <dc:subject>25</dc:subject>
  <dc:creator>行政院主計處</dc:creator>
  <cp:keywords/>
  <dc:description> </dc:description>
  <cp:lastModifiedBy>Administrator</cp:lastModifiedBy>
  <cp:lastPrinted>2004-04-24T14:30:04Z</cp:lastPrinted>
  <dcterms:created xsi:type="dcterms:W3CDTF">1997-10-03T07:34:56Z</dcterms:created>
  <dcterms:modified xsi:type="dcterms:W3CDTF">2008-11-13T10:28:06Z</dcterms:modified>
  <cp:category>I14</cp:category>
  <cp:version/>
  <cp:contentType/>
  <cp:contentStatus/>
</cp:coreProperties>
</file>