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0_109決算\109決算\2長期股權投資評價及認列\"/>
    </mc:Choice>
  </mc:AlternateContent>
  <bookViews>
    <workbookView xWindow="0" yWindow="0" windowWidth="15360" windowHeight="6990"/>
  </bookViews>
  <sheets>
    <sheet name="總表" sheetId="20" r:id="rId1"/>
    <sheet name="107年度長期投資工作底稿(院修前)" sheetId="1" state="hidden" r:id="rId2"/>
    <sheet name="106年度長期投資工作底稿 (院修後)參考" sheetId="2" state="hidden" r:id="rId3"/>
  </sheet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t">#N/A</definedName>
    <definedName name="_xlnm._FilterDatabase" localSheetId="2" hidden="1">'106年度長期投資工作底稿 (院修後)參考'!$C$3:$P$74</definedName>
    <definedName name="_xlnm._FilterDatabase" localSheetId="1" hidden="1">'107年度長期投資工作底稿(院修前)'!$B$3:$O$76</definedName>
    <definedName name="_xlnm._FilterDatabase" localSheetId="0" hidden="1">總表!$A$4:$U$4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NI" localSheetId="0">#REF!</definedName>
    <definedName name="NI">#REF!</definedName>
    <definedName name="P" localSheetId="0">#REF!</definedName>
    <definedName name="P">#REF!</definedName>
    <definedName name="_xlnm.Print_Area" localSheetId="2">'106年度長期投資工作底稿 (院修後)參考'!$A$1:$P$161</definedName>
    <definedName name="_xlnm.Print_Area" localSheetId="1">'107年度長期投資工作底稿(院修前)'!$A$1:$O$163</definedName>
    <definedName name="_xlnm.Print_Area" localSheetId="0">總表!$A$1:$I$128</definedName>
    <definedName name="_xlnm.Print_Area">#REF!</definedName>
    <definedName name="Print_Area_MI" localSheetId="0">#REF!</definedName>
    <definedName name="Print_Area_MI">#REF!</definedName>
    <definedName name="_xlnm.Print_Titles" localSheetId="2">'106年度長期投資工作底稿 (院修後)參考'!$3:$10</definedName>
    <definedName name="_xlnm.Print_Titles" localSheetId="1">'107年度長期投資工作底稿(院修前)'!$3:$9</definedName>
    <definedName name="_xlnm.Print_Titles" localSheetId="0">總表!$1:$4</definedName>
    <definedName name="Q" localSheetId="0">#REF!</definedName>
    <definedName name="Q">#REF!</definedName>
    <definedName name="T" localSheetId="0">#REF!</definedName>
    <definedName name="T">#REF!</definedName>
    <definedName name="表一" localSheetId="0">#REF!</definedName>
    <definedName name="表一">#REF!</definedName>
    <definedName name="截至九十三年一月底止" localSheetId="0">#REF!</definedName>
    <definedName name="截至九十三年一月底止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N75" i="1"/>
  <c r="N76" i="1"/>
  <c r="K123" i="1" l="1"/>
  <c r="K122" i="1"/>
  <c r="D119" i="1"/>
  <c r="D116" i="1"/>
  <c r="H85" i="1"/>
  <c r="G85" i="1"/>
  <c r="H83" i="1"/>
  <c r="G83" i="1"/>
  <c r="G78" i="1" s="1"/>
  <c r="G77" i="1" s="1"/>
  <c r="H79" i="1"/>
  <c r="H78" i="1" s="1"/>
  <c r="H77" i="1" s="1"/>
  <c r="G79" i="1"/>
  <c r="F28" i="1"/>
  <c r="K108" i="1" l="1"/>
  <c r="D24" i="1" l="1"/>
  <c r="D20" i="1" s="1"/>
  <c r="I26" i="1"/>
  <c r="N26" i="1"/>
  <c r="M24" i="1"/>
  <c r="M20" i="1" s="1"/>
  <c r="N25" i="1"/>
  <c r="E25" i="1" s="1"/>
  <c r="F25" i="1" s="1"/>
  <c r="I25" i="1" s="1"/>
  <c r="L96" i="1" l="1"/>
  <c r="D96" i="1"/>
  <c r="K97" i="1"/>
  <c r="N97" i="1" s="1"/>
  <c r="E97" i="1" s="1"/>
  <c r="F97" i="1" s="1"/>
  <c r="I97" i="1" s="1"/>
  <c r="N99" i="1"/>
  <c r="E99" i="1" s="1"/>
  <c r="F99" i="1" s="1"/>
  <c r="I99" i="1" s="1"/>
  <c r="N98" i="1"/>
  <c r="E98" i="1" s="1"/>
  <c r="N108" i="1"/>
  <c r="D112" i="1"/>
  <c r="K96" i="1" l="1"/>
  <c r="N96" i="1" s="1"/>
  <c r="F98" i="1"/>
  <c r="E96" i="1"/>
  <c r="E95" i="1" s="1"/>
  <c r="D110" i="1"/>
  <c r="D107" i="1" s="1"/>
  <c r="K120" i="1"/>
  <c r="K119" i="1" s="1"/>
  <c r="N113" i="1"/>
  <c r="N102" i="1"/>
  <c r="K117" i="1"/>
  <c r="N117" i="1" s="1"/>
  <c r="K115" i="1"/>
  <c r="K114" i="1"/>
  <c r="K113" i="1"/>
  <c r="I98" i="1" l="1"/>
  <c r="F96" i="1"/>
  <c r="N40" i="1"/>
  <c r="K131" i="1" l="1"/>
  <c r="D131" i="1"/>
  <c r="D130" i="1" s="1"/>
  <c r="D150" i="1" l="1"/>
  <c r="K150" i="1" s="1"/>
  <c r="D149" i="1"/>
  <c r="K149" i="1" s="1"/>
  <c r="D148" i="1"/>
  <c r="K148" i="1" s="1"/>
  <c r="D147" i="1"/>
  <c r="K147" i="1" s="1"/>
  <c r="K132" i="1" l="1"/>
  <c r="N68" i="1" l="1"/>
  <c r="N71" i="1"/>
  <c r="N69" i="1"/>
  <c r="D31" i="1" l="1"/>
  <c r="N33" i="1"/>
  <c r="N32" i="1"/>
  <c r="F36" i="1" l="1"/>
  <c r="I36" i="1" s="1"/>
  <c r="N35" i="1"/>
  <c r="E35" i="1" s="1"/>
  <c r="F35" i="1" s="1"/>
  <c r="I35" i="1" s="1"/>
  <c r="M34" i="1"/>
  <c r="M29" i="1" s="1"/>
  <c r="L34" i="1"/>
  <c r="K34" i="1"/>
  <c r="J34" i="1"/>
  <c r="D34" i="1"/>
  <c r="D29" i="1" s="1"/>
  <c r="K91" i="1" l="1"/>
  <c r="N56" i="1" l="1"/>
  <c r="N55" i="1"/>
  <c r="N54" i="1"/>
  <c r="N53" i="1"/>
  <c r="N52" i="1"/>
  <c r="N51" i="1"/>
  <c r="N50" i="1"/>
  <c r="N49" i="1"/>
  <c r="K125" i="1" l="1"/>
  <c r="L64" i="1" l="1"/>
  <c r="N80" i="1"/>
  <c r="N81" i="1"/>
  <c r="K140" i="1" l="1"/>
  <c r="N158" i="1" l="1"/>
  <c r="E158" i="1" s="1"/>
  <c r="F158" i="1" s="1"/>
  <c r="I158" i="1" s="1"/>
  <c r="N157" i="1"/>
  <c r="E157" i="1" s="1"/>
  <c r="F157" i="1" s="1"/>
  <c r="I157" i="1" s="1"/>
  <c r="F44" i="1"/>
  <c r="I44" i="1" s="1"/>
  <c r="N42" i="1"/>
  <c r="F42" i="1" s="1"/>
  <c r="I42" i="1" s="1"/>
  <c r="I144" i="1" l="1"/>
  <c r="F81" i="2" l="1"/>
  <c r="G140" i="2"/>
  <c r="J118" i="2" l="1"/>
  <c r="J119" i="2"/>
  <c r="J106" i="2"/>
  <c r="J107" i="2"/>
  <c r="J108" i="2"/>
  <c r="L119" i="2" l="1"/>
  <c r="O119" i="2" s="1"/>
  <c r="L118" i="2"/>
  <c r="L115" i="2" s="1"/>
  <c r="L117" i="2"/>
  <c r="O117" i="2" s="1"/>
  <c r="F117" i="2" s="1"/>
  <c r="G117" i="2" s="1"/>
  <c r="J117" i="2" s="1"/>
  <c r="L116" i="2"/>
  <c r="O116" i="2" s="1"/>
  <c r="F116" i="2" s="1"/>
  <c r="M115" i="2"/>
  <c r="E115" i="2"/>
  <c r="L114" i="2"/>
  <c r="O114" i="2" s="1"/>
  <c r="F114" i="2" s="1"/>
  <c r="G114" i="2" s="1"/>
  <c r="J114" i="2" s="1"/>
  <c r="L113" i="2"/>
  <c r="L112" i="2" s="1"/>
  <c r="E113" i="2"/>
  <c r="M112" i="2"/>
  <c r="O111" i="2"/>
  <c r="F111" i="2" s="1"/>
  <c r="G111" i="2" s="1"/>
  <c r="J111" i="2" s="1"/>
  <c r="O110" i="2"/>
  <c r="F110" i="2" s="1"/>
  <c r="G110" i="2" s="1"/>
  <c r="J110" i="2" s="1"/>
  <c r="L109" i="2"/>
  <c r="O109" i="2" s="1"/>
  <c r="F109" i="2" s="1"/>
  <c r="G109" i="2" s="1"/>
  <c r="J109" i="2" s="1"/>
  <c r="L108" i="2"/>
  <c r="O108" i="2" s="1"/>
  <c r="L107" i="2"/>
  <c r="O107" i="2" s="1"/>
  <c r="L106" i="2"/>
  <c r="O106" i="2" s="1"/>
  <c r="L105" i="2"/>
  <c r="O105" i="2" s="1"/>
  <c r="F105" i="2" s="1"/>
  <c r="G105" i="2" s="1"/>
  <c r="J105" i="2" s="1"/>
  <c r="L104" i="2"/>
  <c r="O104" i="2" s="1"/>
  <c r="F104" i="2" s="1"/>
  <c r="M103" i="2"/>
  <c r="E103" i="2"/>
  <c r="O113" i="2" l="1"/>
  <c r="F113" i="2" s="1"/>
  <c r="O115" i="2"/>
  <c r="E102" i="2"/>
  <c r="F103" i="2"/>
  <c r="G104" i="2"/>
  <c r="J104" i="2" s="1"/>
  <c r="J103" i="2" s="1"/>
  <c r="G116" i="2"/>
  <c r="J116" i="2" s="1"/>
  <c r="J115" i="2" s="1"/>
  <c r="F115" i="2"/>
  <c r="G113" i="2"/>
  <c r="G112" i="2" s="1"/>
  <c r="F112" i="2"/>
  <c r="L103" i="2"/>
  <c r="O103" i="2" s="1"/>
  <c r="O118" i="2"/>
  <c r="E112" i="2"/>
  <c r="O112" i="2" s="1"/>
  <c r="I159" i="2"/>
  <c r="H159" i="2"/>
  <c r="T157" i="2"/>
  <c r="R157" i="2"/>
  <c r="O157" i="2"/>
  <c r="F157" i="2" s="1"/>
  <c r="G157" i="2" s="1"/>
  <c r="N156" i="2"/>
  <c r="E156" i="2"/>
  <c r="E155" i="2"/>
  <c r="R154" i="2"/>
  <c r="O154" i="2"/>
  <c r="F154" i="2" s="1"/>
  <c r="G154" i="2" s="1"/>
  <c r="J154" i="2" s="1"/>
  <c r="R153" i="2"/>
  <c r="O153" i="2"/>
  <c r="F153" i="2" s="1"/>
  <c r="E152" i="2"/>
  <c r="O151" i="2"/>
  <c r="F151" i="2" s="1"/>
  <c r="G151" i="2" s="1"/>
  <c r="J151" i="2" s="1"/>
  <c r="O150" i="2"/>
  <c r="F150" i="2" s="1"/>
  <c r="G150" i="2" s="1"/>
  <c r="J150" i="2" s="1"/>
  <c r="O149" i="2"/>
  <c r="F149" i="2" s="1"/>
  <c r="M148" i="2"/>
  <c r="L148" i="2"/>
  <c r="E148" i="2"/>
  <c r="R148" i="2" s="1"/>
  <c r="O146" i="2"/>
  <c r="F146" i="2" s="1"/>
  <c r="G146" i="2" s="1"/>
  <c r="J146" i="2" s="1"/>
  <c r="L145" i="2"/>
  <c r="L142" i="2" s="1"/>
  <c r="O144" i="2"/>
  <c r="F144" i="2"/>
  <c r="G144" i="2" s="1"/>
  <c r="J144" i="2" s="1"/>
  <c r="O143" i="2"/>
  <c r="F143" i="2" s="1"/>
  <c r="M142" i="2"/>
  <c r="E142" i="2"/>
  <c r="E141" i="2" s="1"/>
  <c r="R140" i="2"/>
  <c r="O140" i="2"/>
  <c r="J140" i="2"/>
  <c r="R139" i="2"/>
  <c r="O139" i="2"/>
  <c r="F139" i="2" s="1"/>
  <c r="G139" i="2" s="1"/>
  <c r="J139" i="2" s="1"/>
  <c r="R138" i="2"/>
  <c r="O138" i="2"/>
  <c r="F138" i="2" s="1"/>
  <c r="G138" i="2" s="1"/>
  <c r="J138" i="2" s="1"/>
  <c r="R137" i="2"/>
  <c r="O137" i="2"/>
  <c r="F137" i="2" s="1"/>
  <c r="G137" i="2" s="1"/>
  <c r="J137" i="2" s="1"/>
  <c r="R136" i="2"/>
  <c r="L136" i="2"/>
  <c r="O136" i="2" s="1"/>
  <c r="F136" i="2" s="1"/>
  <c r="E135" i="2"/>
  <c r="R134" i="2"/>
  <c r="O134" i="2"/>
  <c r="F134" i="2" s="1"/>
  <c r="E133" i="2"/>
  <c r="R132" i="2"/>
  <c r="O132" i="2"/>
  <c r="F132" i="2"/>
  <c r="G132" i="2" s="1"/>
  <c r="G131" i="2" s="1"/>
  <c r="E131" i="2"/>
  <c r="O130" i="2"/>
  <c r="F130" i="2"/>
  <c r="G130" i="2" s="1"/>
  <c r="J130" i="2" s="1"/>
  <c r="O129" i="2"/>
  <c r="F129" i="2" s="1"/>
  <c r="G129" i="2" s="1"/>
  <c r="J129" i="2" s="1"/>
  <c r="L128" i="2"/>
  <c r="O128" i="2" s="1"/>
  <c r="F128" i="2" s="1"/>
  <c r="G128" i="2" s="1"/>
  <c r="J128" i="2" s="1"/>
  <c r="L127" i="2"/>
  <c r="O127" i="2" s="1"/>
  <c r="F127" i="2" s="1"/>
  <c r="M126" i="2"/>
  <c r="L126" i="2"/>
  <c r="E126" i="2"/>
  <c r="E125" i="2"/>
  <c r="R124" i="2"/>
  <c r="L124" i="2"/>
  <c r="O124" i="2" s="1"/>
  <c r="F124" i="2" s="1"/>
  <c r="G124" i="2" s="1"/>
  <c r="J124" i="2" s="1"/>
  <c r="R123" i="2"/>
  <c r="O123" i="2"/>
  <c r="F123" i="2" s="1"/>
  <c r="E122" i="2"/>
  <c r="R121" i="2"/>
  <c r="O121" i="2"/>
  <c r="F121" i="2" s="1"/>
  <c r="E120" i="2"/>
  <c r="R115" i="2"/>
  <c r="R111" i="2"/>
  <c r="R110" i="2"/>
  <c r="R109" i="2"/>
  <c r="R103" i="2"/>
  <c r="R101" i="2"/>
  <c r="O101" i="2"/>
  <c r="F101" i="2" s="1"/>
  <c r="G101" i="2" s="1"/>
  <c r="J101" i="2" s="1"/>
  <c r="R100" i="2"/>
  <c r="O100" i="2"/>
  <c r="F100" i="2" s="1"/>
  <c r="E99" i="2"/>
  <c r="R98" i="2"/>
  <c r="O98" i="2"/>
  <c r="G98" i="2"/>
  <c r="J98" i="2" s="1"/>
  <c r="R97" i="2"/>
  <c r="O97" i="2"/>
  <c r="F97" i="2" s="1"/>
  <c r="E96" i="2"/>
  <c r="O95" i="2"/>
  <c r="F95" i="2" s="1"/>
  <c r="G95" i="2" s="1"/>
  <c r="J95" i="2" s="1"/>
  <c r="R94" i="2"/>
  <c r="O94" i="2"/>
  <c r="G94" i="2"/>
  <c r="G93" i="2" s="1"/>
  <c r="F93" i="2"/>
  <c r="E93" i="2"/>
  <c r="R92" i="2"/>
  <c r="O92" i="2"/>
  <c r="F92" i="2" s="1"/>
  <c r="E91" i="2"/>
  <c r="R90" i="2"/>
  <c r="O90" i="2"/>
  <c r="F90" i="2" s="1"/>
  <c r="G90" i="2" s="1"/>
  <c r="J90" i="2" s="1"/>
  <c r="R89" i="2"/>
  <c r="O89" i="2"/>
  <c r="F89" i="2" s="1"/>
  <c r="G89" i="2" s="1"/>
  <c r="J89" i="2" s="1"/>
  <c r="R88" i="2"/>
  <c r="O88" i="2"/>
  <c r="F88" i="2" s="1"/>
  <c r="G88" i="2" s="1"/>
  <c r="E87" i="2"/>
  <c r="T84" i="2"/>
  <c r="R84" i="2"/>
  <c r="O84" i="2"/>
  <c r="J84" i="2"/>
  <c r="N83" i="2"/>
  <c r="G83" i="2"/>
  <c r="F83" i="2"/>
  <c r="E83" i="2"/>
  <c r="T82" i="2"/>
  <c r="R82" i="2"/>
  <c r="O82" i="2"/>
  <c r="J82" i="2"/>
  <c r="N81" i="2"/>
  <c r="E81" i="2"/>
  <c r="J81" i="2" s="1"/>
  <c r="T80" i="2"/>
  <c r="R80" i="2"/>
  <c r="O80" i="2"/>
  <c r="J80" i="2"/>
  <c r="T79" i="2"/>
  <c r="R79" i="2"/>
  <c r="O79" i="2"/>
  <c r="J79" i="2"/>
  <c r="T78" i="2"/>
  <c r="R78" i="2"/>
  <c r="O78" i="2"/>
  <c r="J78" i="2"/>
  <c r="N77" i="2"/>
  <c r="N76" i="2" s="1"/>
  <c r="G77" i="2"/>
  <c r="G76" i="2" s="1"/>
  <c r="G75" i="2" s="1"/>
  <c r="E77" i="2"/>
  <c r="N75" i="2"/>
  <c r="T74" i="2"/>
  <c r="R74" i="2"/>
  <c r="O74" i="2"/>
  <c r="F74" i="2" s="1"/>
  <c r="G74" i="2" s="1"/>
  <c r="J74" i="2" s="1"/>
  <c r="T73" i="2"/>
  <c r="R73" i="2"/>
  <c r="O73" i="2"/>
  <c r="F73" i="2" s="1"/>
  <c r="G73" i="2" s="1"/>
  <c r="J73" i="2" s="1"/>
  <c r="T72" i="2"/>
  <c r="R72" i="2"/>
  <c r="O72" i="2"/>
  <c r="F72" i="2" s="1"/>
  <c r="F71" i="2" s="1"/>
  <c r="N71" i="2"/>
  <c r="E71" i="2"/>
  <c r="T69" i="2"/>
  <c r="R69" i="2"/>
  <c r="O69" i="2"/>
  <c r="F69" i="2" s="1"/>
  <c r="G69" i="2" s="1"/>
  <c r="J69" i="2" s="1"/>
  <c r="T68" i="2"/>
  <c r="R68" i="2"/>
  <c r="O68" i="2"/>
  <c r="F68" i="2" s="1"/>
  <c r="G68" i="2" s="1"/>
  <c r="J68" i="2" s="1"/>
  <c r="T67" i="2"/>
  <c r="R67" i="2"/>
  <c r="O67" i="2"/>
  <c r="F67" i="2" s="1"/>
  <c r="G67" i="2" s="1"/>
  <c r="J67" i="2" s="1"/>
  <c r="T66" i="2"/>
  <c r="R66" i="2"/>
  <c r="O66" i="2"/>
  <c r="F66" i="2" s="1"/>
  <c r="N65" i="2"/>
  <c r="E65" i="2"/>
  <c r="O64" i="2"/>
  <c r="M64" i="2"/>
  <c r="N63" i="2"/>
  <c r="E63" i="2"/>
  <c r="T62" i="2"/>
  <c r="R62" i="2"/>
  <c r="O62" i="2"/>
  <c r="M62" i="2"/>
  <c r="N61" i="2"/>
  <c r="E61" i="2"/>
  <c r="T60" i="2"/>
  <c r="R60" i="2"/>
  <c r="O60" i="2"/>
  <c r="F60" i="2" s="1"/>
  <c r="G60" i="2" s="1"/>
  <c r="J60" i="2" s="1"/>
  <c r="T59" i="2"/>
  <c r="R59" i="2"/>
  <c r="O59" i="2"/>
  <c r="F59" i="2"/>
  <c r="G59" i="2" s="1"/>
  <c r="J59" i="2" s="1"/>
  <c r="T58" i="2"/>
  <c r="R58" i="2"/>
  <c r="O58" i="2"/>
  <c r="F58" i="2" s="1"/>
  <c r="G58" i="2" s="1"/>
  <c r="J58" i="2" s="1"/>
  <c r="T57" i="2"/>
  <c r="R57" i="2"/>
  <c r="O57" i="2"/>
  <c r="F57" i="2" s="1"/>
  <c r="G57" i="2" s="1"/>
  <c r="J57" i="2" s="1"/>
  <c r="T56" i="2"/>
  <c r="R56" i="2"/>
  <c r="O56" i="2"/>
  <c r="F56" i="2" s="1"/>
  <c r="G56" i="2" s="1"/>
  <c r="J56" i="2" s="1"/>
  <c r="N55" i="2"/>
  <c r="E55" i="2"/>
  <c r="T54" i="2"/>
  <c r="R54" i="2"/>
  <c r="O54" i="2"/>
  <c r="F54" i="2" s="1"/>
  <c r="G54" i="2"/>
  <c r="J54" i="2" s="1"/>
  <c r="T53" i="2"/>
  <c r="R53" i="2"/>
  <c r="O53" i="2"/>
  <c r="F53" i="2" s="1"/>
  <c r="G53" i="2" s="1"/>
  <c r="J53" i="2" s="1"/>
  <c r="T52" i="2"/>
  <c r="R52" i="2"/>
  <c r="O52" i="2"/>
  <c r="F52" i="2" s="1"/>
  <c r="G52" i="2"/>
  <c r="J52" i="2" s="1"/>
  <c r="T51" i="2"/>
  <c r="R51" i="2"/>
  <c r="O51" i="2"/>
  <c r="F51" i="2" s="1"/>
  <c r="G51" i="2"/>
  <c r="J51" i="2" s="1"/>
  <c r="T50" i="2"/>
  <c r="R50" i="2"/>
  <c r="O50" i="2"/>
  <c r="F50" i="2" s="1"/>
  <c r="G50" i="2" s="1"/>
  <c r="J50" i="2" s="1"/>
  <c r="T49" i="2"/>
  <c r="R49" i="2"/>
  <c r="O49" i="2"/>
  <c r="F49" i="2" s="1"/>
  <c r="G49" i="2"/>
  <c r="J49" i="2" s="1"/>
  <c r="T48" i="2"/>
  <c r="R48" i="2"/>
  <c r="O48" i="2"/>
  <c r="F48" i="2" s="1"/>
  <c r="G48" i="2"/>
  <c r="J48" i="2" s="1"/>
  <c r="T47" i="2"/>
  <c r="R47" i="2"/>
  <c r="O47" i="2"/>
  <c r="F47" i="2" s="1"/>
  <c r="G47" i="2" s="1"/>
  <c r="J47" i="2" s="1"/>
  <c r="N46" i="2"/>
  <c r="E46" i="2"/>
  <c r="G46" i="2" s="1"/>
  <c r="R45" i="2"/>
  <c r="O45" i="2"/>
  <c r="F45" i="2" s="1"/>
  <c r="F44" i="2" s="1"/>
  <c r="J45" i="2"/>
  <c r="N44" i="2"/>
  <c r="E44" i="2"/>
  <c r="T42" i="2"/>
  <c r="R42" i="2"/>
  <c r="O42" i="2"/>
  <c r="G42" i="2"/>
  <c r="G41" i="2" s="1"/>
  <c r="N41" i="2"/>
  <c r="F41" i="2"/>
  <c r="E41" i="2"/>
  <c r="T40" i="2"/>
  <c r="R40" i="2"/>
  <c r="O40" i="2"/>
  <c r="F40" i="2" s="1"/>
  <c r="N39" i="2"/>
  <c r="E39" i="2"/>
  <c r="T38" i="2"/>
  <c r="R38" i="2"/>
  <c r="G38" i="2"/>
  <c r="J38" i="2" s="1"/>
  <c r="N37" i="2"/>
  <c r="F37" i="2"/>
  <c r="E37" i="2"/>
  <c r="T36" i="2"/>
  <c r="R36" i="2"/>
  <c r="O36" i="2"/>
  <c r="F36" i="2" s="1"/>
  <c r="G36" i="2" s="1"/>
  <c r="J36" i="2" s="1"/>
  <c r="T35" i="2"/>
  <c r="R35" i="2"/>
  <c r="O35" i="2"/>
  <c r="F35" i="2" s="1"/>
  <c r="G35" i="2" s="1"/>
  <c r="J35" i="2" s="1"/>
  <c r="T34" i="2"/>
  <c r="R34" i="2"/>
  <c r="O34" i="2"/>
  <c r="F34" i="2" s="1"/>
  <c r="G34" i="2" s="1"/>
  <c r="J34" i="2" s="1"/>
  <c r="L33" i="2"/>
  <c r="O33" i="2" s="1"/>
  <c r="F33" i="2" s="1"/>
  <c r="L32" i="2"/>
  <c r="O32" i="2" s="1"/>
  <c r="T31" i="2"/>
  <c r="L31" i="2"/>
  <c r="E31" i="2"/>
  <c r="R31" i="2" s="1"/>
  <c r="T30" i="2"/>
  <c r="R30" i="2"/>
  <c r="O30" i="2"/>
  <c r="F30" i="2" s="1"/>
  <c r="N29" i="2"/>
  <c r="T28" i="2"/>
  <c r="R28" i="2"/>
  <c r="O28" i="2"/>
  <c r="F28" i="2" s="1"/>
  <c r="G28" i="2" s="1"/>
  <c r="J28" i="2" s="1"/>
  <c r="T27" i="2"/>
  <c r="R27" i="2"/>
  <c r="O27" i="2"/>
  <c r="F27" i="2" s="1"/>
  <c r="G27" i="2" s="1"/>
  <c r="J27" i="2" s="1"/>
  <c r="T26" i="2"/>
  <c r="R26" i="2"/>
  <c r="O26" i="2"/>
  <c r="G26" i="2"/>
  <c r="J26" i="2" s="1"/>
  <c r="T25" i="2"/>
  <c r="R25" i="2"/>
  <c r="O25" i="2"/>
  <c r="F25" i="2" s="1"/>
  <c r="G25" i="2" s="1"/>
  <c r="J25" i="2" s="1"/>
  <c r="T24" i="2"/>
  <c r="R24" i="2"/>
  <c r="O24" i="2"/>
  <c r="F24" i="2" s="1"/>
  <c r="G24" i="2" s="1"/>
  <c r="J24" i="2" s="1"/>
  <c r="T23" i="2"/>
  <c r="R23" i="2"/>
  <c r="O23" i="2"/>
  <c r="F23" i="2" s="1"/>
  <c r="G23" i="2" s="1"/>
  <c r="J23" i="2" s="1"/>
  <c r="T22" i="2"/>
  <c r="R22" i="2"/>
  <c r="O22" i="2"/>
  <c r="F22" i="2" s="1"/>
  <c r="G22" i="2" s="1"/>
  <c r="N21" i="2"/>
  <c r="E21" i="2"/>
  <c r="T20" i="2"/>
  <c r="R20" i="2"/>
  <c r="O20" i="2"/>
  <c r="F20" i="2" s="1"/>
  <c r="G20" i="2" s="1"/>
  <c r="J20" i="2" s="1"/>
  <c r="T19" i="2"/>
  <c r="R19" i="2"/>
  <c r="O19" i="2"/>
  <c r="F19" i="2" s="1"/>
  <c r="T18" i="2"/>
  <c r="R18" i="2"/>
  <c r="O18" i="2"/>
  <c r="F18" i="2" s="1"/>
  <c r="G18" i="2" s="1"/>
  <c r="J18" i="2" s="1"/>
  <c r="T17" i="2"/>
  <c r="R17" i="2"/>
  <c r="O17" i="2"/>
  <c r="F17" i="2" s="1"/>
  <c r="G17" i="2" s="1"/>
  <c r="T16" i="2"/>
  <c r="R16" i="2"/>
  <c r="O16" i="2"/>
  <c r="F16" i="2" s="1"/>
  <c r="G16" i="2" s="1"/>
  <c r="J16" i="2" s="1"/>
  <c r="N15" i="2"/>
  <c r="E15" i="2"/>
  <c r="R14" i="2"/>
  <c r="O14" i="2"/>
  <c r="F14" i="2" s="1"/>
  <c r="F13" i="2" s="1"/>
  <c r="G14" i="2"/>
  <c r="J14" i="2" s="1"/>
  <c r="N13" i="2"/>
  <c r="E13" i="2"/>
  <c r="H163" i="1"/>
  <c r="G163" i="1"/>
  <c r="S161" i="1"/>
  <c r="Q161" i="1"/>
  <c r="N161" i="1"/>
  <c r="E161" i="1" s="1"/>
  <c r="E160" i="1" s="1"/>
  <c r="E159" i="1" s="1"/>
  <c r="M160" i="1"/>
  <c r="D160" i="1"/>
  <c r="D159" i="1" s="1"/>
  <c r="Q158" i="1"/>
  <c r="Q157" i="1"/>
  <c r="D156" i="1"/>
  <c r="N155" i="1"/>
  <c r="E155" i="1" s="1"/>
  <c r="F155" i="1" s="1"/>
  <c r="I155" i="1" s="1"/>
  <c r="N154" i="1"/>
  <c r="E154" i="1" s="1"/>
  <c r="F154" i="1" s="1"/>
  <c r="I154" i="1" s="1"/>
  <c r="N153" i="1"/>
  <c r="E153" i="1" s="1"/>
  <c r="F153" i="1" s="1"/>
  <c r="I153" i="1" s="1"/>
  <c r="L152" i="1"/>
  <c r="K152" i="1"/>
  <c r="D152" i="1"/>
  <c r="D151" i="1" s="1"/>
  <c r="N150" i="1"/>
  <c r="E150" i="1" s="1"/>
  <c r="F150" i="1" s="1"/>
  <c r="I150" i="1" s="1"/>
  <c r="N149" i="1"/>
  <c r="E149" i="1" s="1"/>
  <c r="F149" i="1" s="1"/>
  <c r="I149" i="1" s="1"/>
  <c r="N148" i="1"/>
  <c r="E148" i="1" s="1"/>
  <c r="F148" i="1" s="1"/>
  <c r="I148" i="1" s="1"/>
  <c r="N147" i="1"/>
  <c r="E147" i="1" s="1"/>
  <c r="L146" i="1"/>
  <c r="K146" i="1"/>
  <c r="D146" i="1"/>
  <c r="Q146" i="1" s="1"/>
  <c r="Q144" i="1"/>
  <c r="N144" i="1"/>
  <c r="Q143" i="1"/>
  <c r="N143" i="1"/>
  <c r="E143" i="1" s="1"/>
  <c r="F143" i="1" s="1"/>
  <c r="I143" i="1" s="1"/>
  <c r="Q142" i="1"/>
  <c r="N142" i="1"/>
  <c r="E142" i="1" s="1"/>
  <c r="F142" i="1" s="1"/>
  <c r="I142" i="1" s="1"/>
  <c r="Q141" i="1"/>
  <c r="N141" i="1"/>
  <c r="E141" i="1" s="1"/>
  <c r="F141" i="1" s="1"/>
  <c r="I141" i="1" s="1"/>
  <c r="Q140" i="1"/>
  <c r="N140" i="1"/>
  <c r="E140" i="1" s="1"/>
  <c r="D139" i="1"/>
  <c r="Q138" i="1"/>
  <c r="N138" i="1"/>
  <c r="E138" i="1" s="1"/>
  <c r="D137" i="1"/>
  <c r="Q136" i="1"/>
  <c r="N136" i="1"/>
  <c r="E136" i="1" s="1"/>
  <c r="D135" i="1"/>
  <c r="N134" i="1"/>
  <c r="E134" i="1" s="1"/>
  <c r="F134" i="1" s="1"/>
  <c r="I134" i="1" s="1"/>
  <c r="N133" i="1"/>
  <c r="E133" i="1" s="1"/>
  <c r="F133" i="1" s="1"/>
  <c r="I133" i="1" s="1"/>
  <c r="N132" i="1"/>
  <c r="E132" i="1" s="1"/>
  <c r="F132" i="1" s="1"/>
  <c r="I132" i="1" s="1"/>
  <c r="N131" i="1"/>
  <c r="E131" i="1" s="1"/>
  <c r="F131" i="1" s="1"/>
  <c r="L130" i="1"/>
  <c r="Q130" i="1"/>
  <c r="Q128" i="1"/>
  <c r="N128" i="1"/>
  <c r="E128" i="1" s="1"/>
  <c r="F128" i="1" s="1"/>
  <c r="I128" i="1" s="1"/>
  <c r="Q127" i="1"/>
  <c r="N127" i="1"/>
  <c r="E127" i="1" s="1"/>
  <c r="D126" i="1"/>
  <c r="Q125" i="1"/>
  <c r="N125" i="1"/>
  <c r="E125" i="1" s="1"/>
  <c r="D124" i="1"/>
  <c r="N123" i="1"/>
  <c r="I123" i="1"/>
  <c r="N122" i="1"/>
  <c r="I122" i="1"/>
  <c r="N121" i="1"/>
  <c r="E121" i="1" s="1"/>
  <c r="N120" i="1"/>
  <c r="E120" i="1" s="1"/>
  <c r="L119" i="1"/>
  <c r="Q119" i="1"/>
  <c r="N118" i="1"/>
  <c r="E118" i="1" s="1"/>
  <c r="F118" i="1" s="1"/>
  <c r="I118" i="1" s="1"/>
  <c r="K116" i="1"/>
  <c r="E117" i="1"/>
  <c r="E116" i="1" s="1"/>
  <c r="L116" i="1"/>
  <c r="Q115" i="1"/>
  <c r="N115" i="1"/>
  <c r="E115" i="1" s="1"/>
  <c r="F115" i="1" s="1"/>
  <c r="I115" i="1" s="1"/>
  <c r="Q114" i="1"/>
  <c r="N114" i="1"/>
  <c r="E114" i="1" s="1"/>
  <c r="F114" i="1" s="1"/>
  <c r="I114" i="1" s="1"/>
  <c r="Q113" i="1"/>
  <c r="E113" i="1"/>
  <c r="F113" i="1" s="1"/>
  <c r="I113" i="1" s="1"/>
  <c r="N112" i="1"/>
  <c r="I112" i="1"/>
  <c r="N111" i="1"/>
  <c r="I111" i="1"/>
  <c r="N110" i="1"/>
  <c r="I110" i="1"/>
  <c r="N109" i="1"/>
  <c r="E109" i="1" s="1"/>
  <c r="F109" i="1" s="1"/>
  <c r="I109" i="1" s="1"/>
  <c r="L107" i="1"/>
  <c r="D106" i="1"/>
  <c r="Q105" i="1"/>
  <c r="N105" i="1"/>
  <c r="E105" i="1" s="1"/>
  <c r="F105" i="1" s="1"/>
  <c r="I105" i="1" s="1"/>
  <c r="Q104" i="1"/>
  <c r="N104" i="1"/>
  <c r="E104" i="1" s="1"/>
  <c r="F104" i="1" s="1"/>
  <c r="D103" i="1"/>
  <c r="Q102" i="1"/>
  <c r="E102" i="1"/>
  <c r="F102" i="1"/>
  <c r="I102" i="1" s="1"/>
  <c r="Q101" i="1"/>
  <c r="N101" i="1"/>
  <c r="E101" i="1" s="1"/>
  <c r="D100" i="1"/>
  <c r="Q96" i="1"/>
  <c r="D95" i="1"/>
  <c r="Q94" i="1"/>
  <c r="N94" i="1"/>
  <c r="E94" i="1" s="1"/>
  <c r="D93" i="1"/>
  <c r="Q92" i="1"/>
  <c r="N92" i="1"/>
  <c r="E92" i="1" s="1"/>
  <c r="F92" i="1" s="1"/>
  <c r="I92" i="1" s="1"/>
  <c r="Q91" i="1"/>
  <c r="N91" i="1"/>
  <c r="E91" i="1" s="1"/>
  <c r="F91" i="1" s="1"/>
  <c r="I91" i="1" s="1"/>
  <c r="Q90" i="1"/>
  <c r="N90" i="1"/>
  <c r="E90" i="1" s="1"/>
  <c r="D89" i="1"/>
  <c r="S86" i="1"/>
  <c r="Q86" i="1"/>
  <c r="N86" i="1"/>
  <c r="I86" i="1"/>
  <c r="M85" i="1"/>
  <c r="D85" i="1"/>
  <c r="S84" i="1"/>
  <c r="Q84" i="1"/>
  <c r="N84" i="1"/>
  <c r="I84" i="1"/>
  <c r="M83" i="1"/>
  <c r="D83" i="1"/>
  <c r="I83" i="1" s="1"/>
  <c r="S82" i="1"/>
  <c r="Q82" i="1"/>
  <c r="N82" i="1"/>
  <c r="I82" i="1"/>
  <c r="S81" i="1"/>
  <c r="Q81" i="1"/>
  <c r="I81" i="1"/>
  <c r="S80" i="1"/>
  <c r="Q80" i="1"/>
  <c r="I80" i="1"/>
  <c r="M79" i="1"/>
  <c r="D79" i="1"/>
  <c r="S76" i="1"/>
  <c r="Q76" i="1"/>
  <c r="E76" i="1"/>
  <c r="F76" i="1" s="1"/>
  <c r="I76" i="1" s="1"/>
  <c r="S75" i="1"/>
  <c r="Q75" i="1"/>
  <c r="E75" i="1"/>
  <c r="F75" i="1" s="1"/>
  <c r="I75" i="1" s="1"/>
  <c r="S74" i="1"/>
  <c r="Q74" i="1"/>
  <c r="E74" i="1"/>
  <c r="M73" i="1"/>
  <c r="D73" i="1"/>
  <c r="S71" i="1"/>
  <c r="Q71" i="1"/>
  <c r="E71" i="1"/>
  <c r="F71" i="1" s="1"/>
  <c r="I71" i="1" s="1"/>
  <c r="S70" i="1"/>
  <c r="Q70" i="1"/>
  <c r="N70" i="1"/>
  <c r="E70" i="1" s="1"/>
  <c r="F70" i="1" s="1"/>
  <c r="I70" i="1" s="1"/>
  <c r="S69" i="1"/>
  <c r="Q69" i="1"/>
  <c r="E69" i="1"/>
  <c r="S68" i="1"/>
  <c r="Q68" i="1"/>
  <c r="E68" i="1"/>
  <c r="F68" i="1" s="1"/>
  <c r="I68" i="1" s="1"/>
  <c r="M67" i="1"/>
  <c r="D67" i="1"/>
  <c r="N66" i="1"/>
  <c r="M65" i="1"/>
  <c r="D65" i="1"/>
  <c r="S64" i="1"/>
  <c r="Q64" i="1"/>
  <c r="N64" i="1"/>
  <c r="M63" i="1"/>
  <c r="D63" i="1"/>
  <c r="S62" i="1"/>
  <c r="Q62" i="1"/>
  <c r="N62" i="1"/>
  <c r="E62" i="1" s="1"/>
  <c r="F62" i="1" s="1"/>
  <c r="I62" i="1" s="1"/>
  <c r="S61" i="1"/>
  <c r="Q61" i="1"/>
  <c r="N61" i="1"/>
  <c r="E61" i="1" s="1"/>
  <c r="F61" i="1" s="1"/>
  <c r="I61" i="1" s="1"/>
  <c r="S60" i="1"/>
  <c r="Q60" i="1"/>
  <c r="N60" i="1"/>
  <c r="E60" i="1" s="1"/>
  <c r="F60" i="1" s="1"/>
  <c r="I60" i="1" s="1"/>
  <c r="S59" i="1"/>
  <c r="Q59" i="1"/>
  <c r="N59" i="1"/>
  <c r="E59" i="1" s="1"/>
  <c r="F59" i="1" s="1"/>
  <c r="I59" i="1" s="1"/>
  <c r="S58" i="1"/>
  <c r="Q58" i="1"/>
  <c r="N58" i="1"/>
  <c r="E58" i="1" s="1"/>
  <c r="M57" i="1"/>
  <c r="D57" i="1"/>
  <c r="S56" i="1"/>
  <c r="Q56" i="1"/>
  <c r="E56" i="1"/>
  <c r="F56" i="1" s="1"/>
  <c r="I56" i="1" s="1"/>
  <c r="S55" i="1"/>
  <c r="Q55" i="1"/>
  <c r="E55" i="1"/>
  <c r="F55" i="1" s="1"/>
  <c r="I55" i="1" s="1"/>
  <c r="S54" i="1"/>
  <c r="Q54" i="1"/>
  <c r="E54" i="1"/>
  <c r="F54" i="1" s="1"/>
  <c r="I54" i="1" s="1"/>
  <c r="S53" i="1"/>
  <c r="Q53" i="1"/>
  <c r="E53" i="1"/>
  <c r="F53" i="1" s="1"/>
  <c r="I53" i="1" s="1"/>
  <c r="S52" i="1"/>
  <c r="Q52" i="1"/>
  <c r="E52" i="1"/>
  <c r="F52" i="1" s="1"/>
  <c r="I52" i="1" s="1"/>
  <c r="S51" i="1"/>
  <c r="Q51" i="1"/>
  <c r="E51" i="1"/>
  <c r="F51" i="1" s="1"/>
  <c r="I51" i="1" s="1"/>
  <c r="S50" i="1"/>
  <c r="Q50" i="1"/>
  <c r="E50" i="1"/>
  <c r="F50" i="1" s="1"/>
  <c r="I50" i="1" s="1"/>
  <c r="S49" i="1"/>
  <c r="Q49" i="1"/>
  <c r="E49" i="1"/>
  <c r="M48" i="1"/>
  <c r="D48" i="1"/>
  <c r="Q47" i="1"/>
  <c r="N47" i="1"/>
  <c r="E47" i="1" s="1"/>
  <c r="M46" i="1"/>
  <c r="D46" i="1"/>
  <c r="S44" i="1"/>
  <c r="Q44" i="1"/>
  <c r="N44" i="1"/>
  <c r="M43" i="1"/>
  <c r="E43" i="1"/>
  <c r="D43" i="1"/>
  <c r="S42" i="1"/>
  <c r="Q42" i="1"/>
  <c r="M41" i="1"/>
  <c r="D41" i="1"/>
  <c r="S40" i="1"/>
  <c r="Q40" i="1"/>
  <c r="F40" i="1"/>
  <c r="I40" i="1" s="1"/>
  <c r="M39" i="1"/>
  <c r="E39" i="1"/>
  <c r="D39" i="1"/>
  <c r="S38" i="1"/>
  <c r="Q38" i="1"/>
  <c r="N38" i="1"/>
  <c r="E38" i="1" s="1"/>
  <c r="F38" i="1" s="1"/>
  <c r="I38" i="1" s="1"/>
  <c r="S37" i="1"/>
  <c r="Q37" i="1"/>
  <c r="N37" i="1"/>
  <c r="E37" i="1" s="1"/>
  <c r="F37" i="1" s="1"/>
  <c r="I37" i="1" s="1"/>
  <c r="S34" i="1"/>
  <c r="Q34" i="1"/>
  <c r="N34" i="1"/>
  <c r="E34" i="1" s="1"/>
  <c r="F34" i="1" s="1"/>
  <c r="I34" i="1" s="1"/>
  <c r="E32" i="1"/>
  <c r="S31" i="1"/>
  <c r="Q31" i="1"/>
  <c r="S30" i="1"/>
  <c r="Q30" i="1"/>
  <c r="N30" i="1"/>
  <c r="E30" i="1" s="1"/>
  <c r="S28" i="1"/>
  <c r="Q28" i="1"/>
  <c r="N28" i="1"/>
  <c r="S27" i="1"/>
  <c r="Q27" i="1"/>
  <c r="N27" i="1"/>
  <c r="F27" i="1"/>
  <c r="S24" i="1"/>
  <c r="Q24" i="1"/>
  <c r="N24" i="1"/>
  <c r="E24" i="1" s="1"/>
  <c r="F24" i="1" s="1"/>
  <c r="I24" i="1" s="1"/>
  <c r="S23" i="1"/>
  <c r="Q23" i="1"/>
  <c r="N23" i="1"/>
  <c r="E23" i="1" s="1"/>
  <c r="S22" i="1"/>
  <c r="Q22" i="1"/>
  <c r="N22" i="1"/>
  <c r="E22" i="1" s="1"/>
  <c r="S21" i="1"/>
  <c r="Q21" i="1"/>
  <c r="N21" i="1"/>
  <c r="E21" i="1" s="1"/>
  <c r="S19" i="1"/>
  <c r="Q19" i="1"/>
  <c r="N19" i="1"/>
  <c r="E19" i="1" s="1"/>
  <c r="F19" i="1" s="1"/>
  <c r="I19" i="1" s="1"/>
  <c r="S18" i="1"/>
  <c r="Q18" i="1"/>
  <c r="N18" i="1"/>
  <c r="E18" i="1" s="1"/>
  <c r="F18" i="1" s="1"/>
  <c r="I18" i="1" s="1"/>
  <c r="S17" i="1"/>
  <c r="Q17" i="1"/>
  <c r="N17" i="1"/>
  <c r="E17" i="1" s="1"/>
  <c r="F17" i="1" s="1"/>
  <c r="I17" i="1" s="1"/>
  <c r="S16" i="1"/>
  <c r="Q16" i="1"/>
  <c r="N16" i="1"/>
  <c r="E16" i="1" s="1"/>
  <c r="M15" i="1"/>
  <c r="D15" i="1"/>
  <c r="Q14" i="1"/>
  <c r="N14" i="1"/>
  <c r="E14" i="1" s="1"/>
  <c r="M13" i="1"/>
  <c r="D13" i="1"/>
  <c r="F120" i="1" l="1"/>
  <c r="F119" i="1" s="1"/>
  <c r="I119" i="1" s="1"/>
  <c r="E119" i="1"/>
  <c r="G44" i="2"/>
  <c r="G13" i="2"/>
  <c r="G19" i="2"/>
  <c r="J19" i="2" s="1"/>
  <c r="J93" i="2"/>
  <c r="N43" i="2"/>
  <c r="N12" i="2"/>
  <c r="N11" i="2" s="1"/>
  <c r="G33" i="2"/>
  <c r="J33" i="2" s="1"/>
  <c r="J102" i="2"/>
  <c r="J94" i="2"/>
  <c r="J113" i="2"/>
  <c r="J112" i="2" s="1"/>
  <c r="F49" i="1"/>
  <c r="I49" i="1" s="1"/>
  <c r="E48" i="1"/>
  <c r="F48" i="1" s="1"/>
  <c r="I48" i="1" s="1"/>
  <c r="E20" i="1"/>
  <c r="I27" i="1"/>
  <c r="F21" i="1"/>
  <c r="F23" i="1"/>
  <c r="I23" i="1" s="1"/>
  <c r="I28" i="1"/>
  <c r="E146" i="1"/>
  <c r="F146" i="1" s="1"/>
  <c r="F145" i="1" s="1"/>
  <c r="F39" i="1"/>
  <c r="I39" i="1" s="1"/>
  <c r="F32" i="1"/>
  <c r="I32" i="1" s="1"/>
  <c r="I96" i="1"/>
  <c r="E46" i="1"/>
  <c r="F46" i="1" s="1"/>
  <c r="I46" i="1" s="1"/>
  <c r="F47" i="1"/>
  <c r="I47" i="1" s="1"/>
  <c r="M78" i="1"/>
  <c r="M77" i="1" s="1"/>
  <c r="M12" i="1"/>
  <c r="F161" i="1"/>
  <c r="I161" i="1" s="1"/>
  <c r="E64" i="1"/>
  <c r="E63" i="1" s="1"/>
  <c r="D45" i="1"/>
  <c r="F43" i="1"/>
  <c r="I43" i="1" s="1"/>
  <c r="E41" i="1"/>
  <c r="F102" i="2"/>
  <c r="G103" i="2"/>
  <c r="G115" i="2"/>
  <c r="F74" i="1"/>
  <c r="E73" i="1"/>
  <c r="F125" i="1"/>
  <c r="F124" i="1" s="1"/>
  <c r="I124" i="1" s="1"/>
  <c r="E124" i="1"/>
  <c r="G134" i="2"/>
  <c r="J134" i="2" s="1"/>
  <c r="F133" i="2"/>
  <c r="F140" i="1"/>
  <c r="I140" i="1" s="1"/>
  <c r="E139" i="1"/>
  <c r="G72" i="2"/>
  <c r="J72" i="2" s="1"/>
  <c r="F96" i="2"/>
  <c r="G97" i="2"/>
  <c r="E33" i="1"/>
  <c r="E31" i="1" s="1"/>
  <c r="F31" i="1" s="1"/>
  <c r="D129" i="1"/>
  <c r="F147" i="1"/>
  <c r="I147" i="1" s="1"/>
  <c r="F62" i="2"/>
  <c r="E147" i="2"/>
  <c r="O148" i="2"/>
  <c r="D12" i="1"/>
  <c r="F95" i="1"/>
  <c r="I95" i="1" s="1"/>
  <c r="Q107" i="1"/>
  <c r="N116" i="1"/>
  <c r="K130" i="1"/>
  <c r="N130" i="1" s="1"/>
  <c r="R113" i="2"/>
  <c r="O145" i="2"/>
  <c r="F145" i="2" s="1"/>
  <c r="G145" i="2" s="1"/>
  <c r="J145" i="2" s="1"/>
  <c r="F77" i="2"/>
  <c r="F76" i="2" s="1"/>
  <c r="F75" i="2" s="1"/>
  <c r="N31" i="1"/>
  <c r="M45" i="1"/>
  <c r="E66" i="1"/>
  <c r="F66" i="1" s="1"/>
  <c r="I85" i="1"/>
  <c r="D145" i="1"/>
  <c r="F32" i="2"/>
  <c r="J41" i="2"/>
  <c r="J46" i="2"/>
  <c r="F64" i="2"/>
  <c r="F65" i="2"/>
  <c r="J83" i="2"/>
  <c r="J13" i="2"/>
  <c r="F15" i="2"/>
  <c r="J22" i="2"/>
  <c r="J21" i="2" s="1"/>
  <c r="G30" i="2"/>
  <c r="G136" i="2"/>
  <c r="F135" i="2"/>
  <c r="G40" i="2"/>
  <c r="F39" i="2"/>
  <c r="J17" i="2"/>
  <c r="G15" i="2"/>
  <c r="J15" i="2" s="1"/>
  <c r="J88" i="2"/>
  <c r="G87" i="2"/>
  <c r="F21" i="2"/>
  <c r="G21" i="2" s="1"/>
  <c r="G100" i="2"/>
  <c r="F99" i="2"/>
  <c r="G121" i="2"/>
  <c r="F120" i="2"/>
  <c r="G127" i="2"/>
  <c r="F126" i="2"/>
  <c r="F125" i="2" s="1"/>
  <c r="G37" i="2"/>
  <c r="J37" i="2" s="1"/>
  <c r="J42" i="2"/>
  <c r="F87" i="2"/>
  <c r="R126" i="2"/>
  <c r="O126" i="2"/>
  <c r="J132" i="2"/>
  <c r="O31" i="2"/>
  <c r="F31" i="2" s="1"/>
  <c r="G31" i="2" s="1"/>
  <c r="J44" i="2"/>
  <c r="F55" i="2"/>
  <c r="J131" i="2"/>
  <c r="G143" i="2"/>
  <c r="J143" i="2" s="1"/>
  <c r="F142" i="2"/>
  <c r="G149" i="2"/>
  <c r="F148" i="2"/>
  <c r="F147" i="2" s="1"/>
  <c r="J156" i="2"/>
  <c r="E29" i="2"/>
  <c r="E43" i="2"/>
  <c r="G55" i="2"/>
  <c r="G123" i="2"/>
  <c r="F122" i="2"/>
  <c r="J157" i="2"/>
  <c r="G156" i="2"/>
  <c r="G155" i="2" s="1"/>
  <c r="J155" i="2" s="1"/>
  <c r="J31" i="2"/>
  <c r="G66" i="2"/>
  <c r="G71" i="2"/>
  <c r="J71" i="2" s="1"/>
  <c r="J77" i="2"/>
  <c r="E76" i="2"/>
  <c r="G92" i="2"/>
  <c r="F91" i="2"/>
  <c r="J97" i="2"/>
  <c r="G96" i="2"/>
  <c r="J96" i="2" s="1"/>
  <c r="E86" i="2"/>
  <c r="G133" i="2"/>
  <c r="J133" i="2" s="1"/>
  <c r="R142" i="2"/>
  <c r="O142" i="2"/>
  <c r="G153" i="2"/>
  <c r="F152" i="2"/>
  <c r="F156" i="2"/>
  <c r="F155" i="2" s="1"/>
  <c r="F131" i="2"/>
  <c r="E15" i="1"/>
  <c r="F16" i="1"/>
  <c r="F117" i="1"/>
  <c r="F116" i="1" s="1"/>
  <c r="I116" i="1" s="1"/>
  <c r="F14" i="1"/>
  <c r="I14" i="1" s="1"/>
  <c r="E13" i="1"/>
  <c r="F121" i="1"/>
  <c r="I121" i="1" s="1"/>
  <c r="F22" i="1"/>
  <c r="F30" i="1"/>
  <c r="I79" i="1"/>
  <c r="D78" i="1"/>
  <c r="E156" i="1"/>
  <c r="F94" i="1"/>
  <c r="E93" i="1"/>
  <c r="E103" i="1"/>
  <c r="I120" i="1"/>
  <c r="E152" i="1"/>
  <c r="E151" i="1" s="1"/>
  <c r="E57" i="1"/>
  <c r="F58" i="1"/>
  <c r="F101" i="1"/>
  <c r="E100" i="1"/>
  <c r="F136" i="1"/>
  <c r="E135" i="1"/>
  <c r="N152" i="1"/>
  <c r="Q152" i="1"/>
  <c r="F69" i="1"/>
  <c r="I69" i="1" s="1"/>
  <c r="E67" i="1"/>
  <c r="F90" i="1"/>
  <c r="E89" i="1"/>
  <c r="I104" i="1"/>
  <c r="F103" i="1"/>
  <c r="I103" i="1" s="1"/>
  <c r="E108" i="1"/>
  <c r="E107" i="1" s="1"/>
  <c r="K107" i="1"/>
  <c r="N107" i="1" s="1"/>
  <c r="F127" i="1"/>
  <c r="E126" i="1"/>
  <c r="E130" i="1"/>
  <c r="E129" i="1" s="1"/>
  <c r="I131" i="1"/>
  <c r="F130" i="1"/>
  <c r="F129" i="1" s="1"/>
  <c r="F138" i="1"/>
  <c r="E137" i="1"/>
  <c r="Q117" i="1"/>
  <c r="N119" i="1"/>
  <c r="N146" i="1"/>
  <c r="G32" i="2" l="1"/>
  <c r="J32" i="2" s="1"/>
  <c r="I74" i="1"/>
  <c r="F73" i="1"/>
  <c r="E106" i="1"/>
  <c r="J29" i="2"/>
  <c r="G102" i="2"/>
  <c r="F20" i="1"/>
  <c r="I20" i="1" s="1"/>
  <c r="I129" i="1"/>
  <c r="I21" i="1"/>
  <c r="I31" i="1"/>
  <c r="E145" i="1"/>
  <c r="I145" i="1"/>
  <c r="I146" i="1"/>
  <c r="F33" i="1"/>
  <c r="I33" i="1" s="1"/>
  <c r="I125" i="1"/>
  <c r="D88" i="1"/>
  <c r="D87" i="1" s="1"/>
  <c r="F160" i="1"/>
  <c r="F159" i="1" s="1"/>
  <c r="I159" i="1" s="1"/>
  <c r="F64" i="1"/>
  <c r="F63" i="1" s="1"/>
  <c r="I63" i="1" s="1"/>
  <c r="M11" i="1"/>
  <c r="F139" i="1"/>
  <c r="I139" i="1" s="1"/>
  <c r="I130" i="1"/>
  <c r="I117" i="1"/>
  <c r="I73" i="1"/>
  <c r="E65" i="1"/>
  <c r="E45" i="1" s="1"/>
  <c r="F41" i="1"/>
  <c r="I41" i="1" s="1"/>
  <c r="E29" i="1"/>
  <c r="E12" i="1" s="1"/>
  <c r="F63" i="2"/>
  <c r="G64" i="2"/>
  <c r="F61" i="2"/>
  <c r="G62" i="2"/>
  <c r="E85" i="2"/>
  <c r="J123" i="2"/>
  <c r="G122" i="2"/>
  <c r="J122" i="2" s="1"/>
  <c r="J92" i="2"/>
  <c r="G91" i="2"/>
  <c r="J91" i="2" s="1"/>
  <c r="J66" i="2"/>
  <c r="G65" i="2"/>
  <c r="J65" i="2" s="1"/>
  <c r="J149" i="2"/>
  <c r="G148" i="2"/>
  <c r="E12" i="2"/>
  <c r="F29" i="2"/>
  <c r="F12" i="2" s="1"/>
  <c r="J55" i="2"/>
  <c r="J87" i="2"/>
  <c r="J121" i="2"/>
  <c r="G120" i="2"/>
  <c r="J120" i="2" s="1"/>
  <c r="J136" i="2"/>
  <c r="G135" i="2"/>
  <c r="J135" i="2" s="1"/>
  <c r="J153" i="2"/>
  <c r="G152" i="2"/>
  <c r="J152" i="2" s="1"/>
  <c r="J76" i="2"/>
  <c r="E75" i="2"/>
  <c r="J75" i="2" s="1"/>
  <c r="G142" i="2"/>
  <c r="F141" i="2"/>
  <c r="J127" i="2"/>
  <c r="G126" i="2"/>
  <c r="J100" i="2"/>
  <c r="G99" i="2"/>
  <c r="J99" i="2" s="1"/>
  <c r="J40" i="2"/>
  <c r="G39" i="2"/>
  <c r="J39" i="2" s="1"/>
  <c r="G29" i="2"/>
  <c r="J30" i="2"/>
  <c r="I138" i="1"/>
  <c r="F137" i="1"/>
  <c r="I137" i="1" s="1"/>
  <c r="I136" i="1"/>
  <c r="F135" i="1"/>
  <c r="I135" i="1" s="1"/>
  <c r="F152" i="1"/>
  <c r="I22" i="1"/>
  <c r="F13" i="1"/>
  <c r="I127" i="1"/>
  <c r="F126" i="1"/>
  <c r="I126" i="1" s="1"/>
  <c r="F108" i="1"/>
  <c r="F107" i="1" s="1"/>
  <c r="F106" i="1" s="1"/>
  <c r="I101" i="1"/>
  <c r="F100" i="1"/>
  <c r="I100" i="1" s="1"/>
  <c r="D11" i="1"/>
  <c r="F67" i="1"/>
  <c r="I67" i="1" s="1"/>
  <c r="I90" i="1"/>
  <c r="F89" i="1"/>
  <c r="I16" i="1"/>
  <c r="F15" i="1"/>
  <c r="I15" i="1" s="1"/>
  <c r="F57" i="1"/>
  <c r="I58" i="1"/>
  <c r="I94" i="1"/>
  <c r="F93" i="1"/>
  <c r="I93" i="1" s="1"/>
  <c r="F65" i="1"/>
  <c r="I66" i="1"/>
  <c r="I65" i="1" s="1"/>
  <c r="F156" i="1"/>
  <c r="I156" i="1" s="1"/>
  <c r="I78" i="1"/>
  <c r="D77" i="1"/>
  <c r="I77" i="1" s="1"/>
  <c r="I30" i="1"/>
  <c r="F29" i="1"/>
  <c r="I29" i="1" s="1"/>
  <c r="F43" i="2" l="1"/>
  <c r="F11" i="2"/>
  <c r="I160" i="1"/>
  <c r="E88" i="1"/>
  <c r="E87" i="1" s="1"/>
  <c r="I64" i="1"/>
  <c r="E11" i="1"/>
  <c r="J64" i="2"/>
  <c r="J63" i="2" s="1"/>
  <c r="G63" i="2"/>
  <c r="J62" i="2"/>
  <c r="G61" i="2"/>
  <c r="J61" i="2" s="1"/>
  <c r="F86" i="2"/>
  <c r="F85" i="2" s="1"/>
  <c r="G125" i="2"/>
  <c r="J125" i="2" s="1"/>
  <c r="J126" i="2"/>
  <c r="E11" i="2"/>
  <c r="E159" i="2" s="1"/>
  <c r="G141" i="2"/>
  <c r="J141" i="2" s="1"/>
  <c r="J142" i="2"/>
  <c r="G12" i="2"/>
  <c r="J12" i="2" s="1"/>
  <c r="G147" i="2"/>
  <c r="J147" i="2" s="1"/>
  <c r="J148" i="2"/>
  <c r="D163" i="1"/>
  <c r="F151" i="1"/>
  <c r="I151" i="1" s="1"/>
  <c r="I152" i="1"/>
  <c r="I89" i="1"/>
  <c r="F12" i="1"/>
  <c r="I13" i="1"/>
  <c r="I57" i="1"/>
  <c r="F45" i="1"/>
  <c r="I45" i="1" s="1"/>
  <c r="I108" i="1"/>
  <c r="G43" i="2" l="1"/>
  <c r="J43" i="2" s="1"/>
  <c r="E163" i="1"/>
  <c r="F159" i="2"/>
  <c r="G11" i="2"/>
  <c r="J11" i="2" s="1"/>
  <c r="F11" i="1"/>
  <c r="I11" i="1" s="1"/>
  <c r="I12" i="1"/>
  <c r="I107" i="1"/>
  <c r="G86" i="2" l="1"/>
  <c r="I106" i="1"/>
  <c r="F88" i="1"/>
  <c r="G85" i="2" l="1"/>
  <c r="J86" i="2"/>
  <c r="F87" i="1"/>
  <c r="I88" i="1"/>
  <c r="G159" i="2" l="1"/>
  <c r="J85" i="2"/>
  <c r="J159" i="2" s="1"/>
  <c r="F163" i="1"/>
  <c r="I87" i="1"/>
  <c r="I163" i="1" s="1"/>
</calcChain>
</file>

<file path=xl/comments1.xml><?xml version="1.0" encoding="utf-8"?>
<comments xmlns="http://schemas.openxmlformats.org/spreadsheetml/2006/main">
  <authors>
    <author>吳佳倫</author>
    <author>會計決算處公務會計科吳佳倫</author>
    <author>會計決算處公務會計科林惠敏</author>
    <author>李國鼎</author>
    <author>dgbas</author>
    <author>陳淑萍</author>
  </authors>
  <commentList>
    <comment ref="H7" authorId="0" shapeId="0">
      <text>
        <r>
          <rPr>
            <b/>
            <sz val="14"/>
            <color indexed="81"/>
            <rFont val="細明體"/>
            <family val="3"/>
            <charset val="136"/>
          </rPr>
          <t>機關採公允價值入帳者請自行增加表列，公式依照F9及G9設算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期末持有股數係經濟部持有</t>
        </r>
        <r>
          <rPr>
            <b/>
            <sz val="9"/>
            <color indexed="81"/>
            <rFont val="Tahoma"/>
            <family val="2"/>
          </rPr>
          <t>4,702,886,217</t>
        </r>
        <r>
          <rPr>
            <b/>
            <sz val="9"/>
            <color indexed="81"/>
            <rFont val="細明體"/>
            <family val="3"/>
            <charset val="136"/>
          </rPr>
          <t>股，不含代管中央銀行持有</t>
        </r>
        <r>
          <rPr>
            <b/>
            <sz val="9"/>
            <color indexed="81"/>
            <rFont val="Tahoma"/>
            <family val="2"/>
          </rPr>
          <t>153,036,335</t>
        </r>
        <r>
          <rPr>
            <b/>
            <sz val="9"/>
            <color indexed="81"/>
            <rFont val="細明體"/>
            <family val="3"/>
            <charset val="136"/>
          </rPr>
          <t>股及國有財產署持有非公用財產</t>
        </r>
        <r>
          <rPr>
            <b/>
            <sz val="9"/>
            <color indexed="81"/>
            <rFont val="Tahoma"/>
            <family val="2"/>
          </rPr>
          <t>559,280,310</t>
        </r>
        <r>
          <rPr>
            <b/>
            <sz val="9"/>
            <color indexed="81"/>
            <rFont val="細明體"/>
            <family val="3"/>
            <charset val="136"/>
          </rPr>
          <t>股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期末持有股數不含國有財產署持有非公用財產</t>
        </r>
        <r>
          <rPr>
            <b/>
            <sz val="9"/>
            <color indexed="81"/>
            <rFont val="Tahoma"/>
            <family val="2"/>
          </rPr>
          <t>8,181</t>
        </r>
        <r>
          <rPr>
            <b/>
            <sz val="9"/>
            <color indexed="81"/>
            <rFont val="細明體"/>
            <family val="3"/>
            <charset val="136"/>
          </rPr>
          <t>股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  <comment ref="C24" authorId="0" shapeId="0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將水利署投資台水公司之預收資本4,990,034,405.62元(已於水利署單決資本資產帳-其他資本資產列帳)調成為經濟部主管對該公司之評價調整</t>
        </r>
      </text>
    </comment>
    <comment ref="L24" authorId="0" shapeId="0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含預收資本</t>
        </r>
      </text>
    </comment>
    <comment ref="C27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清算中</t>
        </r>
      </text>
    </comment>
    <comment ref="C28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>107/1/29</t>
        </r>
        <r>
          <rPr>
            <sz val="9"/>
            <color indexed="81"/>
            <rFont val="細明體"/>
            <family val="3"/>
            <charset val="136"/>
          </rPr>
          <t>清算完結</t>
        </r>
      </text>
    </comment>
    <comment ref="L34" authorId="0" shapeId="0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已扣除非控制權益49,944,407</t>
        </r>
      </text>
    </comment>
    <comment ref="E36" authorId="2" shapeId="0">
      <text>
        <r>
          <rPr>
            <b/>
            <sz val="9"/>
            <color indexed="81"/>
            <rFont val="細明體"/>
            <family val="3"/>
            <charset val="136"/>
          </rPr>
          <t>港務公司將前瞻預算投資金額列於預收股款，故以評價調整認列</t>
        </r>
      </text>
    </comment>
    <comment ref="F36" authorId="2" shapeId="0">
      <text>
        <r>
          <rPr>
            <b/>
            <sz val="9"/>
            <color indexed="81"/>
            <rFont val="細明體"/>
            <family val="3"/>
            <charset val="136"/>
          </rPr>
          <t>港務公司將前瞻預算投資金額列於預收股款，故以評價調整認列</t>
        </r>
      </text>
    </comment>
    <comment ref="F73" authorId="0" shapeId="0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調尾差</t>
        </r>
      </text>
    </comment>
    <comment ref="N74" authorId="0" shapeId="0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>:
107</t>
        </r>
        <r>
          <rPr>
            <b/>
            <sz val="9"/>
            <color indexed="81"/>
            <rFont val="細明體"/>
            <family val="3"/>
            <charset val="136"/>
          </rPr>
          <t>年度審單決的人未請農委會取OUND2，本次暫不修正，108年度要記得</t>
        </r>
      </text>
    </comment>
    <comment ref="C80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102-106</t>
        </r>
        <r>
          <rPr>
            <sz val="9"/>
            <color indexed="81"/>
            <rFont val="細明體"/>
            <family val="3"/>
            <charset val="136"/>
          </rPr>
          <t>年分期繳股款
期初已認列50000股(之後不會再增加)，嗣後每年編列預算繳納股款，故106年度決算投資成本增加，惟股數不變動。</t>
        </r>
      </text>
    </comment>
    <comment ref="J80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年度資料</t>
        </r>
      </text>
    </comment>
    <comment ref="C81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102-111</t>
        </r>
        <r>
          <rPr>
            <sz val="9"/>
            <color indexed="81"/>
            <rFont val="細明體"/>
            <family val="3"/>
            <charset val="136"/>
          </rPr>
          <t>年分期繳股款
期初已認列所有長期投資之成本(實付+本票)及股數，嗣後每年編列預算繳納本票應付之款項，故106年度投資成本及股數都不會增加。</t>
        </r>
      </text>
    </comment>
    <comment ref="J81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年度資料</t>
        </r>
      </text>
    </comment>
    <comment ref="N96" authorId="3" shapeId="0">
      <text>
        <r>
          <rPr>
            <b/>
            <sz val="10"/>
            <color indexed="81"/>
            <rFont val="Tahoma"/>
            <family val="2"/>
          </rPr>
          <t>107</t>
        </r>
        <r>
          <rPr>
            <b/>
            <sz val="10"/>
            <color indexed="81"/>
            <rFont val="細明體"/>
            <family val="3"/>
            <charset val="136"/>
          </rPr>
          <t>年度因住宅子基金有地方財源部分，另2個子基金係內政部100%持有，所以改採</t>
        </r>
        <r>
          <rPr>
            <b/>
            <sz val="10"/>
            <color indexed="81"/>
            <rFont val="Tahoma"/>
            <family val="2"/>
          </rPr>
          <t>3</t>
        </r>
        <r>
          <rPr>
            <b/>
            <sz val="10"/>
            <color indexed="81"/>
            <rFont val="細明體"/>
            <family val="3"/>
            <charset val="136"/>
          </rPr>
          <t>個子基金分別計算長期投資，又首年改採3個子基金分別計算評價，住宅子基金</t>
        </r>
        <r>
          <rPr>
            <b/>
            <sz val="10"/>
            <color indexed="81"/>
            <rFont val="Tahoma"/>
            <family val="2"/>
          </rPr>
          <t>107</t>
        </r>
        <r>
          <rPr>
            <b/>
            <sz val="10"/>
            <color indexed="81"/>
            <rFont val="細明體"/>
            <family val="3"/>
            <charset val="136"/>
          </rPr>
          <t>年底止基金</t>
        </r>
        <r>
          <rPr>
            <b/>
            <sz val="10"/>
            <color indexed="81"/>
            <rFont val="Tahoma"/>
            <family val="2"/>
          </rPr>
          <t>=</t>
        </r>
        <r>
          <rPr>
            <b/>
            <sz val="10"/>
            <color indexed="81"/>
            <rFont val="細明體"/>
            <family val="3"/>
            <charset val="136"/>
          </rPr>
          <t>淨值，所以不取ROURND，以利持有成本等於持有淨值(住宅基金107年期末淨值49,925,601,197.34-地方財源部分4,124,938,760.49)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02" authorId="4" shapeId="0">
      <text>
        <r>
          <rPr>
            <sz val="9"/>
            <color indexed="81"/>
            <rFont val="細明體"/>
            <family val="3"/>
            <charset val="136"/>
          </rPr>
          <t>投資虧損應以投資成本為限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爰調整公式</t>
        </r>
      </text>
    </comment>
    <comment ref="N107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</t>
        </r>
        <r>
          <rPr>
            <b/>
            <sz val="9"/>
            <color indexed="81"/>
            <rFont val="Tahoma"/>
            <family val="2"/>
          </rPr>
          <t>ROUND
107</t>
        </r>
        <r>
          <rPr>
            <b/>
            <sz val="9"/>
            <color indexed="81"/>
            <rFont val="細明體"/>
            <family val="3"/>
            <charset val="136"/>
          </rPr>
          <t>年統一取ROUND</t>
        </r>
      </text>
    </comment>
    <comment ref="D108" authorId="1" shapeId="0">
      <text>
        <r>
          <rPr>
            <b/>
            <sz val="9"/>
            <color indexed="81"/>
            <rFont val="細明體"/>
            <family val="3"/>
            <charset val="136"/>
          </rPr>
          <t>該部對大學校務基金之投資影響數眾多且繁雜，爰自106年度起允許該部自行認列成本數額</t>
        </r>
      </text>
    </comment>
    <comment ref="K108" authorId="1" shapeId="0">
      <text>
        <r>
          <rPr>
            <b/>
            <sz val="9"/>
            <color indexed="81"/>
            <rFont val="細明體"/>
            <family val="3"/>
            <charset val="136"/>
          </rPr>
          <t>*允許特殊算法
教育部投資大學部分，因影響數眾多繁雜，爰允許該部以107年度基金數額表期初數字開始計算(以後年度亦依照該方式計算)
107期末實收資本額=107年度基金數額明細表之期初基金數額183913467582.77+107年度國庫增撥數7021918753</t>
        </r>
      </text>
    </comment>
    <comment ref="N113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</t>
        </r>
        <r>
          <rPr>
            <b/>
            <sz val="9"/>
            <color indexed="81"/>
            <rFont val="Tahoma"/>
            <family val="2"/>
          </rPr>
          <t>ROUND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4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</t>
        </r>
        <r>
          <rPr>
            <b/>
            <sz val="9"/>
            <color indexed="81"/>
            <rFont val="Tahoma"/>
            <family val="2"/>
          </rPr>
          <t>ROUND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5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不取ROUND</t>
        </r>
      </text>
    </comment>
    <comment ref="N116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</t>
        </r>
        <r>
          <rPr>
            <b/>
            <sz val="9"/>
            <color indexed="81"/>
            <rFont val="Tahoma"/>
            <family val="2"/>
          </rPr>
          <t>ROUND</t>
        </r>
      </text>
    </comment>
    <comment ref="N119" authorId="1" shapeId="0">
      <text>
        <r>
          <rPr>
            <b/>
            <sz val="9"/>
            <color indexed="81"/>
            <rFont val="細明體"/>
            <family val="3"/>
            <charset val="136"/>
          </rPr>
          <t>取ROUND</t>
        </r>
      </text>
    </comment>
    <comment ref="K125" authorId="5" shapeId="0">
      <text>
        <r>
          <rPr>
            <b/>
            <sz val="9"/>
            <color indexed="81"/>
            <rFont val="細明體"/>
            <family val="3"/>
            <charset val="136"/>
          </rPr>
          <t>陳淑萍</t>
        </r>
        <r>
          <rPr>
            <b/>
            <sz val="9"/>
            <color indexed="81"/>
            <rFont val="Tahoma"/>
            <family val="2"/>
          </rPr>
          <t>:
5,712,520.5---107</t>
        </r>
        <r>
          <rPr>
            <b/>
            <sz val="9"/>
            <color indexed="81"/>
            <rFont val="細明體"/>
            <family val="3"/>
            <charset val="136"/>
          </rPr>
          <t>年填補短絀</t>
        </r>
      </text>
    </comment>
    <comment ref="D131" authorId="2" shapeId="0">
      <text>
        <r>
          <rPr>
            <b/>
            <sz val="9"/>
            <color indexed="81"/>
            <rFont val="細明體"/>
            <family val="3"/>
            <charset val="136"/>
          </rPr>
          <t>折減基金以投資成本表達，院修改為評價調整</t>
        </r>
      </text>
    </comment>
  </commentList>
</comments>
</file>

<file path=xl/comments2.xml><?xml version="1.0" encoding="utf-8"?>
<comments xmlns="http://schemas.openxmlformats.org/spreadsheetml/2006/main">
  <authors>
    <author>吳佳倫</author>
    <author>會計決算處公務會計科吳佳倫</author>
    <author>會計決算處公務會計科林惠敏</author>
    <author>洪秋紅</author>
    <author>dgbas</author>
    <author>蔡佩樺</author>
  </authors>
  <commentList>
    <comment ref="I7" authorId="0" shapeId="0">
      <text>
        <r>
          <rPr>
            <b/>
            <sz val="14"/>
            <color indexed="81"/>
            <rFont val="細明體"/>
            <family val="3"/>
            <charset val="136"/>
          </rPr>
          <t>機關採公允價值入帳者請自行增加表列，公式依照F9及G9設算</t>
        </r>
      </text>
    </comment>
    <comment ref="F11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調尾差</t>
        </r>
      </text>
    </comment>
    <comment ref="D16" authorId="2" shapeId="0">
      <text>
        <r>
          <rPr>
            <b/>
            <sz val="9"/>
            <color indexed="81"/>
            <rFont val="細明體"/>
            <family val="3"/>
            <charset val="136"/>
          </rPr>
          <t>未認列長期投資</t>
        </r>
      </text>
    </comment>
    <comment ref="G21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調尾差</t>
        </r>
      </text>
    </comment>
    <comment ref="D22" authorId="1" shape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期末持有股數係經濟部持有</t>
        </r>
        <r>
          <rPr>
            <b/>
            <sz val="9"/>
            <color indexed="81"/>
            <rFont val="Tahoma"/>
            <family val="2"/>
          </rPr>
          <t>4,702,886,217</t>
        </r>
        <r>
          <rPr>
            <b/>
            <sz val="9"/>
            <color indexed="81"/>
            <rFont val="細明體"/>
            <family val="3"/>
            <charset val="136"/>
          </rPr>
          <t>股，不含代管中央銀行持有</t>
        </r>
        <r>
          <rPr>
            <b/>
            <sz val="9"/>
            <color indexed="81"/>
            <rFont val="Tahoma"/>
            <family val="2"/>
          </rPr>
          <t>153,036,335</t>
        </r>
        <r>
          <rPr>
            <b/>
            <sz val="9"/>
            <color indexed="81"/>
            <rFont val="細明體"/>
            <family val="3"/>
            <charset val="136"/>
          </rPr>
          <t>股及國有財產署持有非公用財產</t>
        </r>
        <r>
          <rPr>
            <b/>
            <sz val="9"/>
            <color indexed="81"/>
            <rFont val="Tahoma"/>
            <family val="2"/>
          </rPr>
          <t>559,280,310</t>
        </r>
        <r>
          <rPr>
            <b/>
            <sz val="9"/>
            <color indexed="81"/>
            <rFont val="細明體"/>
            <family val="3"/>
            <charset val="136"/>
          </rPr>
          <t>股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期末持有股數不含國有財產署持有非公用財產</t>
        </r>
        <r>
          <rPr>
            <b/>
            <sz val="9"/>
            <color indexed="81"/>
            <rFont val="Tahoma"/>
            <family val="2"/>
          </rPr>
          <t>8,181</t>
        </r>
        <r>
          <rPr>
            <b/>
            <sz val="9"/>
            <color indexed="81"/>
            <rFont val="細明體"/>
            <family val="3"/>
            <charset val="136"/>
          </rPr>
          <t>股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  <comment ref="D26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清算中</t>
        </r>
      </text>
    </comment>
    <comment ref="D27" authorId="3" shapeId="0">
      <text>
        <r>
          <rPr>
            <b/>
            <sz val="9"/>
            <color indexed="81"/>
            <rFont val="細明體"/>
            <family val="3"/>
            <charset val="136"/>
          </rPr>
          <t>洪秋紅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細明體"/>
            <family val="3"/>
            <charset val="136"/>
          </rPr>
          <t>結清</t>
        </r>
      </text>
    </comment>
    <comment ref="D28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>107/1/29</t>
        </r>
        <r>
          <rPr>
            <sz val="9"/>
            <color indexed="81"/>
            <rFont val="細明體"/>
            <family val="3"/>
            <charset val="136"/>
          </rPr>
          <t>清算完結</t>
        </r>
      </text>
    </comment>
    <comment ref="L31" authorId="2" shapeId="0">
      <text>
        <r>
          <rPr>
            <sz val="9"/>
            <color indexed="81"/>
            <rFont val="細明體"/>
            <family val="3"/>
            <charset val="136"/>
          </rPr>
          <t>台鐵局106.12.31資產負債表之資本項下列有「未收資本」-79,876,000元，原擬修改自編決，故交通部先以擬修正數認列長投，然台鐵局最後表示該筆金額將以院修數處理</t>
        </r>
      </text>
    </comment>
    <comment ref="M31" authorId="2" shapeId="0">
      <text>
        <r>
          <rPr>
            <sz val="9"/>
            <color indexed="81"/>
            <rFont val="細明體"/>
            <family val="3"/>
            <charset val="136"/>
          </rPr>
          <t>台鐵局106.12.31資產負債表之資本項下列有「未收資本」-79,876,000元，原擬修改自編決，故交通部先以擬修正數認列長投，然台鐵局最後表示該筆金額將以院修數處理</t>
        </r>
      </text>
    </comment>
    <comment ref="M34" authorId="1" shapeId="0">
      <text>
        <r>
          <rPr>
            <sz val="9"/>
            <color indexed="81"/>
            <rFont val="細明體"/>
            <family val="3"/>
            <charset val="136"/>
          </rPr>
          <t>合併報表權益院修後為91430687898元，惟需扣除非控制權益49309004元。</t>
        </r>
      </text>
    </comment>
    <comment ref="D38" authorId="0" shapeId="0">
      <text>
        <r>
          <rPr>
            <b/>
            <sz val="9"/>
            <color indexed="81"/>
            <rFont val="細明體"/>
            <family val="3"/>
            <charset val="136"/>
          </rPr>
          <t>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已破產，刻正辦理清算事宜中。</t>
        </r>
      </text>
    </comment>
    <comment ref="D42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清算中</t>
        </r>
      </text>
    </comment>
    <comment ref="M62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106/12/29</t>
        </r>
        <r>
          <rPr>
            <sz val="9"/>
            <color indexed="81"/>
            <rFont val="細明體"/>
            <family val="3"/>
            <charset val="136"/>
          </rPr>
          <t>美金即期匯率賣出29.81</t>
        </r>
      </text>
    </comment>
    <comment ref="M64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106/12/29</t>
        </r>
        <r>
          <rPr>
            <sz val="9"/>
            <color indexed="81"/>
            <rFont val="細明體"/>
            <family val="3"/>
            <charset val="136"/>
          </rPr>
          <t>港幣即期匯率賣出3.837</t>
        </r>
      </text>
    </comment>
    <comment ref="F71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調尾差</t>
        </r>
      </text>
    </comment>
    <comment ref="D78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102-106</t>
        </r>
        <r>
          <rPr>
            <sz val="9"/>
            <color indexed="81"/>
            <rFont val="細明體"/>
            <family val="3"/>
            <charset val="136"/>
          </rPr>
          <t>年分期繳股款
期初已認列50000股(之後不會再增加)，嗣後每年編列預算繳納股款，故106年度決算投資成本增加，惟股數不變動。</t>
        </r>
      </text>
    </comment>
    <comment ref="K78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年度資料</t>
        </r>
      </text>
    </comment>
    <comment ref="D79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102-111</t>
        </r>
        <r>
          <rPr>
            <sz val="9"/>
            <color indexed="81"/>
            <rFont val="細明體"/>
            <family val="3"/>
            <charset val="136"/>
          </rPr>
          <t>年分期繳股款
期初已認列所有長期投資之成本(實付+本票)及股數，嗣後每年編列預算繳納本票應付之款項，故106年度投資成本及股數都不會增加。</t>
        </r>
      </text>
    </comment>
    <comment ref="K79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年度資料</t>
        </r>
      </text>
    </comment>
    <comment ref="G98" authorId="4" shapeId="0">
      <text>
        <r>
          <rPr>
            <b/>
            <sz val="9"/>
            <color indexed="81"/>
            <rFont val="Tahoma"/>
            <family val="2"/>
          </rPr>
          <t>dgbas: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投資虧損應以投資成本為限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爰調整公式</t>
        </r>
      </text>
    </comment>
    <comment ref="O103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</t>
        </r>
        <r>
          <rPr>
            <b/>
            <sz val="9"/>
            <color indexed="81"/>
            <rFont val="Tahoma"/>
            <family val="2"/>
          </rPr>
          <t>ROUND</t>
        </r>
      </text>
    </comment>
    <comment ref="E104" authorId="1" shapeId="0">
      <text>
        <r>
          <rPr>
            <b/>
            <sz val="9"/>
            <color indexed="81"/>
            <rFont val="細明體"/>
            <family val="3"/>
            <charset val="136"/>
          </rPr>
          <t>1.允許該部自行認列成本數額
2.院修減列「投資」支出實現數65,061元，故教育部本部投資大學之長期投資成本數應減少65,061元，惟工作底稿會因減列後而影響投資比率，故底稿之成本數不同時減列。(僅將減列數做表達於院修數額表)</t>
        </r>
      </text>
    </comment>
    <comment ref="L104" authorId="1" shapeId="0">
      <text>
        <r>
          <rPr>
            <b/>
            <sz val="9"/>
            <color indexed="81"/>
            <rFont val="細明體"/>
            <family val="3"/>
            <charset val="136"/>
          </rPr>
          <t>*允許特殊算法
106期末實收資本額=106年度基金數額明細表之期初基金數額175110171419.77+106年度國庫增撥數8755959463</t>
        </r>
      </text>
    </comment>
    <comment ref="L109" authorId="1" shapeId="0">
      <text>
        <r>
          <rPr>
            <b/>
            <sz val="9"/>
            <color indexed="81"/>
            <rFont val="細明體"/>
            <family val="3"/>
            <charset val="136"/>
          </rPr>
          <t>105期末實收資本額35464828951.91
+衛福部106年度投資464727000</t>
        </r>
      </text>
    </comment>
    <comment ref="O109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</t>
        </r>
        <r>
          <rPr>
            <b/>
            <sz val="9"/>
            <color indexed="81"/>
            <rFont val="Tahoma"/>
            <family val="2"/>
          </rPr>
          <t>ROUND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0" authorId="1" shapeId="0">
      <text>
        <r>
          <rPr>
            <b/>
            <sz val="9"/>
            <color indexed="81"/>
            <rFont val="細明體"/>
            <family val="3"/>
            <charset val="136"/>
          </rPr>
          <t>等於</t>
        </r>
        <r>
          <rPr>
            <b/>
            <sz val="9"/>
            <color indexed="81"/>
            <rFont val="Tahoma"/>
            <family val="2"/>
          </rPr>
          <t>105</t>
        </r>
        <r>
          <rPr>
            <b/>
            <sz val="9"/>
            <color indexed="81"/>
            <rFont val="細明體"/>
            <family val="3"/>
            <charset val="136"/>
          </rPr>
          <t>期末實收資本額</t>
        </r>
        <r>
          <rPr>
            <b/>
            <sz val="9"/>
            <color indexed="81"/>
            <rFont val="Tahoma"/>
            <family val="2"/>
          </rPr>
          <t>9080705196</t>
        </r>
      </text>
    </comment>
    <comment ref="O110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</t>
        </r>
        <r>
          <rPr>
            <b/>
            <sz val="9"/>
            <color indexed="81"/>
            <rFont val="Tahoma"/>
            <family val="2"/>
          </rPr>
          <t>ROUND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1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不取ROUND</t>
        </r>
      </text>
    </comment>
    <comment ref="O112" authorId="1" shapeId="0">
      <text>
        <r>
          <rPr>
            <b/>
            <sz val="9"/>
            <color indexed="81"/>
            <rFont val="細明體"/>
            <family val="3"/>
            <charset val="136"/>
          </rPr>
          <t>不取</t>
        </r>
        <r>
          <rPr>
            <b/>
            <sz val="9"/>
            <color indexed="81"/>
            <rFont val="Tahoma"/>
            <family val="2"/>
          </rPr>
          <t>ROUND</t>
        </r>
      </text>
    </comment>
    <comment ref="E113" authorId="5" shapeId="0">
      <text>
        <r>
          <rPr>
            <b/>
            <sz val="9"/>
            <color indexed="81"/>
            <rFont val="細明體"/>
            <family val="3"/>
            <charset val="136"/>
          </rPr>
          <t>105期末投資成本
3302810417+該部當年投資數及105年度審修數轉正計822555635-105年度審修數129226724</t>
        </r>
      </text>
    </comment>
    <comment ref="L113" authorId="1" shapeId="0">
      <text>
        <r>
          <rPr>
            <b/>
            <sz val="9"/>
            <color indexed="81"/>
            <rFont val="細明體"/>
            <family val="3"/>
            <charset val="136"/>
          </rPr>
          <t>105年度期末實收資本額3293378617+106年度國庫增撥數738462039(其中含106/1整理期間公務撥款的錢9431800)
(公務738027039特別435000)</t>
        </r>
      </text>
    </comment>
    <comment ref="O115" authorId="1" shapeId="0">
      <text>
        <r>
          <rPr>
            <b/>
            <sz val="9"/>
            <color indexed="81"/>
            <rFont val="細明體"/>
            <family val="3"/>
            <charset val="136"/>
          </rPr>
          <t>取ROUND</t>
        </r>
      </text>
    </comment>
    <comment ref="E116" authorId="1" shapeId="0">
      <text>
        <r>
          <rPr>
            <b/>
            <sz val="9"/>
            <color indexed="81"/>
            <rFont val="細明體"/>
            <family val="3"/>
            <charset val="136"/>
          </rPr>
          <t>允許該署自行認列成本數額</t>
        </r>
      </text>
    </comment>
    <comment ref="L116" authorId="1" shapeId="0">
      <text>
        <r>
          <rPr>
            <b/>
            <sz val="9"/>
            <color indexed="81"/>
            <rFont val="細明體"/>
            <family val="3"/>
            <charset val="136"/>
          </rPr>
          <t>*允許特殊算法
106期末實收資本額=105年度期末實收資本額19743547446-105年度期末移給台中市政府之14所學校基金數2566518083+106年度國庫增撥數3280458648</t>
        </r>
      </text>
    </comment>
    <comment ref="E118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106</t>
        </r>
        <r>
          <rPr>
            <sz val="9"/>
            <color indexed="81"/>
            <rFont val="細明體"/>
            <family val="3"/>
            <charset val="136"/>
          </rPr>
          <t>年度增加</t>
        </r>
        <r>
          <rPr>
            <sz val="9"/>
            <color indexed="81"/>
            <rFont val="Tahoma"/>
            <family val="2"/>
          </rPr>
          <t>8,148,500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E119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106</t>
        </r>
        <r>
          <rPr>
            <sz val="9"/>
            <color indexed="81"/>
            <rFont val="細明體"/>
            <family val="3"/>
            <charset val="136"/>
          </rPr>
          <t>年度增加</t>
        </r>
        <r>
          <rPr>
            <sz val="9"/>
            <color indexed="81"/>
            <rFont val="Tahoma"/>
            <family val="2"/>
          </rPr>
          <t>252,814,500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L127" authorId="2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會計決算處公務會計科林惠敏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公積撥充基金包括105及106年度</t>
        </r>
      </text>
    </comment>
    <comment ref="L136" authorId="2" shapeId="0">
      <text>
        <r>
          <rPr>
            <b/>
            <sz val="9"/>
            <color indexed="81"/>
            <rFont val="細明體"/>
            <family val="3"/>
            <charset val="136"/>
          </rPr>
          <t>設備、土地折減基金$3,978,608。</t>
        </r>
      </text>
    </comment>
    <comment ref="L144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金門防衛部撥入什項設備82600</t>
        </r>
      </text>
    </comment>
    <comment ref="L145" authorId="1" shapeId="0">
      <text>
        <r>
          <rPr>
            <b/>
            <sz val="9"/>
            <color indexed="81"/>
            <rFont val="細明體"/>
            <family val="3"/>
            <charset val="136"/>
          </rPr>
          <t>會計決算處公務會計科吳佳倫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折減基金，移撥財產予國產署51732</t>
        </r>
      </text>
    </comment>
  </commentList>
</comments>
</file>

<file path=xl/sharedStrings.xml><?xml version="1.0" encoding="utf-8"?>
<sst xmlns="http://schemas.openxmlformats.org/spreadsheetml/2006/main" count="967" uniqueCount="513">
  <si>
    <r>
      <t>106</t>
    </r>
    <r>
      <rPr>
        <b/>
        <sz val="20"/>
        <rFont val="標楷體"/>
        <family val="4"/>
        <charset val="136"/>
      </rPr>
      <t>年長期投資明細表工作底稿</t>
    </r>
    <phoneticPr fontId="3" type="noConversion"/>
  </si>
  <si>
    <t>此顏色標底為長投明細表應出現欄位及金額</t>
    <phoneticPr fontId="3" type="noConversion"/>
  </si>
  <si>
    <t>單位：元</t>
    <phoneticPr fontId="3" type="noConversion"/>
  </si>
  <si>
    <t>中華民國103年度政府長期股權投資明細表－公務機關部分</t>
    <phoneticPr fontId="3" type="noConversion"/>
  </si>
  <si>
    <t>機關名稱</t>
    <phoneticPr fontId="3" type="noConversion"/>
  </si>
  <si>
    <t>名稱</t>
    <phoneticPr fontId="3" type="noConversion"/>
  </si>
  <si>
    <r>
      <t>106</t>
    </r>
    <r>
      <rPr>
        <sz val="14"/>
        <rFont val="標楷體"/>
        <family val="4"/>
        <charset val="136"/>
      </rPr>
      <t>年公務機關長期投資表</t>
    </r>
    <phoneticPr fontId="3" type="noConversion"/>
  </si>
  <si>
    <t>被投資事業106年底投資狀況</t>
    <phoneticPr fontId="3" type="noConversion"/>
  </si>
  <si>
    <t>具重大影響力</t>
    <phoneticPr fontId="3" type="noConversion"/>
  </si>
  <si>
    <t>未具重大影響力</t>
    <phoneticPr fontId="3" type="noConversion"/>
  </si>
  <si>
    <t>投資成本餘額</t>
    <phoneticPr fontId="3" type="noConversion"/>
  </si>
  <si>
    <t>政府持股之業主權益(淨資產)期末餘額</t>
    <phoneticPr fontId="3" type="noConversion"/>
  </si>
  <si>
    <t>評價調整
(權益法)</t>
    <phoneticPr fontId="3" type="noConversion"/>
  </si>
  <si>
    <t>評價調整</t>
    <phoneticPr fontId="3" type="noConversion"/>
  </si>
  <si>
    <t>合計
(投資成本+評價調整)</t>
    <phoneticPr fontId="3" type="noConversion"/>
  </si>
  <si>
    <t>發行股數</t>
    <phoneticPr fontId="3" type="noConversion"/>
  </si>
  <si>
    <r>
      <rPr>
        <sz val="11"/>
        <rFont val="標楷體"/>
        <family val="4"/>
        <charset val="136"/>
      </rPr>
      <t>實收資本(基金)總額</t>
    </r>
    <r>
      <rPr>
        <sz val="14"/>
        <rFont val="標楷體"/>
        <family val="4"/>
        <charset val="136"/>
      </rPr>
      <t xml:space="preserve">
</t>
    </r>
    <r>
      <rPr>
        <sz val="10"/>
        <color indexed="10"/>
        <rFont val="標楷體"/>
        <family val="4"/>
        <charset val="136"/>
      </rPr>
      <t>(非營業特種基金應扣除公積、賸餘及其他撥充基金數)</t>
    </r>
    <phoneticPr fontId="3" type="noConversion"/>
  </si>
  <si>
    <t>業主(股東)權益(淨資產)餘額</t>
    <phoneticPr fontId="3" type="noConversion"/>
  </si>
  <si>
    <t>政府持有股數</t>
    <phoneticPr fontId="3" type="noConversion"/>
  </si>
  <si>
    <t>政府投資比例(%)</t>
    <phoneticPr fontId="3" type="noConversion"/>
  </si>
  <si>
    <t>市價
(元/股)</t>
    <phoneticPr fontId="3" type="noConversion"/>
  </si>
  <si>
    <t>說明</t>
    <phoneticPr fontId="3" type="noConversion"/>
  </si>
  <si>
    <t>j</t>
    <phoneticPr fontId="3" type="noConversion"/>
  </si>
  <si>
    <r>
      <t>k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o</t>
    </r>
    <r>
      <rPr>
        <sz val="14"/>
        <rFont val="標楷體"/>
        <family val="4"/>
        <charset val="136"/>
      </rPr>
      <t>*</t>
    </r>
    <r>
      <rPr>
        <sz val="14"/>
        <rFont val="Wingdings 2"/>
        <family val="1"/>
        <charset val="2"/>
      </rPr>
      <t>q</t>
    </r>
    <phoneticPr fontId="3" type="noConversion"/>
  </si>
  <si>
    <r>
      <t>l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k</t>
    </r>
    <r>
      <rPr>
        <sz val="14"/>
        <rFont val="標楷體"/>
        <family val="4"/>
        <charset val="136"/>
      </rPr>
      <t>-</t>
    </r>
    <r>
      <rPr>
        <sz val="14"/>
        <rFont val="Wingdings 2"/>
        <family val="1"/>
        <charset val="2"/>
      </rPr>
      <t>j</t>
    </r>
    <phoneticPr fontId="3" type="noConversion"/>
  </si>
  <si>
    <r>
      <t>m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p</t>
    </r>
    <r>
      <rPr>
        <sz val="14"/>
        <rFont val="標楷體"/>
        <family val="4"/>
        <charset val="136"/>
      </rPr>
      <t>*</t>
    </r>
    <r>
      <rPr>
        <sz val="14"/>
        <rFont val="Wingdings 2"/>
        <family val="1"/>
        <charset val="2"/>
      </rPr>
      <t>r</t>
    </r>
    <phoneticPr fontId="3" type="noConversion"/>
  </si>
  <si>
    <r>
      <t>n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m</t>
    </r>
    <r>
      <rPr>
        <sz val="14"/>
        <rFont val="標楷體"/>
        <family val="4"/>
        <charset val="136"/>
      </rPr>
      <t>-</t>
    </r>
    <r>
      <rPr>
        <sz val="14"/>
        <rFont val="Wingdings 2"/>
        <family val="1"/>
        <charset val="2"/>
      </rPr>
      <t>j</t>
    </r>
    <phoneticPr fontId="3" type="noConversion"/>
  </si>
  <si>
    <r>
      <t>s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j</t>
    </r>
    <r>
      <rPr>
        <sz val="14"/>
        <rFont val="標楷體"/>
        <family val="4"/>
        <charset val="136"/>
      </rPr>
      <t>+</t>
    </r>
    <r>
      <rPr>
        <sz val="14"/>
        <rFont val="Wingdings 2"/>
        <family val="1"/>
        <charset val="2"/>
      </rPr>
      <t>l</t>
    </r>
    <r>
      <rPr>
        <sz val="14"/>
        <rFont val="新細明體"/>
        <family val="1"/>
        <charset val="136"/>
      </rPr>
      <t>or</t>
    </r>
    <r>
      <rPr>
        <sz val="14"/>
        <rFont val="Wingdings 2"/>
        <family val="1"/>
        <charset val="2"/>
      </rPr>
      <t>j</t>
    </r>
    <r>
      <rPr>
        <sz val="14"/>
        <rFont val="標楷體"/>
        <family val="4"/>
        <charset val="136"/>
      </rPr>
      <t>+</t>
    </r>
    <r>
      <rPr>
        <sz val="14"/>
        <rFont val="Wingdings 2"/>
        <family val="1"/>
        <charset val="2"/>
      </rPr>
      <t>n</t>
    </r>
    <phoneticPr fontId="3" type="noConversion"/>
  </si>
  <si>
    <t>o</t>
    <phoneticPr fontId="3" type="noConversion"/>
  </si>
  <si>
    <t>p</t>
    <phoneticPr fontId="3" type="noConversion"/>
  </si>
  <si>
    <t>q</t>
    <phoneticPr fontId="3" type="noConversion"/>
  </si>
  <si>
    <t>r</t>
    <phoneticPr fontId="3" type="noConversion"/>
  </si>
  <si>
    <t>ㄧ、採權益法之股權投資</t>
    <phoneticPr fontId="3" type="noConversion"/>
  </si>
  <si>
    <t>(ㄧ)國營事業</t>
    <phoneticPr fontId="3" type="noConversion"/>
  </si>
  <si>
    <t>行政院主管</t>
    <phoneticPr fontId="3" type="noConversion"/>
  </si>
  <si>
    <t>1-1-1</t>
    <phoneticPr fontId="3" type="noConversion"/>
  </si>
  <si>
    <t>行政院</t>
    <phoneticPr fontId="3" type="noConversion"/>
  </si>
  <si>
    <t>中央銀行</t>
    <phoneticPr fontId="3" type="noConversion"/>
  </si>
  <si>
    <t>財政部主管</t>
    <phoneticPr fontId="3" type="noConversion"/>
  </si>
  <si>
    <t>財政部</t>
    <phoneticPr fontId="3" type="noConversion"/>
  </si>
  <si>
    <t>中國輸出入銀行</t>
  </si>
  <si>
    <t>依財政部會議決議由採權益法之股權投資轉權利科目</t>
    <phoneticPr fontId="3" type="noConversion"/>
  </si>
  <si>
    <t>1-1-2</t>
    <phoneticPr fontId="3" type="noConversion"/>
  </si>
  <si>
    <t>臺灣金融控股股份有限公司</t>
  </si>
  <si>
    <t>1-1-3</t>
  </si>
  <si>
    <t>臺灣土地銀行股份有限公司</t>
    <phoneticPr fontId="3" type="noConversion"/>
  </si>
  <si>
    <t>1-1-4</t>
  </si>
  <si>
    <t>財政部印刷廠</t>
  </si>
  <si>
    <t>1-1-5</t>
  </si>
  <si>
    <t>臺灣菸酒股份有限公司</t>
  </si>
  <si>
    <t>經濟部主管</t>
    <phoneticPr fontId="3" type="noConversion"/>
  </si>
  <si>
    <t>1-1-6</t>
    <phoneticPr fontId="3" type="noConversion"/>
  </si>
  <si>
    <t>經濟部</t>
    <phoneticPr fontId="3" type="noConversion"/>
  </si>
  <si>
    <r>
      <t>台灣糖業股份有限公司</t>
    </r>
    <r>
      <rPr>
        <sz val="12"/>
        <color indexed="36"/>
        <rFont val="Times New Roman"/>
        <family val="1"/>
      </rPr>
      <t/>
    </r>
    <phoneticPr fontId="3" type="noConversion"/>
  </si>
  <si>
    <t>1-1-7</t>
  </si>
  <si>
    <t>台灣中油股份有限公司</t>
    <phoneticPr fontId="3" type="noConversion"/>
  </si>
  <si>
    <t>1-1-8</t>
  </si>
  <si>
    <r>
      <t>台灣電力股份有限公司</t>
    </r>
    <r>
      <rPr>
        <sz val="12"/>
        <color indexed="53"/>
        <rFont val="標楷體"/>
        <family val="4"/>
        <charset val="136"/>
      </rPr>
      <t/>
    </r>
    <phoneticPr fontId="3" type="noConversion"/>
  </si>
  <si>
    <t>1-1-9</t>
  </si>
  <si>
    <t>台灣自來水股份有限公司</t>
    <phoneticPr fontId="3" type="noConversion"/>
  </si>
  <si>
    <t>1-1-10</t>
  </si>
  <si>
    <t>臺灣中興紙業股份有限公司</t>
    <phoneticPr fontId="3" type="noConversion"/>
  </si>
  <si>
    <t>1-1-11</t>
  </si>
  <si>
    <t>高雄硫酸錏股份有限公司</t>
  </si>
  <si>
    <t>105.01.15結清</t>
    <phoneticPr fontId="3" type="noConversion"/>
  </si>
  <si>
    <t>1-1-12</t>
  </si>
  <si>
    <t>臺灣省農工企業股份有限公司</t>
  </si>
  <si>
    <t>交通部主管</t>
    <phoneticPr fontId="3" type="noConversion"/>
  </si>
  <si>
    <t>1-1-13</t>
    <phoneticPr fontId="3" type="noConversion"/>
  </si>
  <si>
    <t>交通部</t>
    <phoneticPr fontId="3" type="noConversion"/>
  </si>
  <si>
    <t>中華郵政股份有限公司</t>
  </si>
  <si>
    <t>1-1-14</t>
    <phoneticPr fontId="3" type="noConversion"/>
  </si>
  <si>
    <t>交通部臺灣鐵路管理局</t>
    <phoneticPr fontId="3" type="noConversion"/>
  </si>
  <si>
    <t>權益法</t>
  </si>
  <si>
    <t>交通部(特別預算)</t>
    <phoneticPr fontId="3" type="noConversion"/>
  </si>
  <si>
    <t>1-1-15</t>
    <phoneticPr fontId="3" type="noConversion"/>
  </si>
  <si>
    <t>臺灣港務股份有限公司</t>
    <phoneticPr fontId="3" type="noConversion"/>
  </si>
  <si>
    <t>1-1-16</t>
  </si>
  <si>
    <t>桃園國際機場股份有限公司</t>
  </si>
  <si>
    <t>1-1-17</t>
  </si>
  <si>
    <t>臺灣汽車客運股份有限公司</t>
  </si>
  <si>
    <t>文化部主管</t>
    <phoneticPr fontId="3" type="noConversion"/>
  </si>
  <si>
    <t>1-1-18</t>
    <phoneticPr fontId="3" type="noConversion"/>
  </si>
  <si>
    <t>文化部</t>
    <phoneticPr fontId="3" type="noConversion"/>
  </si>
  <si>
    <t>臺灣電影文化事業股份有限公司</t>
    <phoneticPr fontId="3" type="noConversion"/>
  </si>
  <si>
    <t>金融監督管理委員會主管</t>
    <phoneticPr fontId="3" type="noConversion"/>
  </si>
  <si>
    <t>1-1-19</t>
    <phoneticPr fontId="3" type="noConversion"/>
  </si>
  <si>
    <t>金融監督管理委員會</t>
    <phoneticPr fontId="3" type="noConversion"/>
  </si>
  <si>
    <t>中央存款保險股份有限公司</t>
  </si>
  <si>
    <t>國軍退除役官兵輔導委員會主管</t>
    <phoneticPr fontId="3" type="noConversion"/>
  </si>
  <si>
    <t>1-1-20</t>
    <phoneticPr fontId="3" type="noConversion"/>
  </si>
  <si>
    <t>國軍退除役官兵輔導委員會</t>
  </si>
  <si>
    <t>榮民工程股份有限公司</t>
  </si>
  <si>
    <t>(二)民營企業及其他</t>
    <phoneticPr fontId="3" type="noConversion"/>
  </si>
  <si>
    <t>1-2-1</t>
    <phoneticPr fontId="3" type="noConversion"/>
  </si>
  <si>
    <t>大陸委員會</t>
    <phoneticPr fontId="3" type="noConversion"/>
  </si>
  <si>
    <t>APH SYNDICATE (SINGAPORE) PTE. LTD.</t>
    <phoneticPr fontId="3" type="noConversion"/>
  </si>
  <si>
    <t>1-2-2</t>
    <phoneticPr fontId="3" type="noConversion"/>
  </si>
  <si>
    <r>
      <t>兆豐金融控股股份有限公司</t>
    </r>
    <r>
      <rPr>
        <sz val="12"/>
        <rFont val="Times New Roman"/>
        <family val="1"/>
      </rPr>
      <t/>
    </r>
    <phoneticPr fontId="3" type="noConversion"/>
  </si>
  <si>
    <t>1-2-3</t>
  </si>
  <si>
    <t>關貿網路股份有限公司</t>
    <phoneticPr fontId="3" type="noConversion"/>
  </si>
  <si>
    <t>1-2-4</t>
  </si>
  <si>
    <t>第一金融控股股份有限公司</t>
    <phoneticPr fontId="3" type="noConversion"/>
  </si>
  <si>
    <t>1-2-5</t>
  </si>
  <si>
    <t>華南金融控股股份有限公司</t>
    <phoneticPr fontId="3" type="noConversion"/>
  </si>
  <si>
    <t>1-2-6</t>
  </si>
  <si>
    <t>彰化商業銀行股份有限公司</t>
    <phoneticPr fontId="3" type="noConversion"/>
  </si>
  <si>
    <t>1-2-7</t>
  </si>
  <si>
    <t>臺灣中小企業銀行股份有限公司</t>
    <phoneticPr fontId="3" type="noConversion"/>
  </si>
  <si>
    <t>1-2-8</t>
  </si>
  <si>
    <t>中央再保險股份有限公司</t>
    <phoneticPr fontId="3" type="noConversion"/>
  </si>
  <si>
    <t>1-2-9</t>
  </si>
  <si>
    <t>合作金庫金融控股股份有限公司</t>
    <phoneticPr fontId="31" type="noConversion"/>
  </si>
  <si>
    <t>1-2-10</t>
    <phoneticPr fontId="3" type="noConversion"/>
  </si>
  <si>
    <t>漢翔航空工業股份有限公司</t>
    <phoneticPr fontId="3" type="noConversion"/>
  </si>
  <si>
    <t>1-2-11</t>
  </si>
  <si>
    <t>1-2-12</t>
  </si>
  <si>
    <t>1-2-13</t>
  </si>
  <si>
    <t>1-2-14</t>
  </si>
  <si>
    <t>外交部主管</t>
    <phoneticPr fontId="3" type="noConversion"/>
  </si>
  <si>
    <t>1-2-15</t>
    <phoneticPr fontId="3" type="noConversion"/>
  </si>
  <si>
    <t>外交部</t>
    <phoneticPr fontId="3" type="noConversion"/>
  </si>
  <si>
    <t>松鶴國際企業公司</t>
    <phoneticPr fontId="3" type="noConversion"/>
  </si>
  <si>
    <t>教育部主管</t>
    <phoneticPr fontId="3" type="noConversion"/>
  </si>
  <si>
    <t>1-2-16</t>
    <phoneticPr fontId="3" type="noConversion"/>
  </si>
  <si>
    <t>教育部</t>
    <phoneticPr fontId="3" type="noConversion"/>
  </si>
  <si>
    <t>香港廣邑公司</t>
    <phoneticPr fontId="3" type="noConversion"/>
  </si>
  <si>
    <t>1-2-17</t>
    <phoneticPr fontId="3" type="noConversion"/>
  </si>
  <si>
    <t>中華電信股份有限公司</t>
    <phoneticPr fontId="31" type="noConversion"/>
  </si>
  <si>
    <t>1-2-18</t>
  </si>
  <si>
    <t>陽明海運股份有限公司</t>
    <phoneticPr fontId="3" type="noConversion"/>
  </si>
  <si>
    <t>1-2-19</t>
  </si>
  <si>
    <t>桃園航勤股份有限公司</t>
    <phoneticPr fontId="3" type="noConversion"/>
  </si>
  <si>
    <t>1-2-20</t>
  </si>
  <si>
    <t>台灣航業股份有限公司</t>
    <phoneticPr fontId="31" type="noConversion"/>
  </si>
  <si>
    <t>臺灣高速鐵路股份有限公司</t>
    <phoneticPr fontId="3" type="noConversion"/>
  </si>
  <si>
    <t>農業委員會主管</t>
    <phoneticPr fontId="3" type="noConversion"/>
  </si>
  <si>
    <t>1-2-21</t>
    <phoneticPr fontId="3" type="noConversion"/>
  </si>
  <si>
    <t>農業委員會</t>
    <phoneticPr fontId="3" type="noConversion"/>
  </si>
  <si>
    <t>臺北農產運銷股份有限公司</t>
    <phoneticPr fontId="3" type="noConversion"/>
  </si>
  <si>
    <t>1-2-22</t>
  </si>
  <si>
    <t>台灣肥料股份有限公司</t>
    <phoneticPr fontId="3" type="noConversion"/>
  </si>
  <si>
    <t>1-2-23</t>
  </si>
  <si>
    <t>全國農業金庫股份有限公司</t>
    <phoneticPr fontId="3" type="noConversion"/>
  </si>
  <si>
    <t>二、非採權益法之股權投資</t>
    <phoneticPr fontId="3" type="noConversion"/>
  </si>
  <si>
    <t>民營企業及其他</t>
    <phoneticPr fontId="3" type="noConversion"/>
  </si>
  <si>
    <t>2-1-1</t>
    <phoneticPr fontId="3" type="noConversion"/>
  </si>
  <si>
    <t>中美洲銀行</t>
    <phoneticPr fontId="3" type="noConversion"/>
  </si>
  <si>
    <t>2-1-2</t>
  </si>
  <si>
    <t>亞洲開發銀行</t>
    <phoneticPr fontId="3" type="noConversion"/>
  </si>
  <si>
    <t>2-1-3</t>
  </si>
  <si>
    <t>臺灣工礦股份有限公司</t>
    <phoneticPr fontId="3" type="noConversion"/>
  </si>
  <si>
    <t>2-1-4</t>
    <phoneticPr fontId="3" type="noConversion"/>
  </si>
  <si>
    <t>經濟部</t>
    <phoneticPr fontId="3" type="noConversion"/>
  </si>
  <si>
    <t>交通部主管</t>
    <phoneticPr fontId="3" type="noConversion"/>
  </si>
  <si>
    <t>2-1-5</t>
    <phoneticPr fontId="3" type="noConversion"/>
  </si>
  <si>
    <t>交通部</t>
    <phoneticPr fontId="3" type="noConversion"/>
  </si>
  <si>
    <t>台北大眾捷運股份有限公司</t>
    <phoneticPr fontId="31" type="noConversion"/>
  </si>
  <si>
    <t>三、其他長期投資</t>
    <phoneticPr fontId="3" type="noConversion"/>
  </si>
  <si>
    <t>(ㄧ)作業基金</t>
    <phoneticPr fontId="3" type="noConversion"/>
  </si>
  <si>
    <t>行政院主管</t>
    <phoneticPr fontId="3" type="noConversion"/>
  </si>
  <si>
    <t>3-1-1</t>
    <phoneticPr fontId="3" type="noConversion"/>
  </si>
  <si>
    <t>行政院</t>
  </si>
  <si>
    <t>行政院國家發展基金</t>
  </si>
  <si>
    <t>3-1-2</t>
  </si>
  <si>
    <t>國立故宮博物院</t>
  </si>
  <si>
    <t>故宮文物藝術發展基金</t>
  </si>
  <si>
    <t>3-1-3</t>
  </si>
  <si>
    <t>原住民族委員會</t>
  </si>
  <si>
    <t>原住民族綜合發展基金</t>
  </si>
  <si>
    <t>考試院主管</t>
    <phoneticPr fontId="3" type="noConversion"/>
  </si>
  <si>
    <t>3-1-4</t>
    <phoneticPr fontId="3" type="noConversion"/>
  </si>
  <si>
    <t>考選部</t>
  </si>
  <si>
    <t>考選業務基金</t>
  </si>
  <si>
    <t>內政部主管</t>
  </si>
  <si>
    <t>3-1-5</t>
    <phoneticPr fontId="3" type="noConversion"/>
  </si>
  <si>
    <t>營建署</t>
  </si>
  <si>
    <t>營建建設基金</t>
  </si>
  <si>
    <t>中央都市更新基金(105年度已併入營建基金)</t>
  </si>
  <si>
    <t>國防部主管</t>
  </si>
  <si>
    <t>3-1-6</t>
    <phoneticPr fontId="3" type="noConversion"/>
  </si>
  <si>
    <t>國防部所屬</t>
  </si>
  <si>
    <t>國軍生產及服務作業基金</t>
  </si>
  <si>
    <t>3-1-7</t>
    <phoneticPr fontId="3" type="noConversion"/>
  </si>
  <si>
    <t>國軍老舊眷村改建基金</t>
  </si>
  <si>
    <t>財政部主管</t>
  </si>
  <si>
    <t>3-1-8</t>
    <phoneticPr fontId="3" type="noConversion"/>
  </si>
  <si>
    <t>財政部本部</t>
  </si>
  <si>
    <t>地方建設基金</t>
  </si>
  <si>
    <t>3-1-9</t>
    <phoneticPr fontId="3" type="noConversion"/>
  </si>
  <si>
    <t>國有財產開發基金</t>
  </si>
  <si>
    <t>教育部主管</t>
  </si>
  <si>
    <t>3-1-10</t>
    <phoneticPr fontId="3" type="noConversion"/>
  </si>
  <si>
    <t>國立大學校院校務基金(彙總)</t>
  </si>
  <si>
    <t>教育部本部</t>
  </si>
  <si>
    <t>教育部本部(特別預算)</t>
    <phoneticPr fontId="3" type="noConversion"/>
  </si>
  <si>
    <t>國教署</t>
  </si>
  <si>
    <t>成本法</t>
  </si>
  <si>
    <t>國教署(特別預算)</t>
    <phoneticPr fontId="3" type="noConversion"/>
  </si>
  <si>
    <t>體育署</t>
  </si>
  <si>
    <t>3-1-11</t>
    <phoneticPr fontId="3" type="noConversion"/>
  </si>
  <si>
    <t>國立臺灣大學附設醫院作業基金</t>
  </si>
  <si>
    <t>3-1-12</t>
    <phoneticPr fontId="3" type="noConversion"/>
  </si>
  <si>
    <t>國立成功大學附設醫院作業基金</t>
  </si>
  <si>
    <t>3-1-13</t>
    <phoneticPr fontId="3" type="noConversion"/>
  </si>
  <si>
    <t>國立陽明大學附設醫院作業基金</t>
  </si>
  <si>
    <t>3-1-14</t>
    <phoneticPr fontId="3" type="noConversion"/>
  </si>
  <si>
    <t>國立社教機構作業基金</t>
    <phoneticPr fontId="3" type="noConversion"/>
  </si>
  <si>
    <t>3-1-15</t>
    <phoneticPr fontId="3" type="noConversion"/>
  </si>
  <si>
    <t>國立高級中等學校校務基金</t>
  </si>
  <si>
    <t>國教署(特別預算)</t>
    <phoneticPr fontId="3" type="noConversion"/>
  </si>
  <si>
    <t>體育署</t>
    <phoneticPr fontId="3" type="noConversion"/>
  </si>
  <si>
    <t>法務部主管</t>
  </si>
  <si>
    <t>3-1-16</t>
    <phoneticPr fontId="3" type="noConversion"/>
  </si>
  <si>
    <t>法務部本部</t>
  </si>
  <si>
    <t>法務部矯正機關作業基金</t>
  </si>
  <si>
    <t>經濟部主管</t>
  </si>
  <si>
    <t>3-1-17</t>
    <phoneticPr fontId="3" type="noConversion"/>
  </si>
  <si>
    <t>經濟部本部</t>
  </si>
  <si>
    <t>經濟作業基金</t>
  </si>
  <si>
    <t>3-1-18</t>
    <phoneticPr fontId="3" type="noConversion"/>
  </si>
  <si>
    <t>經濟部水利署</t>
  </si>
  <si>
    <t>水資源作業基金</t>
  </si>
  <si>
    <t>交通部主管</t>
  </si>
  <si>
    <t>交通作業基金(母)</t>
  </si>
  <si>
    <t>3-1-19</t>
    <phoneticPr fontId="3" type="noConversion"/>
  </si>
  <si>
    <t>民用航空局</t>
  </si>
  <si>
    <t>民航事業作業基金(子)</t>
  </si>
  <si>
    <t>3-1-20</t>
  </si>
  <si>
    <t>交通部本部</t>
  </si>
  <si>
    <t>國道公路建設管理基金(子)</t>
  </si>
  <si>
    <t>3-1-21</t>
  </si>
  <si>
    <t>觀光局及所屬</t>
  </si>
  <si>
    <t>觀光發展基金(子)</t>
  </si>
  <si>
    <t>3-1-22</t>
  </si>
  <si>
    <t>高速鐡路相關建設基金(子)</t>
  </si>
  <si>
    <t>勞動部主管</t>
  </si>
  <si>
    <t>3-1-23</t>
    <phoneticPr fontId="3" type="noConversion"/>
  </si>
  <si>
    <t>勞工保險局</t>
  </si>
  <si>
    <t>勞工保險局作業基金</t>
  </si>
  <si>
    <t>農業委員會主管</t>
  </si>
  <si>
    <t>3-1-24</t>
    <phoneticPr fontId="3" type="noConversion"/>
  </si>
  <si>
    <t>農業作業基金</t>
  </si>
  <si>
    <t>衛生福利部主管</t>
  </si>
  <si>
    <t>3-1-25</t>
    <phoneticPr fontId="3" type="noConversion"/>
  </si>
  <si>
    <t>衛生福利部本部</t>
  </si>
  <si>
    <t>醫療藥品基金</t>
  </si>
  <si>
    <t>3-1-26</t>
  </si>
  <si>
    <t>國民年金保險基金</t>
  </si>
  <si>
    <t>3-1-27</t>
  </si>
  <si>
    <t>全民健康保險基金</t>
  </si>
  <si>
    <t>3-1-28</t>
  </si>
  <si>
    <t>食品藥物管理署</t>
    <phoneticPr fontId="3" type="noConversion"/>
  </si>
  <si>
    <t>管制藥品製藥工廠作業基金</t>
  </si>
  <si>
    <t>3-1-29</t>
  </si>
  <si>
    <t>105年度衛福部採成本法投資</t>
    <phoneticPr fontId="3" type="noConversion"/>
  </si>
  <si>
    <t>文化部主管</t>
  </si>
  <si>
    <t>3-1-30</t>
    <phoneticPr fontId="3" type="noConversion"/>
  </si>
  <si>
    <t>國立文化機構作業基金(母)</t>
  </si>
  <si>
    <t>文化部本部</t>
  </si>
  <si>
    <t xml:space="preserve">  國立歷史博物館(子)</t>
    <phoneticPr fontId="3" type="noConversion"/>
  </si>
  <si>
    <t xml:space="preserve">  國立中正紀念堂管理處(子)</t>
    <phoneticPr fontId="3" type="noConversion"/>
  </si>
  <si>
    <t xml:space="preserve">  國立國父紀念館(子)</t>
    <phoneticPr fontId="3" type="noConversion"/>
  </si>
  <si>
    <t>國立傳統藝術中心</t>
  </si>
  <si>
    <t xml:space="preserve">  傳統藝術發展作業基金(子)</t>
    <phoneticPr fontId="3" type="noConversion"/>
  </si>
  <si>
    <t>科技部主管</t>
  </si>
  <si>
    <t>3-1-31</t>
    <phoneticPr fontId="3" type="noConversion"/>
  </si>
  <si>
    <t>科學工業園區管理局作業基金(母)</t>
  </si>
  <si>
    <t>新竹科學工業園區管理局</t>
  </si>
  <si>
    <t>科學工業園區管理局作業基金(子)</t>
  </si>
  <si>
    <t>中部科學工業園區管理局</t>
  </si>
  <si>
    <t>南部科學工業園區管理局</t>
  </si>
  <si>
    <t>國軍退除役官兵輔導委員會主管</t>
  </si>
  <si>
    <t>3-1-32</t>
    <phoneticPr fontId="3" type="noConversion"/>
  </si>
  <si>
    <t>國軍退除役官兵安置基金</t>
  </si>
  <si>
    <t>3-1-33</t>
  </si>
  <si>
    <t>榮民醫療作業基金</t>
  </si>
  <si>
    <t>3-2-1</t>
    <phoneticPr fontId="3" type="noConversion"/>
  </si>
  <si>
    <t>經濟部</t>
    <phoneticPr fontId="3" type="noConversion"/>
  </si>
  <si>
    <t>耀華玻璃股份有限公司管理委員會</t>
    <phoneticPr fontId="3" type="noConversion"/>
  </si>
  <si>
    <t>總      計</t>
    <phoneticPr fontId="3" type="noConversion"/>
  </si>
  <si>
    <t>備註:
1、同ㄧ主管機關下，本機關及所屬機關如分別投資同一事業(基金)，請於該主管機關項下自行插入列，並區分為本機關及所屬機關名稱(範例:教育部)。</t>
    <phoneticPr fontId="3" type="noConversion"/>
  </si>
  <si>
    <t>編號</t>
    <phoneticPr fontId="3" type="noConversion"/>
  </si>
  <si>
    <r>
      <t>有院修打</t>
    </r>
    <r>
      <rPr>
        <b/>
        <sz val="14"/>
        <rFont val="Wingdings 2"/>
        <family val="1"/>
        <charset val="2"/>
      </rPr>
      <t>P</t>
    </r>
    <r>
      <rPr>
        <b/>
        <sz val="14"/>
        <rFont val="新細明體"/>
        <family val="1"/>
        <charset val="136"/>
      </rPr>
      <t xml:space="preserve">
</t>
    </r>
    <phoneticPr fontId="3" type="noConversion"/>
  </si>
  <si>
    <t>無院修打X</t>
    <phoneticPr fontId="3" type="noConversion"/>
  </si>
  <si>
    <t>投資成本餘額</t>
    <phoneticPr fontId="3" type="noConversion"/>
  </si>
  <si>
    <t>政府持股之業主權益(淨資產)期末餘額</t>
    <phoneticPr fontId="3" type="noConversion"/>
  </si>
  <si>
    <t>評價調整
(權益法)</t>
    <phoneticPr fontId="3" type="noConversion"/>
  </si>
  <si>
    <t>評價調整</t>
    <phoneticPr fontId="3" type="noConversion"/>
  </si>
  <si>
    <t>合計
(投資成本+評價調整)</t>
    <phoneticPr fontId="3" type="noConversion"/>
  </si>
  <si>
    <t>發行股數</t>
    <phoneticPr fontId="3" type="noConversion"/>
  </si>
  <si>
    <r>
      <rPr>
        <sz val="11"/>
        <rFont val="標楷體"/>
        <family val="4"/>
        <charset val="136"/>
      </rPr>
      <t>實收資本(基金)總額</t>
    </r>
    <r>
      <rPr>
        <sz val="14"/>
        <rFont val="標楷體"/>
        <family val="4"/>
        <charset val="136"/>
      </rPr>
      <t xml:space="preserve">
</t>
    </r>
    <r>
      <rPr>
        <sz val="10"/>
        <color indexed="10"/>
        <rFont val="標楷體"/>
        <family val="4"/>
        <charset val="136"/>
      </rPr>
      <t>(非營業特種基金應扣除公積、賸餘及其他撥充基金數)</t>
    </r>
    <phoneticPr fontId="3" type="noConversion"/>
  </si>
  <si>
    <t>業主(股東)權益(淨資產)餘額</t>
    <phoneticPr fontId="3" type="noConversion"/>
  </si>
  <si>
    <t>政府持有股數</t>
    <phoneticPr fontId="3" type="noConversion"/>
  </si>
  <si>
    <t>政府投資比例(%)</t>
    <phoneticPr fontId="3" type="noConversion"/>
  </si>
  <si>
    <t>市價
(元/股)</t>
    <phoneticPr fontId="3" type="noConversion"/>
  </si>
  <si>
    <t>105年度投資成本</t>
    <phoneticPr fontId="3" type="noConversion"/>
  </si>
  <si>
    <t>與106年投資差異</t>
    <phoneticPr fontId="3" type="noConversion"/>
  </si>
  <si>
    <t>105年度股數</t>
    <phoneticPr fontId="3" type="noConversion"/>
  </si>
  <si>
    <t>與106年股數差異</t>
    <phoneticPr fontId="3" type="noConversion"/>
  </si>
  <si>
    <t>說明</t>
    <phoneticPr fontId="3" type="noConversion"/>
  </si>
  <si>
    <t>j</t>
    <phoneticPr fontId="3" type="noConversion"/>
  </si>
  <si>
    <r>
      <t>k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o</t>
    </r>
    <r>
      <rPr>
        <sz val="14"/>
        <rFont val="標楷體"/>
        <family val="4"/>
        <charset val="136"/>
      </rPr>
      <t>*</t>
    </r>
    <r>
      <rPr>
        <sz val="14"/>
        <rFont val="Wingdings 2"/>
        <family val="1"/>
        <charset val="2"/>
      </rPr>
      <t>q</t>
    </r>
    <phoneticPr fontId="3" type="noConversion"/>
  </si>
  <si>
    <r>
      <t>l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k</t>
    </r>
    <r>
      <rPr>
        <sz val="14"/>
        <rFont val="標楷體"/>
        <family val="4"/>
        <charset val="136"/>
      </rPr>
      <t>-</t>
    </r>
    <r>
      <rPr>
        <sz val="14"/>
        <rFont val="Wingdings 2"/>
        <family val="1"/>
        <charset val="2"/>
      </rPr>
      <t>j</t>
    </r>
    <phoneticPr fontId="3" type="noConversion"/>
  </si>
  <si>
    <r>
      <t>m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p</t>
    </r>
    <r>
      <rPr>
        <sz val="14"/>
        <rFont val="標楷體"/>
        <family val="4"/>
        <charset val="136"/>
      </rPr>
      <t>*</t>
    </r>
    <r>
      <rPr>
        <sz val="14"/>
        <rFont val="Wingdings 2"/>
        <family val="1"/>
        <charset val="2"/>
      </rPr>
      <t>r</t>
    </r>
    <phoneticPr fontId="3" type="noConversion"/>
  </si>
  <si>
    <r>
      <t>n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m</t>
    </r>
    <r>
      <rPr>
        <sz val="14"/>
        <rFont val="標楷體"/>
        <family val="4"/>
        <charset val="136"/>
      </rPr>
      <t>-</t>
    </r>
    <r>
      <rPr>
        <sz val="14"/>
        <rFont val="Wingdings 2"/>
        <family val="1"/>
        <charset val="2"/>
      </rPr>
      <t>j</t>
    </r>
    <phoneticPr fontId="3" type="noConversion"/>
  </si>
  <si>
    <r>
      <t>s</t>
    </r>
    <r>
      <rPr>
        <sz val="14"/>
        <rFont val="標楷體"/>
        <family val="4"/>
        <charset val="136"/>
      </rPr>
      <t>=</t>
    </r>
    <r>
      <rPr>
        <sz val="14"/>
        <rFont val="Wingdings 2"/>
        <family val="1"/>
        <charset val="2"/>
      </rPr>
      <t>j</t>
    </r>
    <r>
      <rPr>
        <sz val="14"/>
        <rFont val="標楷體"/>
        <family val="4"/>
        <charset val="136"/>
      </rPr>
      <t>+</t>
    </r>
    <r>
      <rPr>
        <sz val="14"/>
        <rFont val="Wingdings 2"/>
        <family val="1"/>
        <charset val="2"/>
      </rPr>
      <t>l</t>
    </r>
    <r>
      <rPr>
        <sz val="14"/>
        <rFont val="新細明體"/>
        <family val="1"/>
        <charset val="136"/>
      </rPr>
      <t>or</t>
    </r>
    <r>
      <rPr>
        <sz val="14"/>
        <rFont val="Wingdings 2"/>
        <family val="1"/>
        <charset val="2"/>
      </rPr>
      <t>j</t>
    </r>
    <r>
      <rPr>
        <sz val="14"/>
        <rFont val="標楷體"/>
        <family val="4"/>
        <charset val="136"/>
      </rPr>
      <t>+</t>
    </r>
    <r>
      <rPr>
        <sz val="14"/>
        <rFont val="Wingdings 2"/>
        <family val="1"/>
        <charset val="2"/>
      </rPr>
      <t>n</t>
    </r>
    <phoneticPr fontId="3" type="noConversion"/>
  </si>
  <si>
    <t>o</t>
    <phoneticPr fontId="3" type="noConversion"/>
  </si>
  <si>
    <t>p</t>
    <phoneticPr fontId="3" type="noConversion"/>
  </si>
  <si>
    <t>q</t>
    <phoneticPr fontId="3" type="noConversion"/>
  </si>
  <si>
    <t>r</t>
    <phoneticPr fontId="3" type="noConversion"/>
  </si>
  <si>
    <t>ㄧ、採權益法之股權投資</t>
    <phoneticPr fontId="3" type="noConversion"/>
  </si>
  <si>
    <t>(ㄧ)國營事業</t>
    <phoneticPr fontId="3" type="noConversion"/>
  </si>
  <si>
    <t>1-1-18</t>
    <phoneticPr fontId="3" type="noConversion"/>
  </si>
  <si>
    <t>文化部</t>
    <phoneticPr fontId="3" type="noConversion"/>
  </si>
  <si>
    <t>臺灣電影文化事業股份有限公司</t>
    <phoneticPr fontId="3" type="noConversion"/>
  </si>
  <si>
    <t>金融監督管理委員會主管</t>
    <phoneticPr fontId="3" type="noConversion"/>
  </si>
  <si>
    <t>1-2-1</t>
    <phoneticPr fontId="3" type="noConversion"/>
  </si>
  <si>
    <t>大陸委員會</t>
    <phoneticPr fontId="3" type="noConversion"/>
  </si>
  <si>
    <t>APH SYNDICATE (SINGAPORE) PTE. LTD.</t>
    <phoneticPr fontId="3" type="noConversion"/>
  </si>
  <si>
    <t>財政部主管</t>
    <phoneticPr fontId="3" type="noConversion"/>
  </si>
  <si>
    <t>1-2-2</t>
    <phoneticPr fontId="3" type="noConversion"/>
  </si>
  <si>
    <t>財政部</t>
    <phoneticPr fontId="3" type="noConversion"/>
  </si>
  <si>
    <r>
      <t>兆豐金融控股股份有限公司</t>
    </r>
    <r>
      <rPr>
        <sz val="12"/>
        <rFont val="Times New Roman"/>
        <family val="1"/>
      </rPr>
      <t/>
    </r>
    <phoneticPr fontId="3" type="noConversion"/>
  </si>
  <si>
    <t>關貿網路股份有限公司</t>
    <phoneticPr fontId="3" type="noConversion"/>
  </si>
  <si>
    <t>第一金融控股股份有限公司</t>
    <phoneticPr fontId="3" type="noConversion"/>
  </si>
  <si>
    <t>華南金融控股股份有限公司</t>
    <phoneticPr fontId="3" type="noConversion"/>
  </si>
  <si>
    <t>彰化商業銀行股份有限公司</t>
    <phoneticPr fontId="3" type="noConversion"/>
  </si>
  <si>
    <t>臺灣中小企業銀行股份有限公司</t>
    <phoneticPr fontId="3" type="noConversion"/>
  </si>
  <si>
    <t>中央再保險股份有限公司</t>
    <phoneticPr fontId="3" type="noConversion"/>
  </si>
  <si>
    <t>合作金庫金融控股股份有限公司</t>
    <phoneticPr fontId="31" type="noConversion"/>
  </si>
  <si>
    <t>經濟部主管</t>
    <phoneticPr fontId="3" type="noConversion"/>
  </si>
  <si>
    <t>1-2-10</t>
    <phoneticPr fontId="3" type="noConversion"/>
  </si>
  <si>
    <t>經濟部</t>
    <phoneticPr fontId="3" type="noConversion"/>
  </si>
  <si>
    <t>漢翔航空工業股份有限公司</t>
    <phoneticPr fontId="3" type="noConversion"/>
  </si>
  <si>
    <t>唐榮鐵工廠股份有限公司</t>
    <phoneticPr fontId="31" type="noConversion"/>
  </si>
  <si>
    <t>中國鋼鐵股份有限公司</t>
    <phoneticPr fontId="3" type="noConversion"/>
  </si>
  <si>
    <t>臺鹽實業股份有限公司</t>
    <phoneticPr fontId="3" type="noConversion"/>
  </si>
  <si>
    <t>台灣國際造船股份有限公司</t>
    <phoneticPr fontId="3" type="noConversion"/>
  </si>
  <si>
    <t>外交部主管</t>
    <phoneticPr fontId="3" type="noConversion"/>
  </si>
  <si>
    <t>1-2-15</t>
    <phoneticPr fontId="3" type="noConversion"/>
  </si>
  <si>
    <t>外交部</t>
    <phoneticPr fontId="3" type="noConversion"/>
  </si>
  <si>
    <t>松鶴國際企業公司</t>
    <phoneticPr fontId="3" type="noConversion"/>
  </si>
  <si>
    <t>教育部主管</t>
    <phoneticPr fontId="3" type="noConversion"/>
  </si>
  <si>
    <t>1-2-16</t>
    <phoneticPr fontId="3" type="noConversion"/>
  </si>
  <si>
    <t>教育部</t>
    <phoneticPr fontId="3" type="noConversion"/>
  </si>
  <si>
    <t>香港廣邑公司</t>
    <phoneticPr fontId="3" type="noConversion"/>
  </si>
  <si>
    <t>交通部主管</t>
    <phoneticPr fontId="3" type="noConversion"/>
  </si>
  <si>
    <t>1-2-17</t>
    <phoneticPr fontId="3" type="noConversion"/>
  </si>
  <si>
    <t>交通部</t>
    <phoneticPr fontId="3" type="noConversion"/>
  </si>
  <si>
    <t>中華電信股份有限公司</t>
    <phoneticPr fontId="31" type="noConversion"/>
  </si>
  <si>
    <t>陽明海運股份有限公司</t>
    <phoneticPr fontId="3" type="noConversion"/>
  </si>
  <si>
    <t>桃園航勤股份有限公司</t>
    <phoneticPr fontId="3" type="noConversion"/>
  </si>
  <si>
    <t>台灣航業股份有限公司</t>
    <phoneticPr fontId="31" type="noConversion"/>
  </si>
  <si>
    <t>臺灣高速鐵路股份有限公司</t>
    <phoneticPr fontId="3" type="noConversion"/>
  </si>
  <si>
    <t>農業委員會主管</t>
    <phoneticPr fontId="3" type="noConversion"/>
  </si>
  <si>
    <t>1-2-21</t>
    <phoneticPr fontId="3" type="noConversion"/>
  </si>
  <si>
    <t>農業委員會</t>
    <phoneticPr fontId="3" type="noConversion"/>
  </si>
  <si>
    <t>臺北農產運銷股份有限公司</t>
    <phoneticPr fontId="3" type="noConversion"/>
  </si>
  <si>
    <t>台灣肥料股份有限公司</t>
    <phoneticPr fontId="3" type="noConversion"/>
  </si>
  <si>
    <t>全國農業金庫股份有限公司</t>
    <phoneticPr fontId="3" type="noConversion"/>
  </si>
  <si>
    <t>二、非採權益法之股權投資</t>
    <phoneticPr fontId="3" type="noConversion"/>
  </si>
  <si>
    <t>民營企業及其他</t>
    <phoneticPr fontId="3" type="noConversion"/>
  </si>
  <si>
    <t>財政部主管</t>
    <phoneticPr fontId="3" type="noConversion"/>
  </si>
  <si>
    <t>2-1-1</t>
    <phoneticPr fontId="3" type="noConversion"/>
  </si>
  <si>
    <t>財政部</t>
    <phoneticPr fontId="3" type="noConversion"/>
  </si>
  <si>
    <t>中美洲銀行</t>
    <phoneticPr fontId="3" type="noConversion"/>
  </si>
  <si>
    <t>亞洲開發銀行</t>
    <phoneticPr fontId="3" type="noConversion"/>
  </si>
  <si>
    <t>臺灣工礦股份有限公司</t>
    <phoneticPr fontId="3" type="noConversion"/>
  </si>
  <si>
    <t>經濟部主管</t>
    <phoneticPr fontId="3" type="noConversion"/>
  </si>
  <si>
    <t>2-1-4</t>
    <phoneticPr fontId="3" type="noConversion"/>
  </si>
  <si>
    <t>經濟部</t>
    <phoneticPr fontId="3" type="noConversion"/>
  </si>
  <si>
    <t>華擎機械工業股份有限公司</t>
    <phoneticPr fontId="31" type="noConversion"/>
  </si>
  <si>
    <t>2-1-5</t>
    <phoneticPr fontId="3" type="noConversion"/>
  </si>
  <si>
    <t>台北大眾捷運股份有限公司</t>
    <phoneticPr fontId="31" type="noConversion"/>
  </si>
  <si>
    <t>三、其他長期投資</t>
    <phoneticPr fontId="3" type="noConversion"/>
  </si>
  <si>
    <t>(ㄧ)作業基金</t>
    <phoneticPr fontId="3" type="noConversion"/>
  </si>
  <si>
    <t>行政院主管</t>
    <phoneticPr fontId="3" type="noConversion"/>
  </si>
  <si>
    <t>3-1-1</t>
    <phoneticPr fontId="3" type="noConversion"/>
  </si>
  <si>
    <t>考試院主管</t>
    <phoneticPr fontId="3" type="noConversion"/>
  </si>
  <si>
    <t>3-1-4</t>
    <phoneticPr fontId="3" type="noConversion"/>
  </si>
  <si>
    <t>3-1-5</t>
    <phoneticPr fontId="3" type="noConversion"/>
  </si>
  <si>
    <t>N/A</t>
    <phoneticPr fontId="3" type="noConversion"/>
  </si>
  <si>
    <t>105年度已併入營建基金</t>
    <phoneticPr fontId="3" type="noConversion"/>
  </si>
  <si>
    <t>3-1-6</t>
    <phoneticPr fontId="3" type="noConversion"/>
  </si>
  <si>
    <t>3-1-7</t>
    <phoneticPr fontId="3" type="noConversion"/>
  </si>
  <si>
    <t>3-1-8</t>
    <phoneticPr fontId="3" type="noConversion"/>
  </si>
  <si>
    <t>3-1-9</t>
    <phoneticPr fontId="3" type="noConversion"/>
  </si>
  <si>
    <t>3-1-10</t>
    <phoneticPr fontId="3" type="noConversion"/>
  </si>
  <si>
    <t>3-1-11</t>
    <phoneticPr fontId="3" type="noConversion"/>
  </si>
  <si>
    <t>3-1-12</t>
    <phoneticPr fontId="3" type="noConversion"/>
  </si>
  <si>
    <t>3-1-13</t>
    <phoneticPr fontId="3" type="noConversion"/>
  </si>
  <si>
    <t>3-1-14</t>
    <phoneticPr fontId="3" type="noConversion"/>
  </si>
  <si>
    <t>3-1-15</t>
    <phoneticPr fontId="3" type="noConversion"/>
  </si>
  <si>
    <t>3-1-16</t>
    <phoneticPr fontId="3" type="noConversion"/>
  </si>
  <si>
    <t>3-1-17</t>
    <phoneticPr fontId="3" type="noConversion"/>
  </si>
  <si>
    <t>3-1-18</t>
    <phoneticPr fontId="3" type="noConversion"/>
  </si>
  <si>
    <t>3-1-19</t>
    <phoneticPr fontId="3" type="noConversion"/>
  </si>
  <si>
    <t>3-1-23</t>
    <phoneticPr fontId="3" type="noConversion"/>
  </si>
  <si>
    <t>3-1-24</t>
    <phoneticPr fontId="3" type="noConversion"/>
  </si>
  <si>
    <t>3-1-25</t>
    <phoneticPr fontId="3" type="noConversion"/>
  </si>
  <si>
    <t>食品藥物管理署</t>
    <phoneticPr fontId="3" type="noConversion"/>
  </si>
  <si>
    <t>105年度衛福部採成本法投資</t>
    <phoneticPr fontId="3" type="noConversion"/>
  </si>
  <si>
    <t>3-1-30</t>
    <phoneticPr fontId="3" type="noConversion"/>
  </si>
  <si>
    <t xml:space="preserve">  國立歷史博物館(子)</t>
    <phoneticPr fontId="3" type="noConversion"/>
  </si>
  <si>
    <t xml:space="preserve">  國立中正紀念堂管理處(子)</t>
    <phoneticPr fontId="3" type="noConversion"/>
  </si>
  <si>
    <t xml:space="preserve">  國立國父紀念館(子)</t>
    <phoneticPr fontId="3" type="noConversion"/>
  </si>
  <si>
    <t xml:space="preserve">  傳統藝術發展作業基金(子)</t>
    <phoneticPr fontId="3" type="noConversion"/>
  </si>
  <si>
    <t>3-1-31</t>
    <phoneticPr fontId="3" type="noConversion"/>
  </si>
  <si>
    <t>3-1-32</t>
    <phoneticPr fontId="3" type="noConversion"/>
  </si>
  <si>
    <t>(二)民營企業及其他</t>
    <phoneticPr fontId="3" type="noConversion"/>
  </si>
  <si>
    <t>3-2-1</t>
    <phoneticPr fontId="3" type="noConversion"/>
  </si>
  <si>
    <t>耀華玻璃股份有限公司管理委員會</t>
    <phoneticPr fontId="3" type="noConversion"/>
  </si>
  <si>
    <t>總      計</t>
    <phoneticPr fontId="3" type="noConversion"/>
  </si>
  <si>
    <t>備註:
1、同ㄧ主管機關下，本機關及所屬機關如分別投資同一事業(基金)，請於該主管機關項下自行插入列，並區分為本機關及所屬機關名稱(範例:教育部)。</t>
    <phoneticPr fontId="3" type="noConversion"/>
  </si>
  <si>
    <t>V</t>
    <phoneticPr fontId="3" type="noConversion"/>
  </si>
  <si>
    <t>V</t>
  </si>
  <si>
    <t>x</t>
    <phoneticPr fontId="3" type="noConversion"/>
  </si>
  <si>
    <t>V</t>
    <phoneticPr fontId="3" type="noConversion"/>
  </si>
  <si>
    <t>V</t>
    <phoneticPr fontId="3" type="noConversion"/>
  </si>
  <si>
    <t>X</t>
    <phoneticPr fontId="3" type="noConversion"/>
  </si>
  <si>
    <t>被投資事業107年底投資狀況</t>
    <phoneticPr fontId="3" type="noConversion"/>
  </si>
  <si>
    <r>
      <t>107</t>
    </r>
    <r>
      <rPr>
        <sz val="14"/>
        <rFont val="標楷體"/>
        <family val="4"/>
        <charset val="136"/>
      </rPr>
      <t>年公務機關長期投資表</t>
    </r>
    <phoneticPr fontId="3" type="noConversion"/>
  </si>
  <si>
    <t>106年度投資成本</t>
    <phoneticPr fontId="3" type="noConversion"/>
  </si>
  <si>
    <t>106年度股數</t>
    <phoneticPr fontId="3" type="noConversion"/>
  </si>
  <si>
    <t>與107年投資差異</t>
    <phoneticPr fontId="3" type="noConversion"/>
  </si>
  <si>
    <t>與107年股數差異</t>
    <phoneticPr fontId="3" type="noConversion"/>
  </si>
  <si>
    <t>國立臺灣大學附設醫院作業基金</t>
    <phoneticPr fontId="3" type="noConversion"/>
  </si>
  <si>
    <t xml:space="preserve">  住宅基金</t>
    <phoneticPr fontId="3" type="noConversion"/>
  </si>
  <si>
    <t xml:space="preserve">  新市鎮開發基金</t>
    <phoneticPr fontId="3" type="noConversion"/>
  </si>
  <si>
    <t xml:space="preserve">  中央都市更新基金</t>
    <phoneticPr fontId="3" type="noConversion"/>
  </si>
  <si>
    <t>中國鋼鐵股份有限公司</t>
    <phoneticPr fontId="3" type="noConversion"/>
  </si>
  <si>
    <t>臺鹽實業股份有限公司</t>
    <phoneticPr fontId="3" type="noConversion"/>
  </si>
  <si>
    <t>唐榮鐵工廠股份有限公司</t>
    <phoneticPr fontId="31" type="noConversion"/>
  </si>
  <si>
    <t>台灣國際造船股份有限公司</t>
    <phoneticPr fontId="3" type="noConversion"/>
  </si>
  <si>
    <t>水利署</t>
    <phoneticPr fontId="3" type="noConversion"/>
  </si>
  <si>
    <t>經濟部本部</t>
    <phoneticPr fontId="3" type="noConversion"/>
  </si>
  <si>
    <t>成本法</t>
    <phoneticPr fontId="3" type="noConversion"/>
  </si>
  <si>
    <r>
      <t>權益法</t>
    </r>
    <r>
      <rPr>
        <u/>
        <sz val="10"/>
        <color rgb="FFFF0000"/>
        <rFont val="標楷體"/>
        <family val="4"/>
        <charset val="136"/>
      </rPr>
      <t>(預收股本)</t>
    </r>
    <phoneticPr fontId="3" type="noConversion"/>
  </si>
  <si>
    <r>
      <t>107</t>
    </r>
    <r>
      <rPr>
        <b/>
        <sz val="20"/>
        <rFont val="標楷體"/>
        <family val="4"/>
        <charset val="136"/>
      </rPr>
      <t>年長期投資明細表工作底稿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院修前</t>
    </r>
    <r>
      <rPr>
        <b/>
        <sz val="20"/>
        <rFont val="Times New Roman"/>
        <family val="1"/>
      </rPr>
      <t>)</t>
    </r>
    <phoneticPr fontId="3" type="noConversion"/>
  </si>
  <si>
    <t>備註</t>
    <phoneticPr fontId="3" type="noConversion"/>
  </si>
  <si>
    <t>科目及投資事業名稱</t>
    <phoneticPr fontId="3" type="noConversion"/>
  </si>
  <si>
    <t>衛生福利部主管</t>
    <phoneticPr fontId="3" type="noConversion"/>
  </si>
  <si>
    <t>(一)民營企業</t>
    <phoneticPr fontId="3" type="noConversion"/>
  </si>
  <si>
    <t>中央政府總決算</t>
    <phoneticPr fontId="3" type="noConversion"/>
  </si>
  <si>
    <t>單位：新臺幣元</t>
    <phoneticPr fontId="3" type="noConversion"/>
  </si>
  <si>
    <t>投資成本</t>
    <phoneticPr fontId="3" type="noConversion"/>
  </si>
  <si>
    <t>合計</t>
    <phoneticPr fontId="3" type="noConversion"/>
  </si>
  <si>
    <t>股數</t>
    <phoneticPr fontId="3" type="noConversion"/>
  </si>
  <si>
    <t>一、採權益法之投資</t>
    <phoneticPr fontId="3" type="noConversion"/>
  </si>
  <si>
    <t>清算中</t>
    <phoneticPr fontId="3" type="noConversion"/>
  </si>
  <si>
    <r>
      <rPr>
        <sz val="9"/>
        <rFont val="新細明體"/>
        <family val="1"/>
        <charset val="136"/>
      </rPr>
      <t>　</t>
    </r>
  </si>
  <si>
    <t>長期投資明細表</t>
    <phoneticPr fontId="3" type="noConversion"/>
  </si>
  <si>
    <t xml:space="preserve">  中華民國109年12月31日</t>
    <phoneticPr fontId="3" type="noConversion"/>
  </si>
  <si>
    <t>尚未增資發行股票之預收股本</t>
    <phoneticPr fontId="3" type="noConversion"/>
  </si>
  <si>
    <t>行政院主管</t>
  </si>
  <si>
    <t>交通作業基金</t>
  </si>
  <si>
    <t>合            計</t>
    <phoneticPr fontId="3" type="noConversion"/>
  </si>
  <si>
    <t>台灣自來水股份有限公司</t>
  </si>
  <si>
    <t>中央銀行</t>
  </si>
  <si>
    <t>臺灣土地銀行股份有限公司</t>
  </si>
  <si>
    <t>台灣糖業股份有限公司</t>
  </si>
  <si>
    <t>台灣中油股份有限公司</t>
  </si>
  <si>
    <t>台灣電力股份有限公司</t>
  </si>
  <si>
    <t>臺灣中興紙業股份有限公司</t>
  </si>
  <si>
    <t>交通部臺灣鐵路管理局</t>
  </si>
  <si>
    <t>臺灣港務股份有限公司</t>
  </si>
  <si>
    <t>金融監督管理委員會主管</t>
  </si>
  <si>
    <t>(二)作業基金</t>
  </si>
  <si>
    <t>考試院主管</t>
  </si>
  <si>
    <t>教育部所屬機構作業基金</t>
  </si>
  <si>
    <t>國立文化機構作業基金</t>
  </si>
  <si>
    <t>科學園區管理局作業基金</t>
  </si>
  <si>
    <t>(三)民營企業</t>
  </si>
  <si>
    <t>APH SYNDICATE (SINGAPORE) PTE. LTD.</t>
  </si>
  <si>
    <t>兆豐金融控股股份有限公司</t>
  </si>
  <si>
    <t>關貿網路股份有限公司</t>
  </si>
  <si>
    <t>第一金融控股股份有限公司</t>
  </si>
  <si>
    <t>華南金融控股股份有限公司</t>
  </si>
  <si>
    <t>彰化商業銀行股份有限公司</t>
  </si>
  <si>
    <t>臺灣中小企業銀行股份有限公司</t>
  </si>
  <si>
    <t>中央再保險股份有限公司</t>
  </si>
  <si>
    <t>合作金庫金融控股股份有限公司</t>
  </si>
  <si>
    <t>漢翔航空工業股份有限公司</t>
  </si>
  <si>
    <t>唐榮鐵工廠股份有限公司</t>
  </si>
  <si>
    <t>中國鋼鐵股份有限公司</t>
  </si>
  <si>
    <t>臺鹽實業股份有限公司</t>
  </si>
  <si>
    <t>台灣國際造船股份有限公司</t>
  </si>
  <si>
    <t>可寧衛蘇伊士環境資源股份有限公司</t>
  </si>
  <si>
    <t>外交部主管</t>
  </si>
  <si>
    <t>松鶴國際企業公司</t>
  </si>
  <si>
    <t>香港廣邑公司</t>
  </si>
  <si>
    <t>中華電信股份有限公司</t>
  </si>
  <si>
    <t>陽明海運股份有限公司</t>
  </si>
  <si>
    <t>桃園航勤股份有限公司</t>
  </si>
  <si>
    <t>台灣航業股份有限公司</t>
  </si>
  <si>
    <t>臺北農產運銷股份有限公司</t>
  </si>
  <si>
    <t>台灣肥料股份有限公司</t>
  </si>
  <si>
    <t>全國農業金庫股份有限公司</t>
  </si>
  <si>
    <t>二、其他長期投資</t>
  </si>
  <si>
    <t>中美洲銀行</t>
  </si>
  <si>
    <t>亞洲開發銀行</t>
  </si>
  <si>
    <t>臺灣工礦股份有限公司</t>
  </si>
  <si>
    <t>華擎機械工業股份有限公司</t>
  </si>
  <si>
    <t>臺北大眾捷運股份有限公司</t>
  </si>
  <si>
    <t>(二)其他</t>
  </si>
  <si>
    <t>耀華玻璃股份有限公司管理委員會</t>
  </si>
  <si>
    <t>衛生福利部投資比率3.24%，採成本法評價</t>
    <phoneticPr fontId="3" type="noConversion"/>
  </si>
  <si>
    <r>
      <rPr>
        <sz val="9"/>
        <rFont val="細明體"/>
        <family val="3"/>
        <charset val="136"/>
      </rPr>
      <t>教育部國民及學前教育署投資比率</t>
    </r>
    <r>
      <rPr>
        <sz val="9"/>
        <rFont val="新細明體"/>
        <family val="1"/>
        <charset val="136"/>
        <scheme val="minor"/>
      </rPr>
      <t>0.14%</t>
    </r>
    <r>
      <rPr>
        <sz val="9"/>
        <rFont val="細明體"/>
        <family val="3"/>
        <charset val="136"/>
      </rPr>
      <t>，採成本法評價</t>
    </r>
    <phoneticPr fontId="3" type="noConversion"/>
  </si>
  <si>
    <t>(一)國營事業</t>
    <phoneticPr fontId="3" type="noConversion"/>
  </si>
  <si>
    <r>
      <rPr>
        <sz val="9"/>
        <rFont val="細明體"/>
        <family val="3"/>
        <charset val="136"/>
      </rPr>
      <t>教育部國民及學前教育署與體育署投資比率計</t>
    </r>
    <r>
      <rPr>
        <sz val="9"/>
        <rFont val="新細明體"/>
        <family val="1"/>
        <charset val="136"/>
        <scheme val="minor"/>
      </rPr>
      <t>0.74%</t>
    </r>
    <r>
      <rPr>
        <sz val="9"/>
        <rFont val="細明體"/>
        <family val="3"/>
        <charset val="136"/>
      </rPr>
      <t>，採成本法評價</t>
    </r>
    <phoneticPr fontId="3" type="noConversion"/>
  </si>
  <si>
    <r>
      <rPr>
        <sz val="9"/>
        <rFont val="細明體"/>
        <family val="3"/>
        <charset val="136"/>
      </rPr>
      <t>教育部與體育署投資比率計</t>
    </r>
    <r>
      <rPr>
        <sz val="9"/>
        <rFont val="新細明體"/>
        <family val="1"/>
        <charset val="136"/>
        <scheme val="minor"/>
      </rPr>
      <t>4.73%</t>
    </r>
    <r>
      <rPr>
        <sz val="9"/>
        <rFont val="細明體"/>
        <family val="3"/>
        <charset val="136"/>
      </rPr>
      <t>，採成本法評價</t>
    </r>
    <phoneticPr fontId="3" type="noConversion"/>
  </si>
  <si>
    <t xml:space="preserve">備註：1.108年度資本資產表科目明細表—長期投資原列文化部投資之臺灣電影文化事業股份有限公司於109年1月9日清算
               完結、財政部投資之地方建設基金於109年1月1日裁撤。
 　　   2.有關本表各主管機關所列長期投資數額，其中含特別決算帳列長期投資資訊如下：
              (1)中央政府前瞻基礎建設計畫第1期特別決算—採權益法之投資：交通部投資臺灣鐵路管理局36億1,034萬4,336元。                  
              (2)中央政府前瞻基礎建設計畫第2期特別決算—採權益法之投資：交通部投資臺灣鐵路管理局77億7,285萬8,982元、
                  衛生福利部投資醫療藥品基金10億7,329萬4,088元；其他長期投資：經濟部水利署投資台灣自來水股份有限公司
                   43億7,095萬2,894元，以上合計132億1,710萬5,964元。
 　　   3.另中央政府嚴重特殊傳染性肺炎防治及紓困振興特別預算—採權益法之投資：教育部投資國立大學校院校務基金(彙
               總)160萬620元；其他長期投資：教育部投資國立高級中等學校校務基金1,324萬6,769元，以上合計1,484萬7,389元。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</si>
</sst>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_-* #,##0_-;\-* #,##0_-;_-* &quot;-&quot;??_-;_-@_-"/>
    <numFmt numFmtId="177" formatCode="0.00_);[Red]\(0.00\)"/>
    <numFmt numFmtId="178" formatCode="#,##0.00_);[Red]\(#,##0.00\)"/>
    <numFmt numFmtId="179" formatCode="#,##0_);[Red]\(#,##0\)"/>
    <numFmt numFmtId="180" formatCode="#,##0_ "/>
    <numFmt numFmtId="181" formatCode="#,##0.0000_);[Red]\(#,##0.0000\)"/>
    <numFmt numFmtId="182" formatCode="#,##0.00_);\(#,##0.00\)"/>
    <numFmt numFmtId="184" formatCode="0_);[Red]\(0\)"/>
  </numFmts>
  <fonts count="9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Times New Roman"/>
      <family val="1"/>
    </font>
    <font>
      <b/>
      <sz val="20"/>
      <name val="標楷體"/>
      <family val="4"/>
      <charset val="136"/>
    </font>
    <font>
      <b/>
      <sz val="10"/>
      <name val="標楷體"/>
      <family val="4"/>
      <charset val="136"/>
    </font>
    <font>
      <sz val="21"/>
      <color indexed="56"/>
      <name val="標楷體"/>
      <family val="4"/>
      <charset val="136"/>
    </font>
    <font>
      <sz val="15"/>
      <color indexed="10"/>
      <name val="Times New Roman"/>
      <family val="1"/>
    </font>
    <font>
      <sz val="12"/>
      <name val="標楷體"/>
      <family val="4"/>
      <charset val="136"/>
    </font>
    <font>
      <sz val="15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1"/>
      <name val="標楷體"/>
      <family val="4"/>
      <charset val="136"/>
    </font>
    <font>
      <sz val="10"/>
      <color indexed="10"/>
      <name val="標楷體"/>
      <family val="4"/>
      <charset val="136"/>
    </font>
    <font>
      <sz val="14"/>
      <name val="新細明體"/>
      <family val="1"/>
      <charset val="136"/>
    </font>
    <font>
      <sz val="14"/>
      <name val="Wingdings 2"/>
      <family val="1"/>
      <charset val="2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0"/>
      <name val="Times New Roman"/>
      <family val="1"/>
    </font>
    <font>
      <sz val="12"/>
      <color indexed="36"/>
      <name val="Times New Roman"/>
      <family val="1"/>
    </font>
    <font>
      <sz val="12"/>
      <color indexed="53"/>
      <name val="標楷體"/>
      <family val="4"/>
      <charset val="136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10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sz val="9"/>
      <name val="細明體"/>
      <family val="3"/>
      <charset val="136"/>
    </font>
    <font>
      <strike/>
      <sz val="12"/>
      <name val="標楷體"/>
      <family val="4"/>
      <charset val="136"/>
    </font>
    <font>
      <sz val="12"/>
      <name val="Wingdings 2"/>
      <family val="1"/>
      <charset val="2"/>
    </font>
    <font>
      <sz val="12"/>
      <color indexed="10"/>
      <name val="Times New Roman"/>
      <family val="1"/>
    </font>
    <font>
      <sz val="12"/>
      <color rgb="FF002060"/>
      <name val="標楷體"/>
      <family val="4"/>
      <charset val="136"/>
    </font>
    <font>
      <b/>
      <sz val="12"/>
      <color rgb="FF002060"/>
      <name val="標楷體"/>
      <family val="4"/>
      <charset val="136"/>
    </font>
    <font>
      <b/>
      <sz val="12"/>
      <color rgb="FF002060"/>
      <name val="Times New Roman"/>
      <family val="1"/>
    </font>
    <font>
      <b/>
      <sz val="12"/>
      <color rgb="FF002060"/>
      <name val="新細明體"/>
      <family val="1"/>
      <charset val="136"/>
    </font>
    <font>
      <sz val="12"/>
      <color rgb="FF002060"/>
      <name val="新細明體"/>
      <family val="1"/>
      <charset val="136"/>
    </font>
    <font>
      <sz val="12"/>
      <color rgb="FF002060"/>
      <name val="Times New Roman"/>
      <family val="1"/>
    </font>
    <font>
      <sz val="12"/>
      <color rgb="FF7030A0"/>
      <name val="Times New Roman"/>
      <family val="1"/>
    </font>
    <font>
      <sz val="16"/>
      <name val="新細明體"/>
      <family val="1"/>
      <charset val="136"/>
    </font>
    <font>
      <b/>
      <sz val="14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4"/>
      <name val="Wingdings 2"/>
      <family val="1"/>
      <charset val="2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0"/>
      <color indexed="81"/>
      <name val="Tahoma"/>
      <family val="2"/>
    </font>
    <font>
      <b/>
      <sz val="10"/>
      <color indexed="81"/>
      <name val="細明體"/>
      <family val="3"/>
      <charset val="136"/>
    </font>
    <font>
      <sz val="10"/>
      <color indexed="81"/>
      <name val="Tahoma"/>
      <family val="2"/>
    </font>
    <font>
      <sz val="12"/>
      <color rgb="FFFF0000"/>
      <name val="標楷體"/>
      <family val="4"/>
      <charset val="136"/>
    </font>
    <font>
      <u/>
      <sz val="10"/>
      <color rgb="FFFF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5"/>
      <name val="新細明體"/>
      <family val="1"/>
      <charset val="136"/>
    </font>
    <font>
      <sz val="8"/>
      <name val="新細明體"/>
      <family val="1"/>
      <charset val="136"/>
    </font>
    <font>
      <sz val="17"/>
      <name val="新細明體"/>
      <family val="1"/>
      <charset val="136"/>
    </font>
    <font>
      <sz val="11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name val="Arial"/>
      <family val="2"/>
    </font>
    <font>
      <sz val="9"/>
      <color indexed="8"/>
      <name val="標楷體"/>
      <family val="4"/>
      <charset val="136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8"/>
      <name val="細明體"/>
      <family val="3"/>
      <charset val="136"/>
    </font>
    <font>
      <sz val="6"/>
      <name val="Arial"/>
      <family val="2"/>
    </font>
    <font>
      <sz val="9"/>
      <name val="新細明體"/>
      <family val="1"/>
      <charset val="136"/>
      <scheme val="major"/>
    </font>
    <font>
      <sz val="6"/>
      <name val="細明體"/>
      <family val="3"/>
      <charset val="136"/>
    </font>
    <font>
      <sz val="9"/>
      <name val="新細明體"/>
      <family val="1"/>
      <charset val="136"/>
      <scheme val="minor"/>
    </font>
    <font>
      <sz val="8"/>
      <name val="新細明體"/>
      <family val="1"/>
      <charset val="136"/>
      <scheme val="major"/>
    </font>
    <font>
      <b/>
      <sz val="10"/>
      <color indexed="8"/>
      <name val="Arial"/>
      <family val="2"/>
    </font>
    <font>
      <sz val="9"/>
      <color rgb="FF000000"/>
      <name val="微軟正黑體"/>
      <family val="2"/>
      <charset val="136"/>
    </font>
    <font>
      <b/>
      <sz val="9"/>
      <name val="Arial"/>
      <family val="2"/>
    </font>
    <font>
      <sz val="12"/>
      <name val="新細明體"/>
      <family val="1"/>
      <charset val="136"/>
      <scheme val="major"/>
    </font>
    <font>
      <sz val="7"/>
      <color indexed="8"/>
      <name val="Arial"/>
      <family val="2"/>
    </font>
    <font>
      <sz val="12"/>
      <color indexed="8"/>
      <name val="標楷體"/>
      <family val="4"/>
      <charset val="136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細明體"/>
      <family val="3"/>
      <charset val="136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indexed="8"/>
      <name val="Arial Unicode MS"/>
      <family val="2"/>
      <charset val="136"/>
    </font>
    <font>
      <b/>
      <sz val="12"/>
      <color indexed="8"/>
      <name val="Arial Unicode MS"/>
      <family val="2"/>
      <charset val="136"/>
    </font>
    <font>
      <b/>
      <sz val="9"/>
      <color indexed="8"/>
      <name val="Arial Unicode MS"/>
      <family val="2"/>
      <charset val="136"/>
    </font>
    <font>
      <sz val="9"/>
      <color indexed="8"/>
      <name val="Arial Unicode MS"/>
      <family val="2"/>
      <charset val="136"/>
    </font>
    <font>
      <sz val="9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indexed="8"/>
      <name val="Arial"/>
      <family val="2"/>
    </font>
    <font>
      <b/>
      <sz val="9"/>
      <color indexed="8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0" fontId="83" fillId="10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3" fontId="1" fillId="0" borderId="0" xfId="1" applyNumberFormat="1" applyFont="1" applyFill="1">
      <alignment vertical="center"/>
    </xf>
    <xf numFmtId="176" fontId="1" fillId="0" borderId="0" xfId="1" applyNumberFormat="1" applyFont="1" applyFill="1">
      <alignment vertical="center"/>
    </xf>
    <xf numFmtId="0" fontId="0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8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0" borderId="0" xfId="0" applyFont="1" applyFill="1">
      <alignment vertical="center"/>
    </xf>
    <xf numFmtId="177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3" fontId="9" fillId="0" borderId="0" xfId="1" applyNumberFormat="1" applyFont="1" applyFill="1">
      <alignment vertical="center"/>
    </xf>
    <xf numFmtId="176" fontId="9" fillId="0" borderId="0" xfId="1" applyNumberFormat="1" applyFont="1" applyFill="1">
      <alignment vertical="center"/>
    </xf>
    <xf numFmtId="0" fontId="9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3" fontId="15" fillId="0" borderId="0" xfId="1" applyNumberFormat="1" applyFont="1" applyFill="1">
      <alignment vertical="center"/>
    </xf>
    <xf numFmtId="176" fontId="15" fillId="0" borderId="0" xfId="1" applyNumberFormat="1" applyFont="1" applyFill="1">
      <alignment vertical="center"/>
    </xf>
    <xf numFmtId="0" fontId="15" fillId="0" borderId="0" xfId="0" applyFo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177" fontId="16" fillId="0" borderId="9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right" vertical="center"/>
    </xf>
    <xf numFmtId="178" fontId="19" fillId="0" borderId="8" xfId="1" applyNumberFormat="1" applyFont="1" applyFill="1" applyBorder="1">
      <alignment vertical="center"/>
    </xf>
    <xf numFmtId="178" fontId="19" fillId="0" borderId="8" xfId="1" applyNumberFormat="1" applyFont="1" applyFill="1" applyBorder="1" applyAlignment="1">
      <alignment horizontal="right" vertical="center"/>
    </xf>
    <xf numFmtId="178" fontId="18" fillId="0" borderId="8" xfId="0" applyNumberFormat="1" applyFont="1" applyFill="1" applyBorder="1" applyAlignment="1">
      <alignment horizontal="center" vertical="center" wrapText="1"/>
    </xf>
    <xf numFmtId="179" fontId="18" fillId="0" borderId="8" xfId="0" applyNumberFormat="1" applyFont="1" applyBorder="1" applyAlignment="1">
      <alignment vertical="center" wrapText="1"/>
    </xf>
    <xf numFmtId="178" fontId="12" fillId="0" borderId="8" xfId="0" applyNumberFormat="1" applyFont="1" applyFill="1" applyBorder="1" applyAlignment="1">
      <alignment horizontal="center" vertical="center" wrapText="1"/>
    </xf>
    <xf numFmtId="176" fontId="20" fillId="0" borderId="8" xfId="1" applyNumberFormat="1" applyFont="1" applyBorder="1">
      <alignment vertical="center"/>
    </xf>
    <xf numFmtId="0" fontId="17" fillId="4" borderId="8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/>
    </xf>
    <xf numFmtId="178" fontId="18" fillId="0" borderId="8" xfId="0" applyNumberFormat="1" applyFont="1" applyBorder="1" applyAlignment="1">
      <alignment horizontal="center" vertical="center" wrapText="1"/>
    </xf>
    <xf numFmtId="180" fontId="20" fillId="0" borderId="8" xfId="0" applyNumberFormat="1" applyFont="1" applyBorder="1">
      <alignment vertical="center"/>
    </xf>
    <xf numFmtId="0" fontId="22" fillId="0" borderId="0" xfId="0" applyFont="1">
      <alignment vertical="center"/>
    </xf>
    <xf numFmtId="0" fontId="23" fillId="5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/>
    </xf>
    <xf numFmtId="178" fontId="19" fillId="0" borderId="8" xfId="0" applyNumberFormat="1" applyFont="1" applyFill="1" applyBorder="1" applyAlignment="1">
      <alignment horizontal="right" vertical="center"/>
    </xf>
    <xf numFmtId="178" fontId="20" fillId="0" borderId="8" xfId="1" applyNumberFormat="1" applyFont="1" applyFill="1" applyBorder="1">
      <alignment vertical="center"/>
    </xf>
    <xf numFmtId="178" fontId="24" fillId="0" borderId="8" xfId="1" applyNumberFormat="1" applyFont="1" applyFill="1" applyBorder="1" applyAlignment="1">
      <alignment horizontal="right" vertical="center"/>
    </xf>
    <xf numFmtId="178" fontId="24" fillId="0" borderId="8" xfId="0" applyNumberFormat="1" applyFont="1" applyBorder="1" applyAlignment="1">
      <alignment horizontal="right" vertical="center" wrapText="1"/>
    </xf>
    <xf numFmtId="179" fontId="19" fillId="0" borderId="8" xfId="0" applyNumberFormat="1" applyFont="1" applyBorder="1" applyAlignment="1">
      <alignment vertical="center" wrapText="1"/>
    </xf>
    <xf numFmtId="178" fontId="19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Border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center" wrapText="1"/>
    </xf>
    <xf numFmtId="178" fontId="20" fillId="6" borderId="8" xfId="1" applyNumberFormat="1" applyFont="1" applyFill="1" applyBorder="1" applyAlignment="1">
      <alignment horizontal="right" vertical="center"/>
    </xf>
    <xf numFmtId="178" fontId="19" fillId="6" borderId="8" xfId="1" applyNumberFormat="1" applyFont="1" applyFill="1" applyBorder="1">
      <alignment vertical="center"/>
    </xf>
    <xf numFmtId="178" fontId="20" fillId="6" borderId="8" xfId="0" applyNumberFormat="1" applyFont="1" applyFill="1" applyBorder="1" applyAlignment="1">
      <alignment horizontal="right" vertical="center" wrapText="1"/>
    </xf>
    <xf numFmtId="179" fontId="20" fillId="6" borderId="8" xfId="1" applyNumberFormat="1" applyFont="1" applyFill="1" applyBorder="1" applyAlignment="1">
      <alignment vertical="center"/>
    </xf>
    <xf numFmtId="178" fontId="20" fillId="6" borderId="8" xfId="0" applyNumberFormat="1" applyFont="1" applyFill="1" applyBorder="1" applyAlignment="1">
      <alignment horizontal="center" vertical="center" wrapText="1"/>
    </xf>
    <xf numFmtId="0" fontId="20" fillId="6" borderId="8" xfId="0" applyFont="1" applyFill="1" applyBorder="1">
      <alignment vertical="center"/>
    </xf>
    <xf numFmtId="0" fontId="23" fillId="0" borderId="8" xfId="0" applyFont="1" applyFill="1" applyBorder="1" applyAlignment="1">
      <alignment horizontal="left" vertical="center" wrapText="1"/>
    </xf>
    <xf numFmtId="178" fontId="19" fillId="0" borderId="8" xfId="0" applyNumberFormat="1" applyFont="1" applyBorder="1" applyAlignment="1">
      <alignment horizontal="center" vertical="center" wrapText="1"/>
    </xf>
    <xf numFmtId="178" fontId="20" fillId="0" borderId="8" xfId="1" applyNumberFormat="1" applyFont="1" applyFill="1" applyBorder="1" applyAlignment="1">
      <alignment horizontal="right" vertical="center"/>
    </xf>
    <xf numFmtId="179" fontId="19" fillId="0" borderId="8" xfId="0" applyNumberFormat="1" applyFont="1" applyFill="1" applyBorder="1" applyAlignment="1">
      <alignment vertical="center"/>
    </xf>
    <xf numFmtId="178" fontId="20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179" fontId="20" fillId="0" borderId="8" xfId="1" applyNumberFormat="1" applyFont="1" applyFill="1" applyBorder="1" applyAlignment="1">
      <alignment vertical="center"/>
    </xf>
    <xf numFmtId="178" fontId="20" fillId="6" borderId="8" xfId="1" applyNumberFormat="1" applyFont="1" applyFill="1" applyBorder="1">
      <alignment vertical="center"/>
    </xf>
    <xf numFmtId="179" fontId="20" fillId="6" borderId="8" xfId="1" applyNumberFormat="1" applyFont="1" applyFill="1" applyBorder="1" applyAlignment="1">
      <alignment horizontal="right" vertical="center"/>
    </xf>
    <xf numFmtId="43" fontId="0" fillId="0" borderId="0" xfId="1" applyNumberFormat="1" applyFont="1" applyFill="1">
      <alignment vertical="center"/>
    </xf>
    <xf numFmtId="176" fontId="0" fillId="0" borderId="0" xfId="1" applyNumberFormat="1" applyFont="1" applyFill="1">
      <alignment vertical="center"/>
    </xf>
    <xf numFmtId="0" fontId="9" fillId="0" borderId="8" xfId="0" applyFont="1" applyFill="1" applyBorder="1" applyAlignment="1">
      <alignment horizontal="left" vertical="center"/>
    </xf>
    <xf numFmtId="178" fontId="19" fillId="0" borderId="8" xfId="0" applyNumberFormat="1" applyFont="1" applyFill="1" applyBorder="1" applyAlignment="1">
      <alignment horizontal="right" vertical="center" wrapText="1"/>
    </xf>
    <xf numFmtId="179" fontId="19" fillId="0" borderId="8" xfId="0" applyNumberFormat="1" applyFont="1" applyBorder="1" applyAlignment="1">
      <alignment horizontal="center" vertical="center" wrapText="1"/>
    </xf>
    <xf numFmtId="178" fontId="19" fillId="0" borderId="8" xfId="0" applyNumberFormat="1" applyFont="1" applyBorder="1" applyAlignment="1">
      <alignment horizontal="right" vertical="center" wrapText="1"/>
    </xf>
    <xf numFmtId="178" fontId="27" fillId="6" borderId="8" xfId="1" applyNumberFormat="1" applyFont="1" applyFill="1" applyBorder="1" applyAlignment="1">
      <alignment horizontal="right" vertical="center"/>
    </xf>
    <xf numFmtId="178" fontId="28" fillId="6" borderId="8" xfId="1" applyNumberFormat="1" applyFont="1" applyFill="1" applyBorder="1" applyAlignment="1">
      <alignment horizontal="right" vertical="center"/>
    </xf>
    <xf numFmtId="179" fontId="20" fillId="0" borderId="8" xfId="0" applyNumberFormat="1" applyFont="1" applyBorder="1" applyAlignment="1">
      <alignment horizontal="center" vertical="center" wrapText="1"/>
    </xf>
    <xf numFmtId="178" fontId="20" fillId="6" borderId="8" xfId="0" applyNumberFormat="1" applyFont="1" applyFill="1" applyBorder="1" applyAlignment="1">
      <alignment horizontal="right" vertical="center"/>
    </xf>
    <xf numFmtId="0" fontId="29" fillId="6" borderId="8" xfId="0" applyFont="1" applyFill="1" applyBorder="1" applyAlignment="1">
      <alignment horizontal="left" vertical="center" wrapText="1" indent="2"/>
    </xf>
    <xf numFmtId="0" fontId="30" fillId="0" borderId="8" xfId="0" applyFont="1" applyFill="1" applyBorder="1" applyAlignment="1">
      <alignment horizontal="center" vertical="center" wrapText="1"/>
    </xf>
    <xf numFmtId="178" fontId="20" fillId="6" borderId="8" xfId="1" applyNumberFormat="1" applyFont="1" applyFill="1" applyBorder="1" applyAlignment="1">
      <alignment vertical="center"/>
    </xf>
    <xf numFmtId="178" fontId="20" fillId="0" borderId="10" xfId="1" applyNumberFormat="1" applyFont="1" applyFill="1" applyBorder="1">
      <alignment vertical="center"/>
    </xf>
    <xf numFmtId="179" fontId="1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79" fontId="20" fillId="0" borderId="8" xfId="1" applyNumberFormat="1" applyFont="1" applyFill="1" applyBorder="1" applyAlignment="1">
      <alignment horizontal="right" vertical="center"/>
    </xf>
    <xf numFmtId="179" fontId="19" fillId="0" borderId="8" xfId="1" applyNumberFormat="1" applyFont="1" applyFill="1" applyBorder="1" applyAlignment="1">
      <alignment horizontal="right" vertical="center"/>
    </xf>
    <xf numFmtId="0" fontId="22" fillId="0" borderId="0" xfId="0" applyFont="1" applyFill="1">
      <alignment vertical="center"/>
    </xf>
    <xf numFmtId="0" fontId="29" fillId="6" borderId="8" xfId="0" applyFont="1" applyFill="1" applyBorder="1" applyAlignment="1">
      <alignment horizontal="left" vertical="center" wrapText="1"/>
    </xf>
    <xf numFmtId="43" fontId="0" fillId="0" borderId="0" xfId="1" applyFont="1" applyFill="1">
      <alignment vertical="center"/>
    </xf>
    <xf numFmtId="0" fontId="0" fillId="0" borderId="0" xfId="0" applyFont="1" applyFill="1">
      <alignment vertical="center"/>
    </xf>
    <xf numFmtId="49" fontId="2" fillId="0" borderId="0" xfId="0" applyNumberFormat="1" applyFont="1" applyBorder="1" applyAlignment="1">
      <alignment horizontal="center" vertical="center"/>
    </xf>
    <xf numFmtId="178" fontId="20" fillId="6" borderId="11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178" fontId="20" fillId="6" borderId="0" xfId="1" applyNumberFormat="1" applyFont="1" applyFill="1" applyBorder="1" applyAlignment="1">
      <alignment horizontal="right" vertical="center"/>
    </xf>
    <xf numFmtId="179" fontId="20" fillId="6" borderId="11" xfId="1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0" fillId="0" borderId="0" xfId="0" applyFill="1">
      <alignment vertical="center"/>
    </xf>
    <xf numFmtId="0" fontId="32" fillId="0" borderId="8" xfId="0" applyFont="1" applyFill="1" applyBorder="1" applyAlignment="1">
      <alignment horizontal="left" vertical="center" wrapText="1"/>
    </xf>
    <xf numFmtId="178" fontId="20" fillId="0" borderId="11" xfId="1" applyNumberFormat="1" applyFont="1" applyFill="1" applyBorder="1" applyAlignment="1">
      <alignment horizontal="right" vertical="center"/>
    </xf>
    <xf numFmtId="0" fontId="20" fillId="0" borderId="8" xfId="0" applyFont="1" applyFill="1" applyBorder="1">
      <alignment vertical="center"/>
    </xf>
    <xf numFmtId="178" fontId="19" fillId="0" borderId="11" xfId="0" applyNumberFormat="1" applyFont="1" applyFill="1" applyBorder="1" applyAlignment="1">
      <alignment horizontal="right" vertical="center"/>
    </xf>
    <xf numFmtId="179" fontId="20" fillId="6" borderId="8" xfId="0" applyNumberFormat="1" applyFont="1" applyFill="1" applyBorder="1" applyAlignment="1">
      <alignment vertical="center"/>
    </xf>
    <xf numFmtId="178" fontId="12" fillId="0" borderId="8" xfId="0" applyNumberFormat="1" applyFont="1" applyFill="1" applyBorder="1" applyAlignment="1">
      <alignment horizontal="right" vertical="center" wrapText="1"/>
    </xf>
    <xf numFmtId="179" fontId="20" fillId="0" borderId="8" xfId="0" applyNumberFormat="1" applyFont="1" applyFill="1" applyBorder="1" applyAlignment="1">
      <alignment horizontal="right" vertical="center" wrapText="1"/>
    </xf>
    <xf numFmtId="178" fontId="20" fillId="0" borderId="8" xfId="0" applyNumberFormat="1" applyFont="1" applyFill="1" applyBorder="1" applyAlignment="1">
      <alignment horizontal="right" vertical="center" wrapText="1"/>
    </xf>
    <xf numFmtId="178" fontId="18" fillId="0" borderId="8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8" fontId="0" fillId="0" borderId="8" xfId="0" applyNumberFormat="1" applyFill="1" applyBorder="1">
      <alignment vertical="center"/>
    </xf>
    <xf numFmtId="179" fontId="9" fillId="0" borderId="8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8" fontId="33" fillId="0" borderId="8" xfId="0" applyNumberFormat="1" applyFont="1" applyFill="1" applyBorder="1" applyAlignment="1">
      <alignment horizontal="center" vertical="center" wrapText="1"/>
    </xf>
    <xf numFmtId="179" fontId="33" fillId="0" borderId="8" xfId="0" applyNumberFormat="1" applyFont="1" applyBorder="1" applyAlignment="1">
      <alignment vertical="center" wrapText="1"/>
    </xf>
    <xf numFmtId="178" fontId="16" fillId="0" borderId="8" xfId="0" applyNumberFormat="1" applyFont="1" applyFill="1" applyBorder="1" applyAlignment="1">
      <alignment horizontal="center" vertical="center" wrapText="1"/>
    </xf>
    <xf numFmtId="178" fontId="0" fillId="6" borderId="8" xfId="0" applyNumberFormat="1" applyFill="1" applyBorder="1">
      <alignment vertical="center"/>
    </xf>
    <xf numFmtId="178" fontId="34" fillId="6" borderId="8" xfId="0" applyNumberFormat="1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left" vertical="center" wrapText="1"/>
    </xf>
    <xf numFmtId="178" fontId="37" fillId="6" borderId="8" xfId="0" applyNumberFormat="1" applyFont="1" applyFill="1" applyBorder="1" applyAlignment="1">
      <alignment horizontal="right" vertical="center" wrapText="1"/>
    </xf>
    <xf numFmtId="178" fontId="38" fillId="6" borderId="8" xfId="0" applyNumberFormat="1" applyFont="1" applyFill="1" applyBorder="1">
      <alignment vertical="center"/>
    </xf>
    <xf numFmtId="179" fontId="37" fillId="6" borderId="8" xfId="1" applyNumberFormat="1" applyFont="1" applyFill="1" applyBorder="1" applyAlignment="1">
      <alignment horizontal="right" vertical="center"/>
    </xf>
    <xf numFmtId="179" fontId="37" fillId="6" borderId="8" xfId="0" applyNumberFormat="1" applyFont="1" applyFill="1" applyBorder="1" applyAlignment="1">
      <alignment vertical="center" wrapText="1"/>
    </xf>
    <xf numFmtId="181" fontId="37" fillId="6" borderId="8" xfId="0" applyNumberFormat="1" applyFont="1" applyFill="1" applyBorder="1" applyAlignment="1">
      <alignment horizontal="center" vertical="center" wrapText="1"/>
    </xf>
    <xf numFmtId="0" fontId="35" fillId="6" borderId="8" xfId="0" applyFont="1" applyFill="1" applyBorder="1">
      <alignment vertical="center"/>
    </xf>
    <xf numFmtId="43" fontId="39" fillId="0" borderId="0" xfId="1" applyNumberFormat="1" applyFont="1" applyFill="1">
      <alignment vertical="center"/>
    </xf>
    <xf numFmtId="176" fontId="39" fillId="0" borderId="0" xfId="1" applyNumberFormat="1" applyFont="1" applyFill="1">
      <alignment vertical="center"/>
    </xf>
    <xf numFmtId="0" fontId="39" fillId="0" borderId="0" xfId="0" applyFont="1">
      <alignment vertical="center"/>
    </xf>
    <xf numFmtId="0" fontId="38" fillId="0" borderId="0" xfId="0" applyFont="1">
      <alignment vertical="center"/>
    </xf>
    <xf numFmtId="178" fontId="0" fillId="6" borderId="8" xfId="0" applyNumberFormat="1" applyFont="1" applyFill="1" applyBorder="1">
      <alignment vertical="center"/>
    </xf>
    <xf numFmtId="181" fontId="20" fillId="6" borderId="8" xfId="0" applyNumberFormat="1" applyFont="1" applyFill="1" applyBorder="1" applyAlignment="1">
      <alignment horizontal="center" vertical="center" wrapText="1"/>
    </xf>
    <xf numFmtId="179" fontId="40" fillId="6" borderId="8" xfId="1" applyNumberFormat="1" applyFont="1" applyFill="1" applyBorder="1" applyAlignment="1">
      <alignment horizontal="right" vertical="center"/>
    </xf>
    <xf numFmtId="179" fontId="40" fillId="6" borderId="8" xfId="1" applyNumberFormat="1" applyFont="1" applyFill="1" applyBorder="1" applyAlignment="1">
      <alignment vertical="center"/>
    </xf>
    <xf numFmtId="178" fontId="37" fillId="6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179" fontId="37" fillId="6" borderId="8" xfId="1" applyNumberFormat="1" applyFont="1" applyFill="1" applyBorder="1" applyAlignment="1">
      <alignment vertical="center"/>
    </xf>
    <xf numFmtId="0" fontId="36" fillId="6" borderId="8" xfId="0" applyFont="1" applyFill="1" applyBorder="1">
      <alignment vertical="center"/>
    </xf>
    <xf numFmtId="178" fontId="20" fillId="6" borderId="8" xfId="1" applyNumberFormat="1" applyFont="1" applyFill="1" applyBorder="1" applyAlignment="1">
      <alignment horizontal="center" vertical="center"/>
    </xf>
    <xf numFmtId="4" fontId="20" fillId="6" borderId="8" xfId="1" applyNumberFormat="1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left" vertical="center" wrapText="1" indent="2"/>
    </xf>
    <xf numFmtId="178" fontId="1" fillId="6" borderId="8" xfId="1" applyNumberFormat="1" applyFont="1" applyFill="1" applyBorder="1">
      <alignment vertical="center"/>
    </xf>
    <xf numFmtId="0" fontId="13" fillId="6" borderId="8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9" fontId="41" fillId="6" borderId="8" xfId="1" applyNumberFormat="1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22" fillId="0" borderId="0" xfId="0" applyFont="1" applyFill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178" fontId="27" fillId="0" borderId="8" xfId="1" applyNumberFormat="1" applyFont="1" applyFill="1" applyBorder="1" applyAlignment="1">
      <alignment horizontal="right" vertical="center"/>
    </xf>
    <xf numFmtId="178" fontId="27" fillId="0" borderId="8" xfId="0" applyNumberFormat="1" applyFont="1" applyBorder="1" applyAlignment="1">
      <alignment horizontal="right" vertical="center" wrapText="1"/>
    </xf>
    <xf numFmtId="178" fontId="20" fillId="0" borderId="8" xfId="0" applyNumberFormat="1" applyFont="1" applyBorder="1" applyAlignment="1">
      <alignment horizontal="right" vertical="center" wrapText="1"/>
    </xf>
    <xf numFmtId="178" fontId="20" fillId="0" borderId="8" xfId="1" applyNumberFormat="1" applyFont="1" applyFill="1" applyBorder="1" applyAlignment="1">
      <alignment vertical="center"/>
    </xf>
    <xf numFmtId="0" fontId="22" fillId="0" borderId="0" xfId="0" applyFont="1" applyBorder="1">
      <alignment vertical="center"/>
    </xf>
    <xf numFmtId="0" fontId="17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178" fontId="18" fillId="0" borderId="9" xfId="0" applyNumberFormat="1" applyFont="1" applyFill="1" applyBorder="1" applyAlignment="1">
      <alignment horizontal="right" vertical="center" wrapText="1"/>
    </xf>
    <xf numFmtId="178" fontId="19" fillId="0" borderId="9" xfId="0" applyNumberFormat="1" applyFont="1" applyFill="1" applyBorder="1" applyAlignment="1">
      <alignment vertical="center" wrapText="1"/>
    </xf>
    <xf numFmtId="0" fontId="9" fillId="0" borderId="9" xfId="0" applyFont="1" applyBorder="1">
      <alignment vertical="center"/>
    </xf>
    <xf numFmtId="0" fontId="21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78" fontId="37" fillId="6" borderId="8" xfId="1" applyNumberFormat="1" applyFont="1" applyFill="1" applyBorder="1" applyAlignment="1">
      <alignment horizontal="right" vertical="center"/>
    </xf>
    <xf numFmtId="178" fontId="1" fillId="6" borderId="8" xfId="0" applyNumberFormat="1" applyFont="1" applyFill="1" applyBorder="1">
      <alignment vertical="center"/>
    </xf>
    <xf numFmtId="178" fontId="22" fillId="6" borderId="8" xfId="0" applyNumberFormat="1" applyFont="1" applyFill="1" applyBorder="1">
      <alignment vertical="center"/>
    </xf>
    <xf numFmtId="178" fontId="19" fillId="6" borderId="8" xfId="0" applyNumberFormat="1" applyFont="1" applyFill="1" applyBorder="1" applyAlignment="1">
      <alignment horizontal="right" vertical="center" wrapText="1"/>
    </xf>
    <xf numFmtId="178" fontId="19" fillId="6" borderId="8" xfId="1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82" fontId="20" fillId="6" borderId="8" xfId="1" applyNumberFormat="1" applyFont="1" applyFill="1" applyBorder="1" applyAlignment="1">
      <alignment horizontal="right" vertical="center"/>
    </xf>
    <xf numFmtId="178" fontId="20" fillId="6" borderId="8" xfId="1" applyNumberFormat="1" applyFont="1" applyFill="1" applyBorder="1" applyAlignment="1">
      <alignment horizontal="right" vertical="center" wrapText="1"/>
    </xf>
    <xf numFmtId="179" fontId="19" fillId="0" borderId="8" xfId="0" applyNumberFormat="1" applyFont="1" applyBorder="1" applyAlignment="1">
      <alignment horizontal="right" vertical="center" wrapText="1"/>
    </xf>
    <xf numFmtId="49" fontId="2" fillId="8" borderId="12" xfId="0" applyNumberFormat="1" applyFont="1" applyFill="1" applyBorder="1" applyAlignment="1">
      <alignment horizontal="center" vertical="center"/>
    </xf>
    <xf numFmtId="178" fontId="20" fillId="8" borderId="8" xfId="1" applyNumberFormat="1" applyFont="1" applyFill="1" applyBorder="1" applyAlignment="1">
      <alignment horizontal="right" vertical="center"/>
    </xf>
    <xf numFmtId="182" fontId="20" fillId="8" borderId="8" xfId="1" applyNumberFormat="1" applyFont="1" applyFill="1" applyBorder="1" applyAlignment="1">
      <alignment horizontal="right" vertical="center"/>
    </xf>
    <xf numFmtId="178" fontId="20" fillId="8" borderId="8" xfId="0" applyNumberFormat="1" applyFont="1" applyFill="1" applyBorder="1" applyAlignment="1">
      <alignment horizontal="right" vertical="center" wrapText="1"/>
    </xf>
    <xf numFmtId="178" fontId="28" fillId="6" borderId="8" xfId="0" applyNumberFormat="1" applyFont="1" applyFill="1" applyBorder="1" applyAlignment="1">
      <alignment horizontal="center" vertical="center" wrapText="1"/>
    </xf>
    <xf numFmtId="0" fontId="54" fillId="6" borderId="8" xfId="0" applyFont="1" applyFill="1" applyBorder="1" applyAlignment="1">
      <alignment horizontal="left" vertical="center" wrapText="1"/>
    </xf>
    <xf numFmtId="43" fontId="0" fillId="9" borderId="0" xfId="1" applyNumberFormat="1" applyFont="1" applyFill="1">
      <alignment vertical="center"/>
    </xf>
    <xf numFmtId="176" fontId="0" fillId="9" borderId="0" xfId="1" applyNumberFormat="1" applyFont="1" applyFill="1">
      <alignment vertical="center"/>
    </xf>
    <xf numFmtId="0" fontId="0" fillId="9" borderId="0" xfId="0" applyFont="1" applyFill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57" fillId="0" borderId="0" xfId="3" applyFont="1" applyFill="1" applyAlignment="1">
      <alignment vertical="center"/>
    </xf>
    <xf numFmtId="0" fontId="59" fillId="0" borderId="0" xfId="3" applyFont="1" applyFill="1" applyAlignment="1">
      <alignment vertical="center"/>
    </xf>
    <xf numFmtId="0" fontId="13" fillId="0" borderId="13" xfId="3" applyNumberFormat="1" applyFont="1" applyFill="1" applyBorder="1" applyAlignment="1">
      <alignment horizontal="left" vertical="center"/>
    </xf>
    <xf numFmtId="0" fontId="13" fillId="0" borderId="13" xfId="3" applyNumberFormat="1" applyFont="1" applyFill="1" applyBorder="1" applyAlignment="1">
      <alignment horizontal="right" vertical="center"/>
    </xf>
    <xf numFmtId="0" fontId="13" fillId="0" borderId="13" xfId="3" applyFont="1" applyFill="1" applyBorder="1" applyAlignment="1">
      <alignment horizontal="right" vertical="center"/>
    </xf>
    <xf numFmtId="0" fontId="60" fillId="0" borderId="0" xfId="3" applyFont="1" applyFill="1" applyBorder="1" applyAlignment="1">
      <alignment vertical="center"/>
    </xf>
    <xf numFmtId="49" fontId="13" fillId="0" borderId="9" xfId="3" applyNumberFormat="1" applyFont="1" applyFill="1" applyBorder="1" applyAlignment="1">
      <alignment horizontal="center" vertical="center" wrapText="1"/>
    </xf>
    <xf numFmtId="49" fontId="13" fillId="0" borderId="15" xfId="3" applyNumberFormat="1" applyFont="1" applyFill="1" applyBorder="1" applyAlignment="1">
      <alignment horizontal="center" vertical="center" wrapText="1"/>
    </xf>
    <xf numFmtId="49" fontId="13" fillId="0" borderId="16" xfId="3" applyNumberFormat="1" applyFont="1" applyFill="1" applyBorder="1" applyAlignment="1">
      <alignment horizontal="center" vertical="center" wrapText="1"/>
    </xf>
    <xf numFmtId="49" fontId="61" fillId="0" borderId="0" xfId="3" applyNumberFormat="1" applyFont="1" applyFill="1" applyBorder="1" applyAlignment="1">
      <alignment vertical="center" wrapText="1"/>
    </xf>
    <xf numFmtId="49" fontId="63" fillId="0" borderId="0" xfId="3" applyNumberFormat="1" applyFont="1" applyFill="1" applyBorder="1" applyAlignment="1">
      <alignment horizontal="left" vertical="top" wrapText="1"/>
    </xf>
    <xf numFmtId="180" fontId="62" fillId="0" borderId="11" xfId="3" applyNumberFormat="1" applyFont="1" applyFill="1" applyBorder="1" applyAlignment="1">
      <alignment horizontal="right" vertical="top"/>
    </xf>
    <xf numFmtId="49" fontId="64" fillId="0" borderId="0" xfId="3" applyNumberFormat="1" applyFont="1" applyFill="1" applyBorder="1" applyAlignment="1">
      <alignment vertical="top" wrapText="1"/>
    </xf>
    <xf numFmtId="49" fontId="65" fillId="0" borderId="0" xfId="3" applyNumberFormat="1" applyFont="1" applyFill="1" applyBorder="1" applyAlignment="1">
      <alignment vertical="top" wrapText="1"/>
    </xf>
    <xf numFmtId="180" fontId="69" fillId="0" borderId="11" xfId="3" applyNumberFormat="1" applyFont="1" applyFill="1" applyBorder="1" applyAlignment="1">
      <alignment horizontal="left" vertical="top" wrapText="1"/>
    </xf>
    <xf numFmtId="49" fontId="62" fillId="0" borderId="0" xfId="3" applyNumberFormat="1" applyFont="1" applyFill="1" applyBorder="1" applyAlignment="1">
      <alignment vertical="top" wrapText="1"/>
    </xf>
    <xf numFmtId="49" fontId="73" fillId="0" borderId="0" xfId="3" applyNumberFormat="1" applyFont="1" applyFill="1" applyBorder="1" applyAlignment="1">
      <alignment vertical="top" wrapText="1"/>
    </xf>
    <xf numFmtId="180" fontId="62" fillId="0" borderId="15" xfId="3" applyNumberFormat="1" applyFont="1" applyFill="1" applyBorder="1" applyAlignment="1">
      <alignment horizontal="right" vertical="center"/>
    </xf>
    <xf numFmtId="49" fontId="65" fillId="0" borderId="0" xfId="3" applyNumberFormat="1" applyFont="1" applyFill="1" applyBorder="1" applyAlignment="1">
      <alignment vertical="center" wrapText="1"/>
    </xf>
    <xf numFmtId="49" fontId="77" fillId="0" borderId="0" xfId="3" applyNumberFormat="1" applyFont="1" applyFill="1" applyBorder="1" applyAlignment="1">
      <alignment vertical="center" wrapText="1"/>
    </xf>
    <xf numFmtId="180" fontId="77" fillId="0" borderId="0" xfId="3" applyNumberFormat="1" applyFont="1" applyFill="1" applyBorder="1" applyAlignment="1">
      <alignment horizontal="right" vertical="center" wrapText="1"/>
    </xf>
    <xf numFmtId="180" fontId="77" fillId="0" borderId="0" xfId="3" applyNumberFormat="1" applyFont="1" applyFill="1" applyBorder="1" applyAlignment="1">
      <alignment horizontal="right" vertical="center"/>
    </xf>
    <xf numFmtId="176" fontId="79" fillId="0" borderId="0" xfId="1" applyNumberFormat="1" applyFont="1" applyFill="1" applyBorder="1" applyAlignment="1">
      <alignment vertical="top" wrapText="1"/>
    </xf>
    <xf numFmtId="176" fontId="80" fillId="0" borderId="0" xfId="1" applyNumberFormat="1" applyFont="1" applyFill="1" applyBorder="1" applyAlignment="1">
      <alignment vertical="top" wrapText="1"/>
    </xf>
    <xf numFmtId="184" fontId="58" fillId="0" borderId="0" xfId="3" applyNumberFormat="1" applyFont="1" applyFill="1" applyAlignment="1">
      <alignment vertical="center"/>
    </xf>
    <xf numFmtId="184" fontId="57" fillId="0" borderId="0" xfId="3" applyNumberFormat="1" applyFont="1" applyFill="1" applyAlignment="1">
      <alignment vertical="center"/>
    </xf>
    <xf numFmtId="184" fontId="59" fillId="0" borderId="0" xfId="3" applyNumberFormat="1" applyFont="1" applyFill="1" applyAlignment="1">
      <alignment vertical="center"/>
    </xf>
    <xf numFmtId="184" fontId="60" fillId="0" borderId="0" xfId="3" applyNumberFormat="1" applyFont="1" applyFill="1" applyBorder="1" applyAlignment="1">
      <alignment vertical="center"/>
    </xf>
    <xf numFmtId="184" fontId="64" fillId="0" borderId="0" xfId="3" applyNumberFormat="1" applyFont="1" applyFill="1" applyBorder="1" applyAlignment="1">
      <alignment vertical="top" wrapText="1"/>
    </xf>
    <xf numFmtId="184" fontId="65" fillId="0" borderId="0" xfId="3" applyNumberFormat="1" applyFont="1" applyFill="1" applyBorder="1" applyAlignment="1">
      <alignment vertical="top" wrapText="1"/>
    </xf>
    <xf numFmtId="184" fontId="62" fillId="0" borderId="0" xfId="3" applyNumberFormat="1" applyFont="1" applyFill="1" applyBorder="1" applyAlignment="1">
      <alignment vertical="top" wrapText="1"/>
    </xf>
    <xf numFmtId="184" fontId="73" fillId="0" borderId="0" xfId="3" applyNumberFormat="1" applyFont="1" applyFill="1" applyBorder="1" applyAlignment="1">
      <alignment vertical="top" wrapText="1"/>
    </xf>
    <xf numFmtId="184" fontId="65" fillId="0" borderId="0" xfId="3" applyNumberFormat="1" applyFont="1" applyFill="1" applyBorder="1" applyAlignment="1">
      <alignment vertical="center" wrapText="1"/>
    </xf>
    <xf numFmtId="184" fontId="79" fillId="0" borderId="0" xfId="3" applyNumberFormat="1" applyFont="1" applyFill="1" applyBorder="1" applyAlignment="1">
      <alignment vertical="top" wrapText="1"/>
    </xf>
    <xf numFmtId="184" fontId="1" fillId="0" borderId="0" xfId="3" applyNumberFormat="1" applyFont="1" applyFill="1" applyAlignment="1">
      <alignment vertical="center"/>
    </xf>
    <xf numFmtId="184" fontId="1" fillId="0" borderId="0" xfId="3" applyNumberFormat="1" applyFont="1" applyFill="1" applyBorder="1" applyAlignment="1">
      <alignment vertical="center"/>
    </xf>
    <xf numFmtId="184" fontId="78" fillId="0" borderId="0" xfId="3" applyNumberFormat="1" applyFont="1" applyFill="1" applyBorder="1" applyAlignment="1">
      <alignment vertical="center" wrapText="1"/>
    </xf>
    <xf numFmtId="184" fontId="78" fillId="0" borderId="0" xfId="3" applyNumberFormat="1" applyFont="1" applyFill="1" applyBorder="1" applyAlignment="1">
      <alignment horizontal="left" vertical="top" wrapText="1"/>
    </xf>
    <xf numFmtId="184" fontId="80" fillId="0" borderId="0" xfId="3" applyNumberFormat="1" applyFont="1" applyFill="1" applyBorder="1" applyAlignment="1">
      <alignment vertical="top" wrapText="1"/>
    </xf>
    <xf numFmtId="184" fontId="81" fillId="0" borderId="0" xfId="3" applyNumberFormat="1" applyFont="1" applyFill="1" applyBorder="1" applyAlignment="1">
      <alignment vertical="top" wrapText="1"/>
    </xf>
    <xf numFmtId="184" fontId="80" fillId="0" borderId="0" xfId="3" applyNumberFormat="1" applyFont="1" applyFill="1" applyBorder="1" applyAlignment="1">
      <alignment vertical="center" wrapText="1"/>
    </xf>
    <xf numFmtId="43" fontId="80" fillId="0" borderId="0" xfId="3" applyNumberFormat="1" applyFont="1" applyFill="1" applyBorder="1" applyAlignment="1">
      <alignment vertical="top" wrapText="1"/>
    </xf>
    <xf numFmtId="184" fontId="82" fillId="0" borderId="0" xfId="3" applyNumberFormat="1" applyFont="1" applyFill="1" applyBorder="1" applyAlignment="1">
      <alignment vertical="top" wrapText="1"/>
    </xf>
    <xf numFmtId="176" fontId="64" fillId="0" borderId="0" xfId="1" applyNumberFormat="1" applyFont="1" applyFill="1" applyBorder="1" applyAlignment="1">
      <alignment vertical="top" wrapText="1"/>
    </xf>
    <xf numFmtId="180" fontId="66" fillId="0" borderId="11" xfId="3" applyNumberFormat="1" applyFont="1" applyFill="1" applyBorder="1" applyAlignment="1">
      <alignment horizontal="right" vertical="top"/>
    </xf>
    <xf numFmtId="184" fontId="61" fillId="0" borderId="0" xfId="3" applyNumberFormat="1" applyFont="1" applyFill="1" applyBorder="1" applyAlignment="1">
      <alignment vertical="center" wrapText="1"/>
    </xf>
    <xf numFmtId="184" fontId="63" fillId="0" borderId="0" xfId="3" applyNumberFormat="1" applyFont="1" applyFill="1" applyBorder="1" applyAlignment="1">
      <alignment horizontal="left" vertical="top" wrapText="1"/>
    </xf>
    <xf numFmtId="184" fontId="67" fillId="0" borderId="0" xfId="3" applyNumberFormat="1" applyFont="1" applyFill="1" applyBorder="1" applyAlignment="1">
      <alignment vertical="top" wrapText="1"/>
    </xf>
    <xf numFmtId="184" fontId="74" fillId="0" borderId="0" xfId="3" applyNumberFormat="1" applyFont="1" applyFill="1" applyBorder="1" applyAlignment="1">
      <alignment vertical="top" wrapText="1"/>
    </xf>
    <xf numFmtId="176" fontId="85" fillId="0" borderId="0" xfId="1" applyNumberFormat="1" applyFont="1" applyFill="1" applyBorder="1" applyAlignment="1">
      <alignment horizontal="left" vertical="top" wrapText="1"/>
    </xf>
    <xf numFmtId="176" fontId="86" fillId="0" borderId="0" xfId="1" applyNumberFormat="1" applyFont="1" applyFill="1" applyBorder="1" applyAlignment="1">
      <alignment vertical="top" wrapText="1"/>
    </xf>
    <xf numFmtId="176" fontId="86" fillId="0" borderId="0" xfId="1" applyNumberFormat="1" applyFont="1" applyFill="1" applyBorder="1" applyAlignment="1">
      <alignment vertical="top"/>
    </xf>
    <xf numFmtId="176" fontId="85" fillId="0" borderId="0" xfId="1" applyNumberFormat="1" applyFont="1" applyFill="1" applyBorder="1" applyAlignment="1">
      <alignment vertical="top" wrapText="1"/>
    </xf>
    <xf numFmtId="176" fontId="87" fillId="0" borderId="0" xfId="1" applyNumberFormat="1" applyFont="1" applyFill="1" applyBorder="1" applyAlignment="1">
      <alignment vertical="top" wrapText="1"/>
    </xf>
    <xf numFmtId="176" fontId="88" fillId="0" borderId="0" xfId="1" applyNumberFormat="1" applyFont="1" applyFill="1" applyBorder="1" applyAlignment="1">
      <alignment vertical="top" wrapText="1"/>
    </xf>
    <xf numFmtId="178" fontId="20" fillId="0" borderId="0" xfId="0" applyNumberFormat="1" applyFont="1" applyFill="1" applyBorder="1" applyAlignment="1">
      <alignment horizontal="right" vertical="center" wrapText="1"/>
    </xf>
    <xf numFmtId="180" fontId="75" fillId="0" borderId="15" xfId="3" applyNumberFormat="1" applyFont="1" applyFill="1" applyBorder="1" applyAlignment="1">
      <alignment horizontal="right" wrapText="1"/>
    </xf>
    <xf numFmtId="180" fontId="75" fillId="0" borderId="13" xfId="3" applyNumberFormat="1" applyFont="1" applyFill="1" applyBorder="1" applyAlignment="1">
      <alignment horizontal="right" wrapText="1"/>
    </xf>
    <xf numFmtId="0" fontId="56" fillId="0" borderId="0" xfId="3" applyFill="1" applyAlignment="1">
      <alignment vertical="center"/>
    </xf>
    <xf numFmtId="180" fontId="62" fillId="0" borderId="1" xfId="3" applyNumberFormat="1" applyFont="1" applyFill="1" applyBorder="1" applyAlignment="1">
      <alignment horizontal="right" vertical="center" wrapText="1"/>
    </xf>
    <xf numFmtId="180" fontId="62" fillId="0" borderId="3" xfId="3" applyNumberFormat="1" applyFont="1" applyFill="1" applyBorder="1" applyAlignment="1">
      <alignment horizontal="right" vertical="center" wrapText="1"/>
    </xf>
    <xf numFmtId="180" fontId="62" fillId="0" borderId="11" xfId="3" applyNumberFormat="1" applyFont="1" applyFill="1" applyBorder="1" applyAlignment="1">
      <alignment horizontal="right" vertical="center" wrapText="1"/>
    </xf>
    <xf numFmtId="180" fontId="62" fillId="0" borderId="0" xfId="3" applyNumberFormat="1" applyFont="1" applyFill="1" applyBorder="1" applyAlignment="1">
      <alignment horizontal="right" vertical="center" wrapText="1"/>
    </xf>
    <xf numFmtId="180" fontId="62" fillId="0" borderId="15" xfId="3" applyNumberFormat="1" applyFont="1" applyFill="1" applyBorder="1" applyAlignment="1">
      <alignment horizontal="right" vertical="center" wrapText="1"/>
    </xf>
    <xf numFmtId="180" fontId="62" fillId="0" borderId="13" xfId="3" applyNumberFormat="1" applyFont="1" applyFill="1" applyBorder="1" applyAlignment="1">
      <alignment horizontal="right" vertical="center" wrapText="1"/>
    </xf>
    <xf numFmtId="43" fontId="62" fillId="0" borderId="0" xfId="0" applyNumberFormat="1" applyFont="1" applyFill="1" applyBorder="1" applyAlignment="1">
      <alignment horizontal="right" vertical="center" wrapText="1"/>
    </xf>
    <xf numFmtId="176" fontId="62" fillId="0" borderId="18" xfId="3" applyNumberFormat="1" applyFont="1" applyFill="1" applyBorder="1" applyAlignment="1">
      <alignment horizontal="right" vertical="center" wrapText="1"/>
    </xf>
    <xf numFmtId="49" fontId="50" fillId="0" borderId="1" xfId="3" applyNumberFormat="1" applyFont="1" applyFill="1" applyBorder="1" applyAlignment="1">
      <alignment horizontal="right" vertical="center" wrapText="1"/>
    </xf>
    <xf numFmtId="176" fontId="62" fillId="0" borderId="20" xfId="3" applyNumberFormat="1" applyFont="1" applyFill="1" applyBorder="1" applyAlignment="1">
      <alignment horizontal="right" vertical="center" wrapText="1"/>
    </xf>
    <xf numFmtId="49" fontId="64" fillId="0" borderId="0" xfId="3" applyNumberFormat="1" applyFont="1" applyFill="1" applyBorder="1" applyAlignment="1">
      <alignment vertical="center" wrapText="1"/>
    </xf>
    <xf numFmtId="180" fontId="62" fillId="0" borderId="11" xfId="3" applyNumberFormat="1" applyFont="1" applyFill="1" applyBorder="1" applyAlignment="1">
      <alignment horizontal="right" vertical="center"/>
    </xf>
    <xf numFmtId="180" fontId="31" fillId="0" borderId="11" xfId="3" applyNumberFormat="1" applyFont="1" applyFill="1" applyBorder="1" applyAlignment="1">
      <alignment horizontal="left" vertical="center"/>
    </xf>
    <xf numFmtId="180" fontId="68" fillId="0" borderId="11" xfId="3" applyNumberFormat="1" applyFont="1" applyFill="1" applyBorder="1" applyAlignment="1">
      <alignment horizontal="left" vertical="center" wrapText="1"/>
    </xf>
    <xf numFmtId="176" fontId="62" fillId="0" borderId="16" xfId="3" applyNumberFormat="1" applyFont="1" applyFill="1" applyBorder="1" applyAlignment="1">
      <alignment horizontal="right" vertical="center" wrapText="1"/>
    </xf>
    <xf numFmtId="180" fontId="31" fillId="0" borderId="11" xfId="3" applyNumberFormat="1" applyFont="1" applyFill="1" applyBorder="1" applyAlignment="1">
      <alignment horizontal="right" vertical="center"/>
    </xf>
    <xf numFmtId="180" fontId="70" fillId="0" borderId="11" xfId="3" applyNumberFormat="1" applyFont="1" applyFill="1" applyBorder="1" applyAlignment="1">
      <alignment horizontal="left" vertical="center" wrapText="1"/>
    </xf>
    <xf numFmtId="180" fontId="68" fillId="0" borderId="11" xfId="3" applyNumberFormat="1" applyFont="1" applyFill="1" applyBorder="1" applyAlignment="1">
      <alignment horizontal="right" vertical="center"/>
    </xf>
    <xf numFmtId="180" fontId="69" fillId="0" borderId="11" xfId="3" applyNumberFormat="1" applyFont="1" applyFill="1" applyBorder="1" applyAlignment="1">
      <alignment horizontal="right" vertical="center"/>
    </xf>
    <xf numFmtId="180" fontId="72" fillId="0" borderId="11" xfId="3" applyNumberFormat="1" applyFont="1" applyFill="1" applyBorder="1" applyAlignment="1">
      <alignment horizontal="left" vertical="center" wrapText="1"/>
    </xf>
    <xf numFmtId="180" fontId="69" fillId="0" borderId="11" xfId="3" applyNumberFormat="1" applyFont="1" applyFill="1" applyBorder="1" applyAlignment="1">
      <alignment horizontal="left" vertical="center" wrapText="1"/>
    </xf>
    <xf numFmtId="43" fontId="62" fillId="0" borderId="16" xfId="3" applyNumberFormat="1" applyFont="1" applyFill="1" applyBorder="1" applyAlignment="1">
      <alignment horizontal="right" vertical="center" wrapText="1"/>
    </xf>
    <xf numFmtId="176" fontId="91" fillId="0" borderId="0" xfId="1" applyNumberFormat="1" applyFont="1" applyFill="1" applyBorder="1" applyAlignment="1">
      <alignment vertical="center" wrapText="1"/>
    </xf>
    <xf numFmtId="180" fontId="91" fillId="0" borderId="0" xfId="3" applyNumberFormat="1" applyFont="1" applyFill="1" applyBorder="1" applyAlignment="1">
      <alignment horizontal="right" vertical="center"/>
    </xf>
    <xf numFmtId="180" fontId="91" fillId="0" borderId="0" xfId="3" applyNumberFormat="1" applyFont="1" applyFill="1" applyBorder="1" applyAlignment="1">
      <alignment horizontal="right" vertical="center" wrapText="1"/>
    </xf>
    <xf numFmtId="3" fontId="91" fillId="0" borderId="0" xfId="1" applyNumberFormat="1" applyFont="1" applyFill="1" applyBorder="1" applyAlignment="1">
      <alignment vertical="center" wrapText="1"/>
    </xf>
    <xf numFmtId="49" fontId="89" fillId="0" borderId="10" xfId="3" applyNumberFormat="1" applyFont="1" applyFill="1" applyBorder="1" applyAlignment="1">
      <alignment horizontal="left" vertical="center"/>
    </xf>
    <xf numFmtId="0" fontId="89" fillId="0" borderId="10" xfId="3" applyNumberFormat="1" applyFont="1" applyFill="1" applyBorder="1" applyAlignment="1">
      <alignment horizontal="left" vertical="center"/>
    </xf>
    <xf numFmtId="0" fontId="65" fillId="0" borderId="0" xfId="3" applyNumberFormat="1" applyFont="1" applyFill="1" applyBorder="1" applyAlignment="1">
      <alignment vertical="top" wrapText="1"/>
    </xf>
    <xf numFmtId="0" fontId="64" fillId="0" borderId="0" xfId="3" applyNumberFormat="1" applyFont="1" applyFill="1" applyBorder="1" applyAlignment="1">
      <alignment vertical="top" wrapText="1"/>
    </xf>
    <xf numFmtId="0" fontId="89" fillId="0" borderId="14" xfId="3" applyNumberFormat="1" applyFont="1" applyFill="1" applyBorder="1" applyAlignment="1">
      <alignment horizontal="left" vertical="center"/>
    </xf>
    <xf numFmtId="0" fontId="62" fillId="0" borderId="0" xfId="3" applyNumberFormat="1" applyFont="1" applyFill="1" applyBorder="1" applyAlignment="1">
      <alignment vertical="top" wrapText="1"/>
    </xf>
    <xf numFmtId="0" fontId="73" fillId="0" borderId="0" xfId="3" applyNumberFormat="1" applyFont="1" applyFill="1" applyBorder="1" applyAlignment="1">
      <alignment vertical="top" wrapText="1"/>
    </xf>
    <xf numFmtId="0" fontId="65" fillId="0" borderId="0" xfId="3" applyNumberFormat="1" applyFont="1" applyFill="1" applyBorder="1" applyAlignment="1">
      <alignment vertical="center" wrapText="1"/>
    </xf>
    <xf numFmtId="0" fontId="60" fillId="0" borderId="0" xfId="3" applyNumberFormat="1" applyFont="1" applyFill="1" applyBorder="1" applyAlignment="1">
      <alignment vertical="center"/>
    </xf>
    <xf numFmtId="0" fontId="63" fillId="0" borderId="0" xfId="3" applyNumberFormat="1" applyFont="1" applyFill="1" applyBorder="1" applyAlignment="1">
      <alignment horizontal="left" vertical="top" wrapText="1"/>
    </xf>
    <xf numFmtId="49" fontId="76" fillId="0" borderId="0" xfId="3" applyNumberFormat="1" applyFont="1" applyFill="1" applyBorder="1" applyAlignment="1">
      <alignment vertical="top" wrapText="1"/>
    </xf>
    <xf numFmtId="0" fontId="65" fillId="0" borderId="13" xfId="3" applyNumberFormat="1" applyFont="1" applyFill="1" applyBorder="1" applyAlignment="1">
      <alignment vertical="top" wrapText="1"/>
    </xf>
    <xf numFmtId="180" fontId="62" fillId="0" borderId="17" xfId="3" applyNumberFormat="1" applyFont="1" applyFill="1" applyBorder="1" applyAlignment="1">
      <alignment horizontal="right" vertical="center" wrapText="1" indent="1"/>
    </xf>
    <xf numFmtId="180" fontId="62" fillId="0" borderId="19" xfId="3" applyNumberFormat="1" applyFont="1" applyFill="1" applyBorder="1" applyAlignment="1">
      <alignment horizontal="right" vertical="center" wrapText="1" indent="1"/>
    </xf>
    <xf numFmtId="43" fontId="62" fillId="0" borderId="0" xfId="3" applyNumberFormat="1" applyFont="1" applyFill="1" applyBorder="1" applyAlignment="1">
      <alignment horizontal="right" vertical="center" wrapText="1" indent="1"/>
    </xf>
    <xf numFmtId="180" fontId="62" fillId="0" borderId="21" xfId="3" applyNumberFormat="1" applyFont="1" applyFill="1" applyBorder="1" applyAlignment="1">
      <alignment horizontal="right" vertical="center" wrapText="1" indent="1"/>
    </xf>
    <xf numFmtId="180" fontId="75" fillId="0" borderId="21" xfId="3" applyNumberFormat="1" applyFont="1" applyFill="1" applyBorder="1" applyAlignment="1">
      <alignment horizontal="right" wrapText="1" indent="1"/>
    </xf>
    <xf numFmtId="49" fontId="67" fillId="0" borderId="0" xfId="3" applyNumberFormat="1" applyFont="1" applyFill="1" applyBorder="1" applyAlignment="1">
      <alignment vertical="center" wrapText="1"/>
    </xf>
    <xf numFmtId="0" fontId="67" fillId="0" borderId="0" xfId="3" applyNumberFormat="1" applyFont="1" applyFill="1" applyBorder="1" applyAlignment="1">
      <alignment vertical="center"/>
    </xf>
    <xf numFmtId="180" fontId="73" fillId="0" borderId="0" xfId="3" applyNumberFormat="1" applyFont="1" applyFill="1" applyBorder="1" applyAlignment="1">
      <alignment horizontal="right" vertical="center"/>
    </xf>
    <xf numFmtId="0" fontId="90" fillId="0" borderId="10" xfId="3" applyNumberFormat="1" applyFont="1" applyFill="1" applyBorder="1" applyAlignment="1">
      <alignment horizontal="left" vertical="center"/>
    </xf>
    <xf numFmtId="0" fontId="89" fillId="0" borderId="10" xfId="3" applyNumberFormat="1" applyFont="1" applyFill="1" applyBorder="1" applyAlignment="1">
      <alignment horizontal="left" vertical="top"/>
    </xf>
    <xf numFmtId="180" fontId="62" fillId="0" borderId="11" xfId="3" applyNumberFormat="1" applyFont="1" applyFill="1" applyBorder="1" applyAlignment="1">
      <alignment horizontal="right" vertical="top" wrapText="1"/>
    </xf>
    <xf numFmtId="180" fontId="3" fillId="0" borderId="11" xfId="3" applyNumberFormat="1" applyFont="1" applyFill="1" applyBorder="1" applyAlignment="1">
      <alignment horizontal="left" vertical="top" wrapText="1"/>
    </xf>
    <xf numFmtId="180" fontId="62" fillId="0" borderId="19" xfId="3" applyNumberFormat="1" applyFont="1" applyFill="1" applyBorder="1" applyAlignment="1">
      <alignment horizontal="right" vertical="top" wrapText="1" indent="1"/>
    </xf>
    <xf numFmtId="0" fontId="89" fillId="0" borderId="0" xfId="3" applyNumberFormat="1" applyFont="1" applyFill="1" applyBorder="1" applyAlignment="1">
      <alignment horizontal="left" vertical="center"/>
    </xf>
    <xf numFmtId="0" fontId="49" fillId="0" borderId="0" xfId="3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horizontal="center" vertical="center"/>
    </xf>
    <xf numFmtId="0" fontId="61" fillId="0" borderId="6" xfId="3" applyNumberFormat="1" applyFont="1" applyFill="1" applyBorder="1" applyAlignment="1">
      <alignment horizontal="center" vertical="center" wrapText="1"/>
    </xf>
    <xf numFmtId="0" fontId="61" fillId="0" borderId="7" xfId="3" applyNumberFormat="1" applyFont="1" applyFill="1" applyBorder="1" applyAlignment="1">
      <alignment horizontal="center" vertical="center" wrapText="1"/>
    </xf>
    <xf numFmtId="0" fontId="92" fillId="0" borderId="13" xfId="3" applyNumberFormat="1" applyFont="1" applyFill="1" applyBorder="1" applyAlignment="1">
      <alignment horizontal="center"/>
    </xf>
    <xf numFmtId="0" fontId="64" fillId="0" borderId="13" xfId="3" applyNumberFormat="1" applyFont="1" applyFill="1" applyBorder="1" applyAlignment="1">
      <alignment horizontal="center"/>
    </xf>
    <xf numFmtId="0" fontId="64" fillId="0" borderId="14" xfId="3" applyNumberFormat="1" applyFont="1" applyFill="1" applyBorder="1" applyAlignment="1">
      <alignment horizontal="center"/>
    </xf>
    <xf numFmtId="49" fontId="76" fillId="0" borderId="0" xfId="3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>
      <alignment horizontal="center" vertical="center" wrapText="1"/>
    </xf>
    <xf numFmtId="178" fontId="11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1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7" borderId="1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</cellXfs>
  <cellStyles count="6">
    <cellStyle name="一般" xfId="0" builtinId="0"/>
    <cellStyle name="一般 2" xfId="3"/>
    <cellStyle name="千分位" xfId="1" builtinId="3"/>
    <cellStyle name="千分位 2" xfId="2"/>
    <cellStyle name="好_109年度長期投資工作底稿(院修前)" xfId="4"/>
    <cellStyle name="壞_109年度長期投資工作底稿(院修前)" xfId="5"/>
  </cellStyles>
  <dxfs count="0"/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11</xdr:row>
      <xdr:rowOff>3810</xdr:rowOff>
    </xdr:from>
    <xdr:to>
      <xdr:col>20</xdr:col>
      <xdr:colOff>0</xdr:colOff>
      <xdr:row>12</xdr:row>
      <xdr:rowOff>472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1371540" y="3120390"/>
          <a:ext cx="0" cy="2786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  <xdr:twoCellAnchor>
    <xdr:from>
      <xdr:col>20</xdr:col>
      <xdr:colOff>0</xdr:colOff>
      <xdr:row>76</xdr:row>
      <xdr:rowOff>226695</xdr:rowOff>
    </xdr:from>
    <xdr:to>
      <xdr:col>20</xdr:col>
      <xdr:colOff>0</xdr:colOff>
      <xdr:row>77</xdr:row>
      <xdr:rowOff>263299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1371540" y="17767935"/>
          <a:ext cx="0" cy="2804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  <xdr:twoCellAnchor>
    <xdr:from>
      <xdr:col>20</xdr:col>
      <xdr:colOff>0</xdr:colOff>
      <xdr:row>158</xdr:row>
      <xdr:rowOff>2129</xdr:rowOff>
    </xdr:from>
    <xdr:to>
      <xdr:col>20</xdr:col>
      <xdr:colOff>0</xdr:colOff>
      <xdr:row>159</xdr:row>
      <xdr:rowOff>782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1371540" y="39199409"/>
          <a:ext cx="0" cy="28059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  <xdr:twoCellAnchor>
    <xdr:from>
      <xdr:col>20</xdr:col>
      <xdr:colOff>0</xdr:colOff>
      <xdr:row>44</xdr:row>
      <xdr:rowOff>3810</xdr:rowOff>
    </xdr:from>
    <xdr:to>
      <xdr:col>20</xdr:col>
      <xdr:colOff>0</xdr:colOff>
      <xdr:row>45</xdr:row>
      <xdr:rowOff>548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1371540" y="10123170"/>
          <a:ext cx="0" cy="2481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11</xdr:row>
      <xdr:rowOff>3810</xdr:rowOff>
    </xdr:from>
    <xdr:to>
      <xdr:col>21</xdr:col>
      <xdr:colOff>0</xdr:colOff>
      <xdr:row>12</xdr:row>
      <xdr:rowOff>472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1981140" y="3120390"/>
          <a:ext cx="0" cy="27860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  <xdr:twoCellAnchor>
    <xdr:from>
      <xdr:col>21</xdr:col>
      <xdr:colOff>0</xdr:colOff>
      <xdr:row>74</xdr:row>
      <xdr:rowOff>226695</xdr:rowOff>
    </xdr:from>
    <xdr:to>
      <xdr:col>21</xdr:col>
      <xdr:colOff>0</xdr:colOff>
      <xdr:row>75</xdr:row>
      <xdr:rowOff>263299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1981140" y="17767935"/>
          <a:ext cx="0" cy="2804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  <xdr:twoCellAnchor>
    <xdr:from>
      <xdr:col>21</xdr:col>
      <xdr:colOff>0</xdr:colOff>
      <xdr:row>84</xdr:row>
      <xdr:rowOff>230205</xdr:rowOff>
    </xdr:from>
    <xdr:to>
      <xdr:col>21</xdr:col>
      <xdr:colOff>0</xdr:colOff>
      <xdr:row>86</xdr:row>
      <xdr:rowOff>562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1981140" y="20316525"/>
          <a:ext cx="0" cy="29613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  <xdr:twoCellAnchor>
    <xdr:from>
      <xdr:col>21</xdr:col>
      <xdr:colOff>0</xdr:colOff>
      <xdr:row>154</xdr:row>
      <xdr:rowOff>2129</xdr:rowOff>
    </xdr:from>
    <xdr:to>
      <xdr:col>21</xdr:col>
      <xdr:colOff>0</xdr:colOff>
      <xdr:row>155</xdr:row>
      <xdr:rowOff>782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1981140" y="39199409"/>
          <a:ext cx="0" cy="28059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  <xdr:twoCellAnchor>
    <xdr:from>
      <xdr:col>21</xdr:col>
      <xdr:colOff>0</xdr:colOff>
      <xdr:row>42</xdr:row>
      <xdr:rowOff>3810</xdr:rowOff>
    </xdr:from>
    <xdr:to>
      <xdr:col>21</xdr:col>
      <xdr:colOff>0</xdr:colOff>
      <xdr:row>43</xdr:row>
      <xdr:rowOff>548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1981140" y="10123170"/>
          <a:ext cx="0" cy="2481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27432" rIns="27432" bIns="0" anchor="t"/>
        <a:lstStyle/>
        <a:p>
          <a:pPr algn="r" rtl="0"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showGridLines="0" tabSelected="1" view="pageBreakPreview" zoomScaleNormal="100" zoomScaleSheetLayoutView="100" workbookViewId="0">
      <selection activeCell="M5" sqref="M5"/>
    </sheetView>
  </sheetViews>
  <sheetFormatPr defaultColWidth="9" defaultRowHeight="30" customHeight="1"/>
  <cols>
    <col min="1" max="1" width="1.875" style="291" customWidth="1"/>
    <col min="2" max="2" width="2.625" style="291" customWidth="1"/>
    <col min="3" max="3" width="1.375" style="291" customWidth="1"/>
    <col min="4" max="4" width="27.375" style="217" customWidth="1"/>
    <col min="5" max="5" width="19" style="219" customWidth="1"/>
    <col min="6" max="6" width="18.125" style="220" customWidth="1"/>
    <col min="7" max="7" width="19.125" style="218" customWidth="1"/>
    <col min="8" max="8" width="15.5" style="219" customWidth="1"/>
    <col min="9" max="9" width="12.5" style="220" customWidth="1"/>
    <col min="10" max="11" width="11" style="231" customWidth="1"/>
    <col min="12" max="12" width="21" style="231" customWidth="1"/>
    <col min="13" max="13" width="23.125" style="239" customWidth="1"/>
    <col min="14" max="14" width="19.125" style="239" customWidth="1"/>
    <col min="15" max="15" width="14.75" style="239" customWidth="1"/>
    <col min="16" max="16" width="18.25" style="217" customWidth="1"/>
    <col min="17" max="17" width="13.625" style="217" customWidth="1"/>
    <col min="18" max="18" width="17.5" style="217" bestFit="1" customWidth="1"/>
    <col min="19" max="16384" width="9" style="217"/>
  </cols>
  <sheetData>
    <row r="1" spans="1:21" s="199" customFormat="1" ht="21.4" customHeight="1">
      <c r="A1" s="310" t="s">
        <v>444</v>
      </c>
      <c r="B1" s="310"/>
      <c r="C1" s="310"/>
      <c r="D1" s="310"/>
      <c r="E1" s="310"/>
      <c r="F1" s="310"/>
      <c r="G1" s="310"/>
      <c r="H1" s="310"/>
      <c r="I1" s="310"/>
      <c r="K1" s="257"/>
      <c r="L1" s="257"/>
      <c r="M1" s="224"/>
      <c r="N1" s="224"/>
      <c r="O1" s="224"/>
      <c r="P1" s="223"/>
      <c r="Q1" s="224"/>
      <c r="R1" s="224"/>
      <c r="S1" s="233"/>
      <c r="T1" s="233"/>
      <c r="U1" s="233"/>
    </row>
    <row r="2" spans="1:21" s="200" customFormat="1" ht="24.75">
      <c r="A2" s="311" t="s">
        <v>452</v>
      </c>
      <c r="B2" s="311"/>
      <c r="C2" s="311"/>
      <c r="D2" s="311"/>
      <c r="E2" s="311"/>
      <c r="F2" s="311"/>
      <c r="G2" s="311"/>
      <c r="H2" s="311"/>
      <c r="I2" s="311"/>
      <c r="K2" s="257"/>
      <c r="L2" s="257"/>
      <c r="M2" s="225"/>
      <c r="N2" s="225"/>
      <c r="O2" s="225"/>
      <c r="P2" s="223"/>
      <c r="Q2" s="225"/>
      <c r="R2" s="225"/>
      <c r="S2" s="233"/>
      <c r="T2" s="233"/>
      <c r="U2" s="233"/>
    </row>
    <row r="3" spans="1:21" s="204" customFormat="1" ht="24" customHeight="1">
      <c r="A3" s="292"/>
      <c r="B3" s="292"/>
      <c r="C3" s="292"/>
      <c r="E3" s="201"/>
      <c r="F3" s="202" t="s">
        <v>453</v>
      </c>
      <c r="G3" s="202"/>
      <c r="H3" s="202"/>
      <c r="I3" s="203" t="s">
        <v>445</v>
      </c>
      <c r="J3" s="226"/>
      <c r="K3" s="226"/>
      <c r="L3" s="226"/>
      <c r="M3" s="234"/>
      <c r="N3" s="234"/>
      <c r="O3" s="234"/>
    </row>
    <row r="4" spans="1:21" s="208" customFormat="1" ht="34.9" customHeight="1">
      <c r="A4" s="312" t="s">
        <v>441</v>
      </c>
      <c r="B4" s="312"/>
      <c r="C4" s="312"/>
      <c r="D4" s="313"/>
      <c r="E4" s="205" t="s">
        <v>446</v>
      </c>
      <c r="F4" s="205" t="s">
        <v>13</v>
      </c>
      <c r="G4" s="206" t="s">
        <v>447</v>
      </c>
      <c r="H4" s="207" t="s">
        <v>448</v>
      </c>
      <c r="I4" s="206" t="s">
        <v>440</v>
      </c>
      <c r="J4" s="244"/>
      <c r="K4" s="244"/>
      <c r="L4" s="235"/>
      <c r="M4" s="235"/>
      <c r="N4" s="235"/>
      <c r="O4" s="235"/>
    </row>
    <row r="5" spans="1:21" s="209" customFormat="1" ht="26.45" customHeight="1">
      <c r="A5" s="285" t="s">
        <v>449</v>
      </c>
      <c r="B5" s="293"/>
      <c r="C5" s="293"/>
      <c r="E5" s="258">
        <v>2905820035663</v>
      </c>
      <c r="F5" s="259">
        <v>4352346960312.9951</v>
      </c>
      <c r="G5" s="296">
        <v>7258166995975.9951</v>
      </c>
      <c r="H5" s="265"/>
      <c r="I5" s="266"/>
      <c r="J5" s="245"/>
      <c r="K5" s="227"/>
      <c r="L5" s="248"/>
      <c r="M5" s="248"/>
      <c r="N5" s="248"/>
      <c r="O5" s="236"/>
    </row>
    <row r="6" spans="1:21" s="211" customFormat="1" ht="26.45" customHeight="1">
      <c r="A6" s="287"/>
      <c r="B6" s="285" t="s">
        <v>509</v>
      </c>
      <c r="E6" s="260">
        <v>1275421026004</v>
      </c>
      <c r="F6" s="261">
        <v>2456389341884</v>
      </c>
      <c r="G6" s="297">
        <v>3731810367888</v>
      </c>
      <c r="H6" s="267"/>
      <c r="I6" s="268"/>
      <c r="J6" s="243"/>
      <c r="K6" s="227"/>
      <c r="L6" s="249"/>
      <c r="M6" s="250"/>
      <c r="N6" s="249"/>
      <c r="O6" s="232"/>
    </row>
    <row r="7" spans="1:21" s="211" customFormat="1" ht="26.45" customHeight="1">
      <c r="A7" s="287"/>
      <c r="B7" s="287"/>
      <c r="C7" s="285" t="s">
        <v>455</v>
      </c>
      <c r="E7" s="260">
        <v>80000000000</v>
      </c>
      <c r="F7" s="261">
        <v>1078855189710</v>
      </c>
      <c r="G7" s="297">
        <v>1158855189710</v>
      </c>
      <c r="H7" s="267"/>
      <c r="I7" s="269"/>
      <c r="J7" s="227"/>
      <c r="K7" s="227"/>
      <c r="L7" s="249"/>
      <c r="M7" s="250"/>
      <c r="N7" s="251"/>
      <c r="O7" s="241"/>
    </row>
    <row r="8" spans="1:21" s="212" customFormat="1" ht="26.45" customHeight="1">
      <c r="A8" s="286"/>
      <c r="B8" s="286"/>
      <c r="C8" s="286"/>
      <c r="D8" s="284" t="s">
        <v>459</v>
      </c>
      <c r="E8" s="260">
        <v>80000000000</v>
      </c>
      <c r="F8" s="261">
        <v>1078855189710</v>
      </c>
      <c r="G8" s="297">
        <v>1158855189710</v>
      </c>
      <c r="H8" s="267"/>
      <c r="I8" s="269"/>
      <c r="J8" s="228"/>
      <c r="K8" s="228"/>
      <c r="L8" s="249"/>
      <c r="M8" s="251"/>
      <c r="N8" s="251"/>
      <c r="O8" s="241"/>
      <c r="P8" s="251"/>
      <c r="Q8" s="251"/>
      <c r="R8" s="251"/>
    </row>
    <row r="9" spans="1:21" s="211" customFormat="1" ht="26.45" customHeight="1">
      <c r="A9" s="287"/>
      <c r="B9" s="287"/>
      <c r="C9" s="285" t="s">
        <v>185</v>
      </c>
      <c r="E9" s="260">
        <v>193464074730</v>
      </c>
      <c r="F9" s="261">
        <v>458198337539</v>
      </c>
      <c r="G9" s="297">
        <v>651662412269</v>
      </c>
      <c r="H9" s="267"/>
      <c r="I9" s="269"/>
      <c r="J9" s="227"/>
      <c r="K9" s="227"/>
      <c r="L9" s="249"/>
      <c r="M9" s="249"/>
      <c r="N9" s="252"/>
    </row>
    <row r="10" spans="1:21" s="212" customFormat="1" ht="26.45" customHeight="1">
      <c r="A10" s="286"/>
      <c r="B10" s="286"/>
      <c r="C10" s="286"/>
      <c r="D10" s="284" t="s">
        <v>43</v>
      </c>
      <c r="E10" s="260">
        <v>90000000000</v>
      </c>
      <c r="F10" s="261">
        <v>286364192891</v>
      </c>
      <c r="G10" s="297">
        <v>376364192891</v>
      </c>
      <c r="H10" s="267">
        <v>10312500000</v>
      </c>
      <c r="I10" s="269"/>
      <c r="J10" s="246"/>
      <c r="K10" s="246"/>
      <c r="L10" s="251"/>
      <c r="M10" s="251"/>
      <c r="N10" s="253"/>
    </row>
    <row r="11" spans="1:21" s="212" customFormat="1" ht="26.45" customHeight="1">
      <c r="A11" s="286"/>
      <c r="B11" s="286"/>
      <c r="C11" s="286"/>
      <c r="D11" s="284" t="s">
        <v>460</v>
      </c>
      <c r="E11" s="260">
        <v>58949075000</v>
      </c>
      <c r="F11" s="261">
        <v>116399981035</v>
      </c>
      <c r="G11" s="297">
        <v>175349056035</v>
      </c>
      <c r="H11" s="267">
        <v>7320000000</v>
      </c>
      <c r="I11" s="269"/>
      <c r="J11" s="228"/>
      <c r="K11" s="228"/>
      <c r="L11" s="251"/>
      <c r="M11" s="251"/>
      <c r="N11" s="251"/>
      <c r="O11" s="237"/>
    </row>
    <row r="12" spans="1:21" s="212" customFormat="1" ht="26.45" customHeight="1">
      <c r="A12" s="286"/>
      <c r="B12" s="286"/>
      <c r="C12" s="286"/>
      <c r="D12" s="284" t="s">
        <v>47</v>
      </c>
      <c r="E12" s="260">
        <v>660000000</v>
      </c>
      <c r="F12" s="261">
        <v>377286576</v>
      </c>
      <c r="G12" s="297">
        <v>1037286576</v>
      </c>
      <c r="H12" s="267"/>
      <c r="I12" s="269"/>
      <c r="J12" s="228"/>
      <c r="K12" s="228"/>
      <c r="L12" s="251"/>
      <c r="M12" s="251"/>
      <c r="N12" s="251"/>
      <c r="O12" s="237"/>
    </row>
    <row r="13" spans="1:21" s="212" customFormat="1" ht="26.45" customHeight="1">
      <c r="A13" s="286"/>
      <c r="B13" s="286"/>
      <c r="C13" s="286"/>
      <c r="D13" s="284" t="s">
        <v>49</v>
      </c>
      <c r="E13" s="260">
        <v>43854999730</v>
      </c>
      <c r="F13" s="261">
        <v>55056877037</v>
      </c>
      <c r="G13" s="297">
        <v>98911876767</v>
      </c>
      <c r="H13" s="267">
        <v>4385499973</v>
      </c>
      <c r="I13" s="269"/>
      <c r="J13" s="246"/>
      <c r="K13" s="246"/>
      <c r="L13" s="222"/>
      <c r="M13" s="237"/>
      <c r="N13" s="237"/>
      <c r="O13" s="237"/>
    </row>
    <row r="14" spans="1:21" s="211" customFormat="1" ht="26.45" customHeight="1">
      <c r="A14" s="287"/>
      <c r="B14" s="287"/>
      <c r="C14" s="285" t="s">
        <v>216</v>
      </c>
      <c r="E14" s="260">
        <v>613706602718</v>
      </c>
      <c r="F14" s="261">
        <v>521025570608</v>
      </c>
      <c r="G14" s="297">
        <v>1134732173326</v>
      </c>
      <c r="H14" s="267"/>
      <c r="I14" s="269"/>
      <c r="J14" s="227"/>
      <c r="K14" s="227"/>
      <c r="L14" s="227"/>
      <c r="M14" s="221"/>
      <c r="N14" s="232"/>
      <c r="O14" s="232"/>
    </row>
    <row r="15" spans="1:21" s="212" customFormat="1" ht="26.45" customHeight="1">
      <c r="A15" s="286"/>
      <c r="B15" s="286"/>
      <c r="C15" s="286"/>
      <c r="D15" s="284" t="s">
        <v>461</v>
      </c>
      <c r="E15" s="260">
        <v>47028862170</v>
      </c>
      <c r="F15" s="261">
        <v>336170954369</v>
      </c>
      <c r="G15" s="297">
        <v>383199816539</v>
      </c>
      <c r="H15" s="267">
        <v>4702886217</v>
      </c>
      <c r="I15" s="269"/>
      <c r="J15" s="246"/>
      <c r="K15" s="246"/>
      <c r="L15" s="228"/>
      <c r="M15" s="222"/>
      <c r="N15" s="237"/>
      <c r="O15" s="237"/>
    </row>
    <row r="16" spans="1:21" s="212" customFormat="1" ht="26.45" customHeight="1">
      <c r="A16" s="286"/>
      <c r="B16" s="286"/>
      <c r="C16" s="286"/>
      <c r="D16" s="284" t="s">
        <v>462</v>
      </c>
      <c r="E16" s="260">
        <v>130100000000</v>
      </c>
      <c r="F16" s="261">
        <v>151204063134</v>
      </c>
      <c r="G16" s="297">
        <v>281304063134</v>
      </c>
      <c r="H16" s="267">
        <v>13010000000</v>
      </c>
      <c r="I16" s="269"/>
      <c r="J16" s="246"/>
      <c r="K16" s="246"/>
      <c r="L16" s="228"/>
      <c r="M16" s="222"/>
      <c r="N16" s="237"/>
      <c r="O16" s="237"/>
    </row>
    <row r="17" spans="1:15" s="212" customFormat="1" ht="26.45" customHeight="1">
      <c r="A17" s="286"/>
      <c r="B17" s="286"/>
      <c r="C17" s="286"/>
      <c r="D17" s="284" t="s">
        <v>463</v>
      </c>
      <c r="E17" s="260">
        <v>310325665070</v>
      </c>
      <c r="F17" s="261">
        <v>-3552437640</v>
      </c>
      <c r="G17" s="297">
        <v>306773227430</v>
      </c>
      <c r="H17" s="267">
        <v>31032566507</v>
      </c>
      <c r="I17" s="269"/>
      <c r="J17" s="246"/>
      <c r="K17" s="246"/>
      <c r="L17" s="228"/>
      <c r="M17" s="222"/>
      <c r="N17" s="237"/>
      <c r="O17" s="237"/>
    </row>
    <row r="18" spans="1:15" s="212" customFormat="1" ht="26.45" customHeight="1">
      <c r="A18" s="286"/>
      <c r="B18" s="286"/>
      <c r="C18" s="286"/>
      <c r="D18" s="284" t="s">
        <v>458</v>
      </c>
      <c r="E18" s="260">
        <v>123905152478</v>
      </c>
      <c r="F18" s="261">
        <v>39549913745</v>
      </c>
      <c r="G18" s="297">
        <v>163455066223</v>
      </c>
      <c r="H18" s="267">
        <v>123905152</v>
      </c>
      <c r="I18" s="269"/>
      <c r="J18" s="246"/>
      <c r="K18" s="246"/>
      <c r="L18" s="228"/>
      <c r="M18" s="254"/>
      <c r="N18" s="237"/>
      <c r="O18" s="237"/>
    </row>
    <row r="19" spans="1:15" s="212" customFormat="1" ht="26.45" customHeight="1">
      <c r="A19" s="286"/>
      <c r="B19" s="286"/>
      <c r="C19" s="286"/>
      <c r="D19" s="284" t="s">
        <v>464</v>
      </c>
      <c r="E19" s="260">
        <v>2346923000</v>
      </c>
      <c r="F19" s="261">
        <v>-2346923000</v>
      </c>
      <c r="G19" s="298">
        <v>0</v>
      </c>
      <c r="H19" s="267">
        <v>234692300</v>
      </c>
      <c r="I19" s="270" t="s">
        <v>450</v>
      </c>
      <c r="J19" s="228"/>
      <c r="K19" s="228"/>
      <c r="L19" s="228"/>
      <c r="M19" s="254"/>
      <c r="N19" s="237"/>
      <c r="O19" s="237"/>
    </row>
    <row r="20" spans="1:15" s="211" customFormat="1" ht="26.45" customHeight="1">
      <c r="A20" s="287"/>
      <c r="B20" s="287"/>
      <c r="C20" s="285" t="s">
        <v>223</v>
      </c>
      <c r="E20" s="260">
        <v>379648533986</v>
      </c>
      <c r="F20" s="261">
        <v>401246806841</v>
      </c>
      <c r="G20" s="297">
        <v>780895340827</v>
      </c>
      <c r="H20" s="267"/>
      <c r="I20" s="269"/>
      <c r="J20" s="227"/>
      <c r="K20" s="227"/>
      <c r="L20" s="227"/>
      <c r="M20" s="254"/>
      <c r="N20" s="232"/>
      <c r="O20" s="232"/>
    </row>
    <row r="21" spans="1:15" s="212" customFormat="1" ht="26.45" customHeight="1">
      <c r="A21" s="286"/>
      <c r="B21" s="286"/>
      <c r="C21" s="286"/>
      <c r="D21" s="284" t="s">
        <v>70</v>
      </c>
      <c r="E21" s="260">
        <v>72082000000</v>
      </c>
      <c r="F21" s="261">
        <v>140892934671</v>
      </c>
      <c r="G21" s="297">
        <v>212974934671</v>
      </c>
      <c r="H21" s="267">
        <v>7352200000</v>
      </c>
      <c r="I21" s="269"/>
      <c r="J21" s="246"/>
      <c r="K21" s="246"/>
      <c r="L21" s="228"/>
      <c r="M21" s="254"/>
      <c r="N21" s="237"/>
      <c r="O21" s="237"/>
    </row>
    <row r="22" spans="1:15" s="212" customFormat="1" ht="26.45" customHeight="1">
      <c r="A22" s="286"/>
      <c r="B22" s="286"/>
      <c r="C22" s="286"/>
      <c r="D22" s="284" t="s">
        <v>465</v>
      </c>
      <c r="E22" s="260">
        <v>207968278988</v>
      </c>
      <c r="F22" s="261">
        <v>216778113486</v>
      </c>
      <c r="G22" s="297">
        <v>424746392474</v>
      </c>
      <c r="H22" s="267"/>
      <c r="I22" s="269"/>
      <c r="J22" s="246"/>
      <c r="K22" s="246"/>
      <c r="L22" s="228"/>
      <c r="M22" s="240"/>
      <c r="N22" s="237"/>
      <c r="O22" s="237"/>
    </row>
    <row r="23" spans="1:15" s="212" customFormat="1" ht="26.45" customHeight="1">
      <c r="A23" s="286"/>
      <c r="B23" s="286"/>
      <c r="C23" s="286"/>
      <c r="D23" s="285" t="s">
        <v>466</v>
      </c>
      <c r="E23" s="260">
        <v>65000000000</v>
      </c>
      <c r="F23" s="261">
        <v>37626721240</v>
      </c>
      <c r="G23" s="297">
        <v>102626721240</v>
      </c>
      <c r="H23" s="267">
        <v>6500000000</v>
      </c>
      <c r="I23" s="269"/>
      <c r="J23" s="246"/>
      <c r="K23" s="246"/>
      <c r="L23" s="228"/>
      <c r="M23" s="222"/>
      <c r="N23" s="237"/>
      <c r="O23" s="237"/>
    </row>
    <row r="24" spans="1:15" s="212" customFormat="1" ht="26.45" customHeight="1">
      <c r="A24" s="286"/>
      <c r="B24" s="286"/>
      <c r="C24" s="286"/>
      <c r="D24" s="285" t="s">
        <v>78</v>
      </c>
      <c r="E24" s="260">
        <v>24832463440</v>
      </c>
      <c r="F24" s="261">
        <v>15356780424</v>
      </c>
      <c r="G24" s="297">
        <v>40189243864</v>
      </c>
      <c r="H24" s="267">
        <v>2483246344</v>
      </c>
      <c r="I24" s="269"/>
      <c r="J24" s="246"/>
      <c r="K24" s="246"/>
      <c r="L24" s="228"/>
      <c r="M24" s="237"/>
      <c r="N24" s="237"/>
      <c r="O24" s="237"/>
    </row>
    <row r="25" spans="1:15" s="212" customFormat="1" ht="26.45" customHeight="1">
      <c r="A25" s="286"/>
      <c r="B25" s="286"/>
      <c r="C25" s="286"/>
      <c r="D25" s="285" t="s">
        <v>80</v>
      </c>
      <c r="E25" s="260">
        <v>9765791558</v>
      </c>
      <c r="F25" s="261">
        <v>-9407742980</v>
      </c>
      <c r="G25" s="297">
        <v>358048578</v>
      </c>
      <c r="H25" s="267">
        <v>1033230000</v>
      </c>
      <c r="I25" s="270" t="s">
        <v>450</v>
      </c>
      <c r="J25" s="228"/>
      <c r="K25" s="228"/>
      <c r="L25" s="228"/>
      <c r="M25" s="237"/>
      <c r="N25" s="237"/>
      <c r="O25" s="237"/>
    </row>
    <row r="26" spans="1:15" s="211" customFormat="1" ht="26.45" customHeight="1">
      <c r="A26" s="287"/>
      <c r="B26" s="287"/>
      <c r="C26" s="285" t="s">
        <v>467</v>
      </c>
      <c r="D26" s="287"/>
      <c r="E26" s="260">
        <v>5095275200</v>
      </c>
      <c r="F26" s="261">
        <v>569976556</v>
      </c>
      <c r="G26" s="297">
        <v>5665251756</v>
      </c>
      <c r="H26" s="267"/>
      <c r="I26" s="269"/>
      <c r="J26" s="227"/>
      <c r="K26" s="227"/>
      <c r="L26" s="227"/>
      <c r="M26" s="232"/>
      <c r="N26" s="232"/>
      <c r="O26" s="232"/>
    </row>
    <row r="27" spans="1:15" s="212" customFormat="1" ht="26.45" customHeight="1">
      <c r="A27" s="286"/>
      <c r="B27" s="286"/>
      <c r="C27" s="286"/>
      <c r="D27" s="285" t="s">
        <v>88</v>
      </c>
      <c r="E27" s="260">
        <v>5095275200</v>
      </c>
      <c r="F27" s="261">
        <v>569976556</v>
      </c>
      <c r="G27" s="297">
        <v>5665251756</v>
      </c>
      <c r="H27" s="267">
        <v>509526900</v>
      </c>
      <c r="I27" s="271"/>
      <c r="J27" s="228"/>
      <c r="K27" s="228"/>
      <c r="L27" s="228"/>
      <c r="M27" s="237"/>
      <c r="N27" s="237"/>
      <c r="O27" s="237"/>
    </row>
    <row r="28" spans="1:15" s="211" customFormat="1" ht="26.45" customHeight="1">
      <c r="A28" s="287"/>
      <c r="B28" s="287"/>
      <c r="C28" s="285" t="s">
        <v>272</v>
      </c>
      <c r="D28" s="287"/>
      <c r="E28" s="260">
        <v>3506539370</v>
      </c>
      <c r="F28" s="261">
        <v>-3506539370</v>
      </c>
      <c r="G28" s="298">
        <v>0</v>
      </c>
      <c r="H28" s="267"/>
      <c r="I28" s="269"/>
      <c r="J28" s="227"/>
      <c r="K28" s="227"/>
      <c r="L28" s="227"/>
      <c r="M28" s="232"/>
      <c r="N28" s="232"/>
      <c r="O28" s="232"/>
    </row>
    <row r="29" spans="1:15" s="212" customFormat="1" ht="26.45" customHeight="1">
      <c r="A29" s="286"/>
      <c r="B29" s="286"/>
      <c r="C29" s="286"/>
      <c r="D29" s="285" t="s">
        <v>92</v>
      </c>
      <c r="E29" s="260">
        <v>3506539370</v>
      </c>
      <c r="F29" s="261">
        <v>-3506539370</v>
      </c>
      <c r="G29" s="298">
        <v>0</v>
      </c>
      <c r="H29" s="267">
        <v>350653937</v>
      </c>
      <c r="I29" s="270" t="s">
        <v>450</v>
      </c>
      <c r="J29" s="228"/>
      <c r="K29" s="228"/>
      <c r="L29" s="228"/>
      <c r="M29" s="237"/>
      <c r="N29" s="237"/>
      <c r="O29" s="237"/>
    </row>
    <row r="30" spans="1:15" s="211" customFormat="1" ht="26.45" customHeight="1">
      <c r="A30" s="287"/>
      <c r="B30" s="285" t="s">
        <v>468</v>
      </c>
      <c r="C30" s="287"/>
      <c r="D30" s="287"/>
      <c r="E30" s="260">
        <v>1531424531670</v>
      </c>
      <c r="F30" s="261">
        <v>1616167976794.9951</v>
      </c>
      <c r="G30" s="297">
        <v>3147592508464.9951</v>
      </c>
      <c r="H30" s="267"/>
      <c r="I30" s="268"/>
      <c r="J30" s="213"/>
      <c r="K30" s="242"/>
      <c r="L30" s="227"/>
      <c r="M30" s="232"/>
      <c r="N30" s="232"/>
      <c r="O30" s="232"/>
    </row>
    <row r="31" spans="1:15" s="211" customFormat="1" ht="26.45" customHeight="1">
      <c r="A31" s="287"/>
      <c r="B31" s="287"/>
      <c r="C31" s="285" t="s">
        <v>455</v>
      </c>
      <c r="D31" s="287"/>
      <c r="E31" s="260">
        <v>99834356726</v>
      </c>
      <c r="F31" s="261">
        <v>1031824390839</v>
      </c>
      <c r="G31" s="297">
        <v>1131658747565</v>
      </c>
      <c r="H31" s="267"/>
      <c r="I31" s="269"/>
      <c r="J31" s="227"/>
      <c r="K31" s="227"/>
      <c r="L31" s="227"/>
      <c r="M31" s="232"/>
      <c r="N31" s="232"/>
      <c r="O31" s="232"/>
    </row>
    <row r="32" spans="1:15" s="212" customFormat="1" ht="26.45" customHeight="1">
      <c r="A32" s="286"/>
      <c r="B32" s="286"/>
      <c r="C32" s="286"/>
      <c r="D32" s="285" t="s">
        <v>163</v>
      </c>
      <c r="E32" s="260">
        <v>88983924367</v>
      </c>
      <c r="F32" s="261">
        <v>1031613063928</v>
      </c>
      <c r="G32" s="297">
        <v>1120596988295</v>
      </c>
      <c r="H32" s="267"/>
      <c r="I32" s="269"/>
      <c r="J32" s="228"/>
      <c r="K32" s="228"/>
      <c r="L32" s="228"/>
      <c r="M32" s="237"/>
      <c r="N32" s="237"/>
      <c r="O32" s="237"/>
    </row>
    <row r="33" spans="1:15" s="212" customFormat="1" ht="26.45" customHeight="1">
      <c r="A33" s="286"/>
      <c r="B33" s="286"/>
      <c r="C33" s="286"/>
      <c r="D33" s="285" t="s">
        <v>166</v>
      </c>
      <c r="E33" s="260">
        <v>844783757</v>
      </c>
      <c r="F33" s="261">
        <v>1317172367</v>
      </c>
      <c r="G33" s="297">
        <v>2161956124</v>
      </c>
      <c r="H33" s="267"/>
      <c r="I33" s="269"/>
      <c r="J33" s="228"/>
      <c r="K33" s="228"/>
      <c r="L33" s="228"/>
      <c r="M33" s="237"/>
      <c r="N33" s="237"/>
      <c r="O33" s="237"/>
    </row>
    <row r="34" spans="1:15" s="212" customFormat="1" ht="26.45" customHeight="1">
      <c r="A34" s="286"/>
      <c r="B34" s="286"/>
      <c r="C34" s="286"/>
      <c r="D34" s="285" t="s">
        <v>169</v>
      </c>
      <c r="E34" s="260">
        <v>10005648602</v>
      </c>
      <c r="F34" s="261">
        <v>-1105845456</v>
      </c>
      <c r="G34" s="297">
        <v>8899803146</v>
      </c>
      <c r="H34" s="267"/>
      <c r="I34" s="269"/>
      <c r="J34" s="228"/>
      <c r="K34" s="228"/>
      <c r="L34" s="228"/>
      <c r="M34" s="237"/>
      <c r="N34" s="237"/>
      <c r="O34" s="237"/>
    </row>
    <row r="35" spans="1:15" s="211" customFormat="1" ht="26.45" customHeight="1">
      <c r="A35" s="287"/>
      <c r="B35" s="287"/>
      <c r="C35" s="285" t="s">
        <v>469</v>
      </c>
      <c r="D35" s="287"/>
      <c r="E35" s="260">
        <v>127203259</v>
      </c>
      <c r="F35" s="261">
        <v>215186843</v>
      </c>
      <c r="G35" s="297">
        <v>342390102</v>
      </c>
      <c r="H35" s="267"/>
      <c r="I35" s="269"/>
      <c r="J35" s="227"/>
      <c r="K35" s="227"/>
      <c r="L35" s="227"/>
      <c r="M35" s="232"/>
      <c r="N35" s="232"/>
      <c r="O35" s="232"/>
    </row>
    <row r="36" spans="1:15" s="212" customFormat="1" ht="26.45" customHeight="1">
      <c r="A36" s="295"/>
      <c r="B36" s="295"/>
      <c r="C36" s="295"/>
      <c r="D36" s="288" t="s">
        <v>173</v>
      </c>
      <c r="E36" s="262">
        <v>127203259</v>
      </c>
      <c r="F36" s="263">
        <v>215186843</v>
      </c>
      <c r="G36" s="299">
        <v>342390102</v>
      </c>
      <c r="H36" s="272"/>
      <c r="I36" s="216"/>
      <c r="J36" s="228"/>
      <c r="K36" s="228"/>
      <c r="L36" s="228"/>
      <c r="M36" s="237"/>
      <c r="N36" s="237"/>
      <c r="O36" s="237"/>
    </row>
    <row r="37" spans="1:15" s="212" customFormat="1" ht="26.45" customHeight="1">
      <c r="A37" s="286"/>
      <c r="B37" s="286"/>
      <c r="C37" s="285" t="s">
        <v>174</v>
      </c>
      <c r="D37" s="287"/>
      <c r="E37" s="260">
        <v>59020300948</v>
      </c>
      <c r="F37" s="261">
        <v>-18039224353</v>
      </c>
      <c r="G37" s="297">
        <v>40981076595</v>
      </c>
      <c r="H37" s="267"/>
      <c r="I37" s="269"/>
      <c r="J37" s="228"/>
      <c r="K37" s="228"/>
      <c r="L37" s="228"/>
      <c r="M37" s="237"/>
      <c r="N37" s="237"/>
      <c r="O37" s="237"/>
    </row>
    <row r="38" spans="1:15" s="212" customFormat="1" ht="26.45" customHeight="1">
      <c r="A38" s="286"/>
      <c r="B38" s="286"/>
      <c r="C38" s="286"/>
      <c r="D38" s="285" t="s">
        <v>177</v>
      </c>
      <c r="E38" s="260">
        <v>59020300948</v>
      </c>
      <c r="F38" s="261">
        <v>-18039224353</v>
      </c>
      <c r="G38" s="297">
        <v>40981076595</v>
      </c>
      <c r="H38" s="267"/>
      <c r="I38" s="269"/>
      <c r="J38" s="228"/>
      <c r="K38" s="228"/>
      <c r="L38" s="228"/>
      <c r="M38" s="237"/>
      <c r="N38" s="237"/>
      <c r="O38" s="237"/>
    </row>
    <row r="39" spans="1:15" s="211" customFormat="1" ht="26.45" customHeight="1">
      <c r="A39" s="287"/>
      <c r="B39" s="287"/>
      <c r="C39" s="285" t="s">
        <v>179</v>
      </c>
      <c r="D39" s="287"/>
      <c r="E39" s="260">
        <v>93887116692</v>
      </c>
      <c r="F39" s="261">
        <v>-45552093530</v>
      </c>
      <c r="G39" s="297">
        <v>48335023162</v>
      </c>
      <c r="H39" s="267"/>
      <c r="I39" s="269"/>
      <c r="J39" s="227"/>
      <c r="K39" s="227"/>
      <c r="L39" s="227"/>
      <c r="M39" s="232"/>
      <c r="N39" s="232"/>
      <c r="O39" s="232"/>
    </row>
    <row r="40" spans="1:15" s="212" customFormat="1" ht="26.45" customHeight="1">
      <c r="A40" s="286"/>
      <c r="B40" s="286"/>
      <c r="C40" s="286"/>
      <c r="D40" s="285" t="s">
        <v>182</v>
      </c>
      <c r="E40" s="260">
        <v>33283559692</v>
      </c>
      <c r="F40" s="261">
        <v>15051463470</v>
      </c>
      <c r="G40" s="297">
        <v>48335023162</v>
      </c>
      <c r="H40" s="267"/>
      <c r="I40" s="269"/>
      <c r="J40" s="210"/>
      <c r="K40" s="246"/>
      <c r="L40" s="228"/>
      <c r="M40" s="237"/>
      <c r="N40" s="237"/>
      <c r="O40" s="237"/>
    </row>
    <row r="41" spans="1:15" s="212" customFormat="1" ht="26.45" customHeight="1">
      <c r="A41" s="286"/>
      <c r="B41" s="286"/>
      <c r="C41" s="286"/>
      <c r="D41" s="285" t="s">
        <v>184</v>
      </c>
      <c r="E41" s="260">
        <v>60603557000</v>
      </c>
      <c r="F41" s="261">
        <v>-60603557000</v>
      </c>
      <c r="G41" s="298">
        <v>0</v>
      </c>
      <c r="H41" s="267"/>
      <c r="I41" s="273"/>
      <c r="J41" s="228"/>
      <c r="K41" s="228"/>
      <c r="L41" s="228"/>
      <c r="M41" s="237"/>
      <c r="N41" s="237"/>
      <c r="O41" s="237"/>
    </row>
    <row r="42" spans="1:15" s="211" customFormat="1" ht="26.45" customHeight="1">
      <c r="A42" s="287"/>
      <c r="B42" s="287"/>
      <c r="C42" s="285" t="s">
        <v>191</v>
      </c>
      <c r="D42" s="287"/>
      <c r="E42" s="260">
        <v>284828342126</v>
      </c>
      <c r="F42" s="261">
        <v>106586401227.99519</v>
      </c>
      <c r="G42" s="297">
        <v>391414743353.99518</v>
      </c>
      <c r="H42" s="267"/>
      <c r="I42" s="269"/>
      <c r="J42" s="227"/>
      <c r="K42" s="227"/>
      <c r="L42" s="227"/>
      <c r="M42" s="232"/>
      <c r="N42" s="232"/>
      <c r="O42" s="232"/>
    </row>
    <row r="43" spans="1:15" s="212" customFormat="1" ht="26.45" customHeight="1">
      <c r="A43" s="286"/>
      <c r="B43" s="286"/>
      <c r="C43" s="286"/>
      <c r="D43" s="285" t="s">
        <v>193</v>
      </c>
      <c r="E43" s="260">
        <v>203612412763</v>
      </c>
      <c r="F43" s="261">
        <v>68685467939</v>
      </c>
      <c r="G43" s="297">
        <v>272297880702</v>
      </c>
      <c r="H43" s="267"/>
      <c r="I43" s="269"/>
      <c r="J43" s="246"/>
      <c r="K43" s="246"/>
      <c r="L43" s="228"/>
      <c r="M43" s="237"/>
      <c r="N43" s="237"/>
      <c r="O43" s="237"/>
    </row>
    <row r="44" spans="1:15" s="212" customFormat="1" ht="26.45" customHeight="1">
      <c r="A44" s="286"/>
      <c r="B44" s="286"/>
      <c r="C44" s="286"/>
      <c r="D44" s="285" t="s">
        <v>201</v>
      </c>
      <c r="E44" s="260">
        <v>35553576679</v>
      </c>
      <c r="F44" s="261">
        <v>25603696498</v>
      </c>
      <c r="G44" s="297">
        <v>61157273177</v>
      </c>
      <c r="H44" s="267"/>
      <c r="I44" s="273"/>
      <c r="J44" s="228"/>
      <c r="K44" s="228"/>
      <c r="L44" s="228"/>
      <c r="M44" s="237"/>
      <c r="N44" s="237"/>
      <c r="O44" s="237"/>
    </row>
    <row r="45" spans="1:15" s="212" customFormat="1" ht="26.45" customHeight="1">
      <c r="A45" s="286"/>
      <c r="B45" s="286"/>
      <c r="C45" s="286"/>
      <c r="D45" s="285" t="s">
        <v>203</v>
      </c>
      <c r="E45" s="260">
        <v>9097140196</v>
      </c>
      <c r="F45" s="261">
        <v>4935233488</v>
      </c>
      <c r="G45" s="297">
        <v>14032373684</v>
      </c>
      <c r="H45" s="267"/>
      <c r="I45" s="269"/>
      <c r="J45" s="228"/>
      <c r="K45" s="228"/>
      <c r="L45" s="228"/>
      <c r="M45" s="237"/>
      <c r="N45" s="237"/>
      <c r="O45" s="237"/>
    </row>
    <row r="46" spans="1:15" s="212" customFormat="1" ht="26.45" customHeight="1">
      <c r="A46" s="286"/>
      <c r="B46" s="286"/>
      <c r="C46" s="286"/>
      <c r="D46" s="285" t="s">
        <v>205</v>
      </c>
      <c r="E46" s="260">
        <v>2743797207</v>
      </c>
      <c r="F46" s="261">
        <v>1039906095</v>
      </c>
      <c r="G46" s="297">
        <v>3783703302</v>
      </c>
      <c r="H46" s="267"/>
      <c r="I46" s="269"/>
      <c r="J46" s="228"/>
      <c r="K46" s="228"/>
      <c r="L46" s="228"/>
      <c r="M46" s="237"/>
      <c r="N46" s="237"/>
      <c r="O46" s="237"/>
    </row>
    <row r="47" spans="1:15" s="212" customFormat="1" ht="26.45" customHeight="1">
      <c r="A47" s="286"/>
      <c r="B47" s="286"/>
      <c r="C47" s="286"/>
      <c r="D47" s="285" t="s">
        <v>470</v>
      </c>
      <c r="E47" s="260">
        <v>5062537687</v>
      </c>
      <c r="F47" s="261">
        <v>3141871267</v>
      </c>
      <c r="G47" s="297">
        <v>8204408954</v>
      </c>
      <c r="H47" s="267"/>
      <c r="I47" s="269"/>
      <c r="J47" s="228"/>
      <c r="K47" s="228"/>
      <c r="L47" s="228"/>
      <c r="M47" s="237"/>
      <c r="N47" s="237"/>
      <c r="O47" s="237"/>
    </row>
    <row r="48" spans="1:15" s="212" customFormat="1" ht="26.45" customHeight="1">
      <c r="A48" s="286"/>
      <c r="B48" s="286"/>
      <c r="C48" s="286"/>
      <c r="D48" s="285" t="s">
        <v>209</v>
      </c>
      <c r="E48" s="260">
        <v>28758877594</v>
      </c>
      <c r="F48" s="261">
        <v>3180225940.9952002</v>
      </c>
      <c r="G48" s="297">
        <v>31939103534.995201</v>
      </c>
      <c r="H48" s="267"/>
      <c r="I48" s="269"/>
      <c r="J48" s="228"/>
      <c r="K48" s="228"/>
      <c r="L48" s="228"/>
      <c r="M48" s="237"/>
      <c r="N48" s="237"/>
      <c r="O48" s="237"/>
    </row>
    <row r="49" spans="1:15" s="211" customFormat="1" ht="26.45" customHeight="1">
      <c r="A49" s="287"/>
      <c r="B49" s="287"/>
      <c r="C49" s="285" t="s">
        <v>212</v>
      </c>
      <c r="D49" s="287"/>
      <c r="E49" s="260">
        <v>4111303145</v>
      </c>
      <c r="F49" s="261">
        <v>-7345521</v>
      </c>
      <c r="G49" s="297">
        <v>4103957624</v>
      </c>
      <c r="H49" s="267"/>
      <c r="I49" s="269"/>
      <c r="J49" s="227"/>
      <c r="K49" s="227"/>
      <c r="L49" s="227"/>
      <c r="M49" s="232"/>
      <c r="N49" s="232"/>
      <c r="O49" s="232"/>
    </row>
    <row r="50" spans="1:15" s="212" customFormat="1" ht="26.45" customHeight="1">
      <c r="A50" s="286"/>
      <c r="B50" s="286"/>
      <c r="C50" s="286"/>
      <c r="D50" s="285" t="s">
        <v>215</v>
      </c>
      <c r="E50" s="260">
        <v>4111303145</v>
      </c>
      <c r="F50" s="261">
        <v>-7345521</v>
      </c>
      <c r="G50" s="297">
        <v>4103957624</v>
      </c>
      <c r="H50" s="267"/>
      <c r="I50" s="269"/>
      <c r="J50" s="228"/>
      <c r="K50" s="228"/>
      <c r="L50" s="228"/>
      <c r="M50" s="237"/>
      <c r="N50" s="237"/>
      <c r="O50" s="237"/>
    </row>
    <row r="51" spans="1:15" s="211" customFormat="1" ht="26.45" customHeight="1">
      <c r="A51" s="287"/>
      <c r="B51" s="287"/>
      <c r="C51" s="285" t="s">
        <v>216</v>
      </c>
      <c r="D51" s="287"/>
      <c r="E51" s="260">
        <v>97594832464</v>
      </c>
      <c r="F51" s="261">
        <v>146884994769</v>
      </c>
      <c r="G51" s="297">
        <v>244479827233</v>
      </c>
      <c r="H51" s="267"/>
      <c r="I51" s="269"/>
      <c r="J51" s="227"/>
      <c r="K51" s="227"/>
      <c r="L51" s="227"/>
      <c r="M51" s="232"/>
      <c r="N51" s="232"/>
      <c r="O51" s="232"/>
    </row>
    <row r="52" spans="1:15" s="212" customFormat="1" ht="26.45" customHeight="1">
      <c r="A52" s="286"/>
      <c r="B52" s="286"/>
      <c r="C52" s="286"/>
      <c r="D52" s="285" t="s">
        <v>219</v>
      </c>
      <c r="E52" s="260">
        <v>44403338916</v>
      </c>
      <c r="F52" s="261">
        <v>120480008031</v>
      </c>
      <c r="G52" s="297">
        <v>164883346947</v>
      </c>
      <c r="H52" s="267"/>
      <c r="I52" s="269"/>
      <c r="J52" s="228"/>
      <c r="K52" s="228"/>
      <c r="L52" s="228"/>
      <c r="M52" s="237"/>
      <c r="N52" s="237"/>
      <c r="O52" s="237"/>
    </row>
    <row r="53" spans="1:15" s="212" customFormat="1" ht="26.45" customHeight="1">
      <c r="A53" s="286"/>
      <c r="B53" s="286"/>
      <c r="C53" s="286"/>
      <c r="D53" s="285" t="s">
        <v>222</v>
      </c>
      <c r="E53" s="260">
        <v>53191493548</v>
      </c>
      <c r="F53" s="261">
        <v>26404986738</v>
      </c>
      <c r="G53" s="297">
        <v>79596480286</v>
      </c>
      <c r="H53" s="267"/>
      <c r="I53" s="269"/>
      <c r="J53" s="228"/>
      <c r="K53" s="228"/>
      <c r="L53" s="228"/>
      <c r="M53" s="237"/>
      <c r="N53" s="237"/>
      <c r="O53" s="237"/>
    </row>
    <row r="54" spans="1:15" s="211" customFormat="1" ht="26.45" customHeight="1">
      <c r="A54" s="287"/>
      <c r="B54" s="287"/>
      <c r="C54" s="285" t="s">
        <v>223</v>
      </c>
      <c r="D54" s="287"/>
      <c r="E54" s="260">
        <v>724955281024</v>
      </c>
      <c r="F54" s="261">
        <v>283846832827</v>
      </c>
      <c r="G54" s="297">
        <v>1008802113851</v>
      </c>
      <c r="H54" s="267"/>
      <c r="I54" s="269"/>
      <c r="J54" s="227"/>
      <c r="K54" s="227"/>
      <c r="L54" s="227"/>
      <c r="M54" s="232"/>
      <c r="N54" s="232"/>
      <c r="O54" s="232"/>
    </row>
    <row r="55" spans="1:15" s="212" customFormat="1" ht="26.45" customHeight="1">
      <c r="A55" s="286"/>
      <c r="B55" s="286"/>
      <c r="C55" s="286"/>
      <c r="D55" s="285" t="s">
        <v>456</v>
      </c>
      <c r="E55" s="260">
        <v>724955281024</v>
      </c>
      <c r="F55" s="261">
        <v>283846832827</v>
      </c>
      <c r="G55" s="297">
        <v>1008802113851</v>
      </c>
      <c r="H55" s="267"/>
      <c r="I55" s="269"/>
      <c r="J55" s="246"/>
      <c r="K55" s="246"/>
      <c r="L55" s="228"/>
      <c r="M55" s="237"/>
      <c r="N55" s="237"/>
      <c r="O55" s="237"/>
    </row>
    <row r="56" spans="1:15" s="211" customFormat="1" ht="26.45" customHeight="1">
      <c r="A56" s="287"/>
      <c r="B56" s="287"/>
      <c r="C56" s="285" t="s">
        <v>236</v>
      </c>
      <c r="D56" s="287"/>
      <c r="E56" s="260">
        <v>625000</v>
      </c>
      <c r="F56" s="261">
        <v>4583984</v>
      </c>
      <c r="G56" s="297">
        <v>5208984</v>
      </c>
      <c r="H56" s="267"/>
      <c r="I56" s="269"/>
      <c r="J56" s="227"/>
      <c r="K56" s="227"/>
      <c r="L56" s="227"/>
      <c r="M56" s="232"/>
      <c r="N56" s="232"/>
      <c r="O56" s="232"/>
    </row>
    <row r="57" spans="1:15" s="212" customFormat="1" ht="26.45" customHeight="1">
      <c r="A57" s="286"/>
      <c r="B57" s="286"/>
      <c r="C57" s="286"/>
      <c r="D57" s="285" t="s">
        <v>239</v>
      </c>
      <c r="E57" s="260">
        <v>625000</v>
      </c>
      <c r="F57" s="261">
        <v>4583984</v>
      </c>
      <c r="G57" s="297">
        <v>5208984</v>
      </c>
      <c r="H57" s="267"/>
      <c r="I57" s="274"/>
      <c r="J57" s="228"/>
      <c r="K57" s="228"/>
      <c r="L57" s="228"/>
      <c r="M57" s="237"/>
      <c r="N57" s="237"/>
      <c r="O57" s="237"/>
    </row>
    <row r="58" spans="1:15" s="211" customFormat="1" ht="26.45" customHeight="1">
      <c r="A58" s="287"/>
      <c r="B58" s="287"/>
      <c r="C58" s="285" t="s">
        <v>240</v>
      </c>
      <c r="D58" s="287"/>
      <c r="E58" s="260">
        <v>2183444985</v>
      </c>
      <c r="F58" s="261">
        <v>2092331982</v>
      </c>
      <c r="G58" s="297">
        <v>4275776967</v>
      </c>
      <c r="H58" s="267"/>
      <c r="I58" s="269"/>
      <c r="J58" s="227"/>
      <c r="K58" s="227"/>
      <c r="L58" s="227"/>
      <c r="M58" s="232"/>
      <c r="N58" s="232"/>
      <c r="O58" s="232"/>
    </row>
    <row r="59" spans="1:15" s="212" customFormat="1" ht="26.45" customHeight="1">
      <c r="A59" s="286"/>
      <c r="B59" s="286"/>
      <c r="C59" s="286"/>
      <c r="D59" s="285" t="s">
        <v>242</v>
      </c>
      <c r="E59" s="260">
        <v>2183444985</v>
      </c>
      <c r="F59" s="261">
        <v>2092331982</v>
      </c>
      <c r="G59" s="297">
        <v>4275776967</v>
      </c>
      <c r="H59" s="267"/>
      <c r="I59" s="269"/>
      <c r="J59" s="228"/>
      <c r="K59" s="228"/>
      <c r="L59" s="228"/>
      <c r="M59" s="237"/>
      <c r="N59" s="237"/>
      <c r="O59" s="237"/>
    </row>
    <row r="60" spans="1:15" s="211" customFormat="1" ht="26.45" customHeight="1">
      <c r="A60" s="287"/>
      <c r="B60" s="287"/>
      <c r="C60" s="285" t="s">
        <v>243</v>
      </c>
      <c r="D60" s="287"/>
      <c r="E60" s="260">
        <v>17746602957</v>
      </c>
      <c r="F60" s="261">
        <v>27762493900</v>
      </c>
      <c r="G60" s="297">
        <v>45509096857</v>
      </c>
      <c r="H60" s="267"/>
      <c r="I60" s="269"/>
      <c r="J60" s="227"/>
      <c r="K60" s="227"/>
      <c r="L60" s="227"/>
      <c r="M60" s="232"/>
      <c r="N60" s="232"/>
      <c r="O60" s="232"/>
    </row>
    <row r="61" spans="1:15" s="212" customFormat="1" ht="26.45" customHeight="1">
      <c r="A61" s="286"/>
      <c r="B61" s="286"/>
      <c r="C61" s="286"/>
      <c r="D61" s="285" t="s">
        <v>246</v>
      </c>
      <c r="E61" s="260">
        <v>17536545733</v>
      </c>
      <c r="F61" s="261">
        <v>26093295229</v>
      </c>
      <c r="G61" s="297">
        <v>43629840962</v>
      </c>
      <c r="H61" s="267"/>
      <c r="I61" s="269"/>
      <c r="J61" s="228"/>
      <c r="K61" s="228"/>
      <c r="L61" s="228"/>
      <c r="M61" s="237"/>
      <c r="N61" s="237"/>
      <c r="O61" s="237"/>
    </row>
    <row r="62" spans="1:15" s="212" customFormat="1" ht="26.45" customHeight="1">
      <c r="A62" s="286"/>
      <c r="B62" s="286"/>
      <c r="C62" s="286"/>
      <c r="D62" s="285" t="s">
        <v>248</v>
      </c>
      <c r="E62" s="260">
        <v>1000000</v>
      </c>
      <c r="F62" s="261">
        <v>322588430</v>
      </c>
      <c r="G62" s="297">
        <v>323588430</v>
      </c>
      <c r="H62" s="267"/>
      <c r="I62" s="269"/>
      <c r="J62" s="228"/>
      <c r="K62" s="228"/>
      <c r="L62" s="228"/>
      <c r="M62" s="237"/>
      <c r="N62" s="237"/>
      <c r="O62" s="237"/>
    </row>
    <row r="63" spans="1:15" s="212" customFormat="1" ht="26.45" customHeight="1">
      <c r="A63" s="286"/>
      <c r="B63" s="286"/>
      <c r="C63" s="286"/>
      <c r="D63" s="285" t="s">
        <v>250</v>
      </c>
      <c r="E63" s="260">
        <v>930000</v>
      </c>
      <c r="F63" s="261">
        <v>10000094</v>
      </c>
      <c r="G63" s="297">
        <v>10930094</v>
      </c>
      <c r="H63" s="267"/>
      <c r="I63" s="273"/>
      <c r="J63" s="228"/>
      <c r="K63" s="228"/>
      <c r="L63" s="228"/>
      <c r="M63" s="237"/>
      <c r="N63" s="237"/>
      <c r="O63" s="237"/>
    </row>
    <row r="64" spans="1:15" s="212" customFormat="1" ht="26.45" customHeight="1">
      <c r="A64" s="286"/>
      <c r="B64" s="286"/>
      <c r="C64" s="286"/>
      <c r="D64" s="285" t="s">
        <v>253</v>
      </c>
      <c r="E64" s="260">
        <v>208127224</v>
      </c>
      <c r="F64" s="261">
        <v>1336610147</v>
      </c>
      <c r="G64" s="297">
        <v>1544737371</v>
      </c>
      <c r="H64" s="267"/>
      <c r="I64" s="269"/>
      <c r="J64" s="228"/>
      <c r="K64" s="228"/>
      <c r="L64" s="228"/>
      <c r="M64" s="237"/>
      <c r="N64" s="237"/>
      <c r="O64" s="237"/>
    </row>
    <row r="65" spans="1:15" s="211" customFormat="1" ht="26.45" customHeight="1">
      <c r="A65" s="287"/>
      <c r="B65" s="287"/>
      <c r="C65" s="285" t="s">
        <v>256</v>
      </c>
      <c r="D65" s="287"/>
      <c r="E65" s="260">
        <v>2665574949</v>
      </c>
      <c r="F65" s="261">
        <v>837976074</v>
      </c>
      <c r="G65" s="297">
        <v>3503551023</v>
      </c>
      <c r="H65" s="267"/>
      <c r="I65" s="269"/>
      <c r="J65" s="227"/>
      <c r="K65" s="227"/>
      <c r="L65" s="227"/>
      <c r="M65" s="232"/>
      <c r="N65" s="232"/>
      <c r="O65" s="232"/>
    </row>
    <row r="66" spans="1:15" s="212" customFormat="1" ht="26.45" customHeight="1">
      <c r="A66" s="286"/>
      <c r="B66" s="286"/>
      <c r="C66" s="286"/>
      <c r="D66" s="285" t="s">
        <v>471</v>
      </c>
      <c r="E66" s="260">
        <v>2665574949</v>
      </c>
      <c r="F66" s="261">
        <v>837976074</v>
      </c>
      <c r="G66" s="297">
        <v>3503551023</v>
      </c>
      <c r="H66" s="267"/>
      <c r="I66" s="269"/>
      <c r="J66" s="228"/>
      <c r="K66" s="228"/>
      <c r="L66" s="228"/>
      <c r="M66" s="237"/>
      <c r="N66" s="237"/>
      <c r="O66" s="237"/>
    </row>
    <row r="67" spans="1:15" s="211" customFormat="1" ht="26.45" customHeight="1">
      <c r="A67" s="287"/>
      <c r="B67" s="287"/>
      <c r="C67" s="285" t="s">
        <v>265</v>
      </c>
      <c r="D67" s="287"/>
      <c r="E67" s="260">
        <v>84138466502</v>
      </c>
      <c r="F67" s="261">
        <v>33505179803</v>
      </c>
      <c r="G67" s="297">
        <v>117643646305</v>
      </c>
      <c r="H67" s="267"/>
      <c r="I67" s="269"/>
      <c r="J67" s="227"/>
      <c r="K67" s="227"/>
      <c r="L67" s="227"/>
      <c r="M67" s="232"/>
      <c r="N67" s="232"/>
      <c r="O67" s="232"/>
    </row>
    <row r="68" spans="1:15" s="212" customFormat="1" ht="26.45" customHeight="1">
      <c r="A68" s="295"/>
      <c r="B68" s="295"/>
      <c r="C68" s="295"/>
      <c r="D68" s="288" t="s">
        <v>472</v>
      </c>
      <c r="E68" s="262">
        <v>84138466502</v>
      </c>
      <c r="F68" s="263">
        <v>33505179803</v>
      </c>
      <c r="G68" s="299">
        <v>117643646305</v>
      </c>
      <c r="H68" s="272"/>
      <c r="I68" s="216"/>
      <c r="J68" s="228"/>
      <c r="K68" s="228"/>
      <c r="L68" s="228"/>
      <c r="M68" s="237"/>
      <c r="N68" s="237"/>
      <c r="O68" s="237"/>
    </row>
    <row r="69" spans="1:15" s="211" customFormat="1" ht="26.25" customHeight="1">
      <c r="A69" s="287"/>
      <c r="B69" s="287"/>
      <c r="C69" s="285" t="s">
        <v>272</v>
      </c>
      <c r="D69" s="287"/>
      <c r="E69" s="260">
        <v>60331080893</v>
      </c>
      <c r="F69" s="261">
        <v>46206267950</v>
      </c>
      <c r="G69" s="297">
        <v>106537348843</v>
      </c>
      <c r="H69" s="267"/>
      <c r="I69" s="269"/>
      <c r="J69" s="227"/>
      <c r="K69" s="227"/>
      <c r="L69" s="227"/>
      <c r="M69" s="232"/>
      <c r="N69" s="232"/>
      <c r="O69" s="232"/>
    </row>
    <row r="70" spans="1:15" s="212" customFormat="1" ht="26.25" customHeight="1">
      <c r="A70" s="286"/>
      <c r="B70" s="286"/>
      <c r="C70" s="286"/>
      <c r="D70" s="285" t="s">
        <v>274</v>
      </c>
      <c r="E70" s="260">
        <v>14296937752</v>
      </c>
      <c r="F70" s="261">
        <v>20430917824</v>
      </c>
      <c r="G70" s="297">
        <v>34727855576</v>
      </c>
      <c r="H70" s="267"/>
      <c r="I70" s="269"/>
      <c r="J70" s="228"/>
      <c r="K70" s="228"/>
      <c r="L70" s="228"/>
      <c r="M70" s="237"/>
      <c r="N70" s="237"/>
      <c r="O70" s="237"/>
    </row>
    <row r="71" spans="1:15" s="212" customFormat="1" ht="26.25" customHeight="1">
      <c r="A71" s="286"/>
      <c r="B71" s="286"/>
      <c r="C71" s="286"/>
      <c r="D71" s="285" t="s">
        <v>276</v>
      </c>
      <c r="E71" s="260">
        <v>46034143141</v>
      </c>
      <c r="F71" s="261">
        <v>25775350126</v>
      </c>
      <c r="G71" s="297">
        <v>71809493267</v>
      </c>
      <c r="H71" s="267"/>
      <c r="I71" s="269"/>
      <c r="J71" s="228"/>
      <c r="K71" s="228"/>
      <c r="L71" s="228"/>
      <c r="M71" s="237"/>
      <c r="N71" s="237"/>
      <c r="O71" s="237"/>
    </row>
    <row r="72" spans="1:15" s="211" customFormat="1" ht="26.25" customHeight="1">
      <c r="A72" s="287"/>
      <c r="B72" s="285" t="s">
        <v>473</v>
      </c>
      <c r="C72" s="287"/>
      <c r="D72" s="287"/>
      <c r="E72" s="260">
        <v>98974477989</v>
      </c>
      <c r="F72" s="261">
        <v>279789641634</v>
      </c>
      <c r="G72" s="297">
        <v>378764119623</v>
      </c>
      <c r="H72" s="267"/>
      <c r="I72" s="269" t="s">
        <v>451</v>
      </c>
      <c r="J72" s="227"/>
      <c r="K72" s="242"/>
      <c r="L72" s="227"/>
      <c r="M72" s="232"/>
      <c r="N72" s="232"/>
      <c r="O72" s="232"/>
    </row>
    <row r="73" spans="1:15" s="211" customFormat="1" ht="26.25" customHeight="1">
      <c r="A73" s="287"/>
      <c r="B73" s="287"/>
      <c r="C73" s="285" t="s">
        <v>455</v>
      </c>
      <c r="E73" s="260">
        <v>1646556</v>
      </c>
      <c r="F73" s="261">
        <v>-1646513</v>
      </c>
      <c r="G73" s="297">
        <v>43</v>
      </c>
      <c r="H73" s="267"/>
      <c r="I73" s="269"/>
      <c r="J73" s="227"/>
      <c r="K73" s="227"/>
      <c r="L73" s="227"/>
      <c r="M73" s="232"/>
      <c r="N73" s="232"/>
      <c r="O73" s="232"/>
    </row>
    <row r="74" spans="1:15" s="212" customFormat="1" ht="26.25" customHeight="1">
      <c r="A74" s="286"/>
      <c r="B74" s="286"/>
      <c r="C74" s="286"/>
      <c r="D74" s="304" t="s">
        <v>474</v>
      </c>
      <c r="E74" s="260">
        <v>1646556</v>
      </c>
      <c r="F74" s="261">
        <v>-1646513</v>
      </c>
      <c r="G74" s="297">
        <v>43</v>
      </c>
      <c r="H74" s="267">
        <v>2</v>
      </c>
      <c r="I74" s="269"/>
      <c r="J74" s="228"/>
      <c r="K74" s="228"/>
      <c r="L74" s="228"/>
      <c r="M74" s="237"/>
      <c r="N74" s="237"/>
      <c r="O74" s="237"/>
    </row>
    <row r="75" spans="1:15" s="211" customFormat="1" ht="26.25" customHeight="1">
      <c r="A75" s="287"/>
      <c r="B75" s="287"/>
      <c r="C75" s="285" t="s">
        <v>185</v>
      </c>
      <c r="D75" s="287"/>
      <c r="E75" s="260">
        <v>44407472310</v>
      </c>
      <c r="F75" s="261">
        <v>97423366348</v>
      </c>
      <c r="G75" s="297">
        <v>141830838658</v>
      </c>
      <c r="H75" s="267"/>
      <c r="I75" s="269"/>
      <c r="J75" s="227"/>
      <c r="K75" s="227"/>
      <c r="L75" s="227"/>
      <c r="M75" s="232"/>
      <c r="N75" s="232"/>
      <c r="O75" s="232"/>
    </row>
    <row r="76" spans="1:15" s="212" customFormat="1" ht="26.25" customHeight="1">
      <c r="A76" s="286"/>
      <c r="B76" s="286"/>
      <c r="C76" s="286"/>
      <c r="D76" s="285" t="s">
        <v>475</v>
      </c>
      <c r="E76" s="260">
        <v>8952962580</v>
      </c>
      <c r="F76" s="261">
        <v>18484953546</v>
      </c>
      <c r="G76" s="297">
        <v>27437916126</v>
      </c>
      <c r="H76" s="267">
        <v>1143043883</v>
      </c>
      <c r="I76" s="269"/>
      <c r="J76" s="228"/>
      <c r="K76" s="228"/>
      <c r="L76" s="228"/>
      <c r="M76" s="237"/>
      <c r="N76" s="237"/>
      <c r="O76" s="237"/>
    </row>
    <row r="77" spans="1:15" s="212" customFormat="1" ht="24" customHeight="1">
      <c r="A77" s="286"/>
      <c r="B77" s="286"/>
      <c r="C77" s="286"/>
      <c r="D77" s="285" t="s">
        <v>476</v>
      </c>
      <c r="E77" s="260">
        <v>522913360</v>
      </c>
      <c r="F77" s="261">
        <v>284010585</v>
      </c>
      <c r="G77" s="297">
        <v>806923945</v>
      </c>
      <c r="H77" s="267">
        <v>54162436</v>
      </c>
      <c r="I77" s="269"/>
      <c r="J77" s="228"/>
      <c r="K77" s="228"/>
      <c r="L77" s="228"/>
      <c r="M77" s="237"/>
      <c r="N77" s="237"/>
      <c r="O77" s="237"/>
    </row>
    <row r="78" spans="1:15" s="212" customFormat="1" ht="24" customHeight="1">
      <c r="A78" s="286"/>
      <c r="B78" s="286"/>
      <c r="C78" s="286"/>
      <c r="D78" s="285" t="s">
        <v>477</v>
      </c>
      <c r="E78" s="260">
        <v>7841660130</v>
      </c>
      <c r="F78" s="261">
        <v>17575046184</v>
      </c>
      <c r="G78" s="297">
        <v>25416706314</v>
      </c>
      <c r="H78" s="267">
        <v>1474578352</v>
      </c>
      <c r="I78" s="269"/>
      <c r="J78" s="228"/>
      <c r="K78" s="228"/>
      <c r="L78" s="228"/>
      <c r="M78" s="237"/>
      <c r="N78" s="237"/>
      <c r="O78" s="237"/>
    </row>
    <row r="79" spans="1:15" s="212" customFormat="1" ht="24" customHeight="1">
      <c r="A79" s="286"/>
      <c r="B79" s="286"/>
      <c r="C79" s="286"/>
      <c r="D79" s="285" t="s">
        <v>478</v>
      </c>
      <c r="E79" s="260">
        <v>800878870</v>
      </c>
      <c r="F79" s="261">
        <v>2419382754</v>
      </c>
      <c r="G79" s="297">
        <v>3220261624</v>
      </c>
      <c r="H79" s="267">
        <v>218513460</v>
      </c>
      <c r="I79" s="269"/>
      <c r="J79" s="228"/>
      <c r="K79" s="228"/>
      <c r="L79" s="228"/>
      <c r="M79" s="237"/>
      <c r="N79" s="237"/>
      <c r="O79" s="237"/>
    </row>
    <row r="80" spans="1:15" s="212" customFormat="1" ht="24" customHeight="1">
      <c r="A80" s="286"/>
      <c r="B80" s="286"/>
      <c r="C80" s="286"/>
      <c r="D80" s="285" t="s">
        <v>479</v>
      </c>
      <c r="E80" s="260">
        <v>7181110400</v>
      </c>
      <c r="F80" s="261">
        <v>12940208139</v>
      </c>
      <c r="G80" s="297">
        <v>20121318539</v>
      </c>
      <c r="H80" s="267">
        <v>1266207840</v>
      </c>
      <c r="I80" s="269"/>
      <c r="J80" s="228"/>
      <c r="K80" s="228"/>
      <c r="L80" s="228"/>
      <c r="M80" s="237"/>
      <c r="N80" s="237"/>
      <c r="O80" s="237"/>
    </row>
    <row r="81" spans="1:15" s="212" customFormat="1" ht="24" customHeight="1">
      <c r="A81" s="286"/>
      <c r="B81" s="286"/>
      <c r="C81" s="286"/>
      <c r="D81" s="285" t="s">
        <v>480</v>
      </c>
      <c r="E81" s="260">
        <v>1278748590</v>
      </c>
      <c r="F81" s="261">
        <v>777485800</v>
      </c>
      <c r="G81" s="297">
        <v>2056234390</v>
      </c>
      <c r="H81" s="267">
        <v>155514786</v>
      </c>
      <c r="I81" s="269"/>
      <c r="J81" s="228"/>
      <c r="K81" s="228"/>
      <c r="L81" s="228"/>
      <c r="M81" s="237"/>
      <c r="N81" s="237"/>
      <c r="O81" s="237"/>
    </row>
    <row r="82" spans="1:15" s="212" customFormat="1" ht="24" customHeight="1">
      <c r="A82" s="286"/>
      <c r="B82" s="286"/>
      <c r="C82" s="286"/>
      <c r="D82" s="285" t="s">
        <v>481</v>
      </c>
      <c r="E82" s="260">
        <v>983742600</v>
      </c>
      <c r="F82" s="261">
        <v>1682181119</v>
      </c>
      <c r="G82" s="297">
        <v>2665923719</v>
      </c>
      <c r="H82" s="267">
        <v>117352773</v>
      </c>
      <c r="I82" s="269"/>
      <c r="J82" s="228"/>
      <c r="K82" s="228"/>
      <c r="L82" s="228"/>
      <c r="M82" s="237"/>
      <c r="N82" s="237"/>
      <c r="O82" s="237"/>
    </row>
    <row r="83" spans="1:15" s="212" customFormat="1" ht="24" customHeight="1">
      <c r="A83" s="286"/>
      <c r="B83" s="286"/>
      <c r="C83" s="286"/>
      <c r="D83" s="285" t="s">
        <v>482</v>
      </c>
      <c r="E83" s="260">
        <v>16845455780</v>
      </c>
      <c r="F83" s="261">
        <v>43260098221</v>
      </c>
      <c r="G83" s="297">
        <v>60105554001</v>
      </c>
      <c r="H83" s="267">
        <v>3475464779</v>
      </c>
      <c r="I83" s="269"/>
      <c r="J83" s="228"/>
      <c r="K83" s="228"/>
      <c r="L83" s="228"/>
      <c r="M83" s="237"/>
      <c r="N83" s="237"/>
      <c r="O83" s="237"/>
    </row>
    <row r="84" spans="1:15" s="211" customFormat="1" ht="24" customHeight="1">
      <c r="A84" s="287"/>
      <c r="B84" s="287"/>
      <c r="C84" s="285" t="s">
        <v>216</v>
      </c>
      <c r="D84" s="287"/>
      <c r="E84" s="260">
        <v>20682193627</v>
      </c>
      <c r="F84" s="261">
        <v>47291091915</v>
      </c>
      <c r="G84" s="297">
        <v>67973285542</v>
      </c>
      <c r="H84" s="267"/>
      <c r="I84" s="269"/>
      <c r="J84" s="227"/>
      <c r="K84" s="227"/>
      <c r="L84" s="227"/>
      <c r="M84" s="232"/>
      <c r="N84" s="232"/>
      <c r="O84" s="232"/>
    </row>
    <row r="85" spans="1:15" s="212" customFormat="1" ht="24" customHeight="1">
      <c r="A85" s="286"/>
      <c r="B85" s="286"/>
      <c r="C85" s="286"/>
      <c r="D85" s="285" t="s">
        <v>483</v>
      </c>
      <c r="E85" s="260">
        <v>3178345330</v>
      </c>
      <c r="F85" s="261">
        <v>1730073941</v>
      </c>
      <c r="G85" s="297">
        <v>4908419271</v>
      </c>
      <c r="H85" s="267">
        <v>331301773</v>
      </c>
      <c r="I85" s="275"/>
      <c r="J85" s="228"/>
      <c r="K85" s="228"/>
      <c r="L85" s="228"/>
      <c r="M85" s="237"/>
      <c r="N85" s="237"/>
      <c r="O85" s="237"/>
    </row>
    <row r="86" spans="1:15" s="214" customFormat="1" ht="24" customHeight="1">
      <c r="A86" s="289"/>
      <c r="B86" s="289"/>
      <c r="C86" s="289"/>
      <c r="D86" s="285" t="s">
        <v>484</v>
      </c>
      <c r="E86" s="260">
        <v>404762410</v>
      </c>
      <c r="F86" s="261">
        <v>72323591</v>
      </c>
      <c r="G86" s="297">
        <v>477086001</v>
      </c>
      <c r="H86" s="267">
        <v>40476241</v>
      </c>
      <c r="I86" s="269"/>
      <c r="J86" s="229"/>
      <c r="K86" s="229"/>
      <c r="L86" s="229"/>
      <c r="M86" s="238"/>
      <c r="N86" s="238"/>
      <c r="O86" s="238"/>
    </row>
    <row r="87" spans="1:15" s="212" customFormat="1" ht="24" customHeight="1">
      <c r="A87" s="286"/>
      <c r="B87" s="286"/>
      <c r="C87" s="286"/>
      <c r="D87" s="285" t="s">
        <v>485</v>
      </c>
      <c r="E87" s="260">
        <v>13875833250</v>
      </c>
      <c r="F87" s="261">
        <v>44762020235</v>
      </c>
      <c r="G87" s="297">
        <v>58637853485</v>
      </c>
      <c r="H87" s="267">
        <v>3154709357</v>
      </c>
      <c r="I87" s="269"/>
      <c r="J87" s="228"/>
      <c r="K87" s="228"/>
      <c r="L87" s="228"/>
      <c r="M87" s="237"/>
      <c r="N87" s="237"/>
      <c r="O87" s="237"/>
    </row>
    <row r="88" spans="1:15" s="212" customFormat="1" ht="24" customHeight="1">
      <c r="A88" s="286"/>
      <c r="B88" s="286"/>
      <c r="C88" s="286"/>
      <c r="D88" s="285" t="s">
        <v>486</v>
      </c>
      <c r="E88" s="260">
        <v>694986897</v>
      </c>
      <c r="F88" s="261">
        <v>1726732052</v>
      </c>
      <c r="G88" s="297">
        <v>2421718949</v>
      </c>
      <c r="H88" s="267">
        <v>77768272</v>
      </c>
      <c r="I88" s="269"/>
      <c r="J88" s="228"/>
      <c r="K88" s="228"/>
      <c r="L88" s="228"/>
      <c r="M88" s="237"/>
      <c r="N88" s="237"/>
      <c r="O88" s="237"/>
    </row>
    <row r="89" spans="1:15" s="212" customFormat="1" ht="24" customHeight="1">
      <c r="A89" s="286"/>
      <c r="B89" s="286"/>
      <c r="C89" s="286"/>
      <c r="D89" s="285" t="s">
        <v>487</v>
      </c>
      <c r="E89" s="260">
        <v>2212950740</v>
      </c>
      <c r="F89" s="261">
        <v>-1023802243</v>
      </c>
      <c r="G89" s="297">
        <v>1189148497</v>
      </c>
      <c r="H89" s="267">
        <v>105070366</v>
      </c>
      <c r="I89" s="269"/>
      <c r="J89" s="228"/>
      <c r="K89" s="228"/>
      <c r="L89" s="228"/>
      <c r="M89" s="237"/>
      <c r="N89" s="237"/>
      <c r="O89" s="237"/>
    </row>
    <row r="90" spans="1:15" s="212" customFormat="1" ht="24" customHeight="1">
      <c r="A90" s="286"/>
      <c r="B90" s="286"/>
      <c r="C90" s="286"/>
      <c r="D90" s="285" t="s">
        <v>488</v>
      </c>
      <c r="E90" s="260">
        <v>315315000</v>
      </c>
      <c r="F90" s="261">
        <v>23744339</v>
      </c>
      <c r="G90" s="297">
        <v>339059339</v>
      </c>
      <c r="H90" s="267">
        <v>31500000</v>
      </c>
      <c r="I90" s="269"/>
      <c r="J90" s="228"/>
      <c r="K90" s="228"/>
      <c r="L90" s="228"/>
      <c r="M90" s="237"/>
      <c r="N90" s="237"/>
      <c r="O90" s="237"/>
    </row>
    <row r="91" spans="1:15" s="211" customFormat="1" ht="24" customHeight="1">
      <c r="A91" s="287"/>
      <c r="B91" s="287"/>
      <c r="C91" s="285" t="s">
        <v>489</v>
      </c>
      <c r="D91" s="287"/>
      <c r="E91" s="260">
        <v>378000000</v>
      </c>
      <c r="F91" s="261">
        <v>9117085</v>
      </c>
      <c r="G91" s="297">
        <v>387117085</v>
      </c>
      <c r="H91" s="267"/>
      <c r="I91" s="269"/>
      <c r="J91" s="227"/>
      <c r="K91" s="227"/>
      <c r="L91" s="227"/>
      <c r="M91" s="232"/>
      <c r="N91" s="232"/>
      <c r="O91" s="232"/>
    </row>
    <row r="92" spans="1:15" s="212" customFormat="1" ht="24" customHeight="1">
      <c r="A92" s="286"/>
      <c r="B92" s="286"/>
      <c r="C92" s="286"/>
      <c r="D92" s="285" t="s">
        <v>490</v>
      </c>
      <c r="E92" s="260">
        <v>378000000</v>
      </c>
      <c r="F92" s="261">
        <v>9117085</v>
      </c>
      <c r="G92" s="297">
        <v>387117085</v>
      </c>
      <c r="H92" s="267">
        <v>10800</v>
      </c>
      <c r="I92" s="269"/>
      <c r="J92" s="228"/>
      <c r="K92" s="228"/>
      <c r="L92" s="228"/>
      <c r="M92" s="237"/>
      <c r="N92" s="237"/>
      <c r="O92" s="237"/>
    </row>
    <row r="93" spans="1:15" s="211" customFormat="1" ht="24" customHeight="1">
      <c r="A93" s="287"/>
      <c r="B93" s="287"/>
      <c r="C93" s="285" t="s">
        <v>191</v>
      </c>
      <c r="D93" s="287"/>
      <c r="E93" s="260">
        <v>8</v>
      </c>
      <c r="F93" s="261">
        <v>-8</v>
      </c>
      <c r="G93" s="298">
        <v>0</v>
      </c>
      <c r="H93" s="267"/>
      <c r="I93" s="269"/>
      <c r="J93" s="227"/>
      <c r="K93" s="227"/>
      <c r="L93" s="227"/>
      <c r="M93" s="232"/>
      <c r="N93" s="232"/>
      <c r="O93" s="232"/>
    </row>
    <row r="94" spans="1:15" s="212" customFormat="1" ht="24" customHeight="1">
      <c r="A94" s="286"/>
      <c r="B94" s="286"/>
      <c r="C94" s="286"/>
      <c r="D94" s="285" t="s">
        <v>491</v>
      </c>
      <c r="E94" s="260">
        <v>8</v>
      </c>
      <c r="F94" s="261">
        <v>-8</v>
      </c>
      <c r="G94" s="298">
        <v>0</v>
      </c>
      <c r="H94" s="267">
        <v>2</v>
      </c>
      <c r="I94" s="269"/>
      <c r="J94" s="228"/>
      <c r="K94" s="228"/>
      <c r="L94" s="228"/>
      <c r="M94" s="237"/>
      <c r="N94" s="237"/>
      <c r="O94" s="237"/>
    </row>
    <row r="95" spans="1:15" s="211" customFormat="1" ht="24" customHeight="1">
      <c r="A95" s="287"/>
      <c r="B95" s="287"/>
      <c r="C95" s="285" t="s">
        <v>223</v>
      </c>
      <c r="D95" s="287"/>
      <c r="E95" s="260">
        <v>18551173958</v>
      </c>
      <c r="F95" s="261">
        <v>123486534446</v>
      </c>
      <c r="G95" s="297">
        <v>142037708404</v>
      </c>
      <c r="H95" s="267"/>
      <c r="I95" s="269"/>
      <c r="J95" s="227"/>
      <c r="K95" s="227"/>
      <c r="L95" s="227"/>
      <c r="M95" s="232"/>
      <c r="N95" s="232"/>
      <c r="O95" s="232"/>
    </row>
    <row r="96" spans="1:15" s="212" customFormat="1" ht="24" customHeight="1">
      <c r="A96" s="286"/>
      <c r="B96" s="286"/>
      <c r="C96" s="286"/>
      <c r="D96" s="285" t="s">
        <v>492</v>
      </c>
      <c r="E96" s="260">
        <v>12623674028</v>
      </c>
      <c r="F96" s="261">
        <v>120738451613</v>
      </c>
      <c r="G96" s="297">
        <v>133362125641</v>
      </c>
      <c r="H96" s="267">
        <v>2737718976</v>
      </c>
      <c r="I96" s="269"/>
      <c r="J96" s="228"/>
      <c r="K96" s="228"/>
      <c r="L96" s="228"/>
      <c r="M96" s="237"/>
      <c r="N96" s="237"/>
      <c r="O96" s="237"/>
    </row>
    <row r="97" spans="1:15" s="212" customFormat="1" ht="24" customHeight="1">
      <c r="A97" s="286"/>
      <c r="B97" s="286"/>
      <c r="C97" s="286"/>
      <c r="D97" s="285" t="s">
        <v>493</v>
      </c>
      <c r="E97" s="260">
        <v>5007388710</v>
      </c>
      <c r="F97" s="261">
        <v>277220208</v>
      </c>
      <c r="G97" s="297">
        <v>5284608918</v>
      </c>
      <c r="H97" s="267">
        <v>467682372</v>
      </c>
      <c r="I97" s="269"/>
      <c r="J97" s="228"/>
      <c r="K97" s="228"/>
      <c r="L97" s="228"/>
      <c r="M97" s="237"/>
      <c r="N97" s="237"/>
      <c r="O97" s="237"/>
    </row>
    <row r="98" spans="1:15" s="212" customFormat="1" ht="24" customHeight="1">
      <c r="A98" s="286"/>
      <c r="B98" s="286"/>
      <c r="C98" s="286"/>
      <c r="D98" s="285" t="s">
        <v>494</v>
      </c>
      <c r="E98" s="260">
        <v>315000000</v>
      </c>
      <c r="F98" s="261">
        <v>223197723</v>
      </c>
      <c r="G98" s="297">
        <v>538197723</v>
      </c>
      <c r="H98" s="267">
        <v>31500000</v>
      </c>
      <c r="I98" s="269"/>
      <c r="J98" s="228"/>
      <c r="K98" s="228"/>
      <c r="L98" s="228"/>
      <c r="M98" s="237"/>
      <c r="N98" s="237"/>
      <c r="O98" s="237"/>
    </row>
    <row r="99" spans="1:15" s="212" customFormat="1" ht="24" customHeight="1">
      <c r="A99" s="286"/>
      <c r="B99" s="286"/>
      <c r="C99" s="286"/>
      <c r="D99" s="285" t="s">
        <v>495</v>
      </c>
      <c r="E99" s="260">
        <v>605111220</v>
      </c>
      <c r="F99" s="261">
        <v>2247664902</v>
      </c>
      <c r="G99" s="297">
        <v>2852776122</v>
      </c>
      <c r="H99" s="267">
        <v>110436379</v>
      </c>
      <c r="I99" s="269"/>
      <c r="J99" s="228"/>
      <c r="K99" s="228"/>
      <c r="L99" s="228"/>
      <c r="M99" s="237"/>
      <c r="N99" s="237"/>
      <c r="O99" s="237"/>
    </row>
    <row r="100" spans="1:15" s="211" customFormat="1" ht="24" customHeight="1">
      <c r="A100" s="287"/>
      <c r="B100" s="287"/>
      <c r="C100" s="285" t="s">
        <v>240</v>
      </c>
      <c r="D100" s="287"/>
      <c r="E100" s="260">
        <v>14953991530</v>
      </c>
      <c r="F100" s="261">
        <v>11581178361</v>
      </c>
      <c r="G100" s="297">
        <v>26535169891</v>
      </c>
      <c r="H100" s="267"/>
      <c r="I100" s="269"/>
      <c r="J100" s="227"/>
      <c r="K100" s="227"/>
      <c r="L100" s="227"/>
      <c r="M100" s="232"/>
      <c r="N100" s="232"/>
      <c r="O100" s="232"/>
    </row>
    <row r="101" spans="1:15" s="212" customFormat="1" ht="24" customHeight="1">
      <c r="A101" s="286"/>
      <c r="B101" s="286"/>
      <c r="C101" s="286"/>
      <c r="D101" s="285" t="s">
        <v>496</v>
      </c>
      <c r="E101" s="260">
        <v>43200000</v>
      </c>
      <c r="F101" s="261">
        <v>76012542</v>
      </c>
      <c r="G101" s="297">
        <v>119212542</v>
      </c>
      <c r="H101" s="267">
        <v>21600</v>
      </c>
      <c r="I101" s="269"/>
      <c r="J101" s="228"/>
      <c r="K101" s="228"/>
      <c r="L101" s="228"/>
      <c r="M101" s="237"/>
      <c r="N101" s="237"/>
      <c r="O101" s="237"/>
    </row>
    <row r="102" spans="1:15" s="212" customFormat="1" ht="24" customHeight="1">
      <c r="A102" s="286"/>
      <c r="B102" s="286"/>
      <c r="C102" s="286"/>
      <c r="D102" s="285" t="s">
        <v>497</v>
      </c>
      <c r="E102" s="260">
        <v>1110791530</v>
      </c>
      <c r="F102" s="261">
        <v>11274527668</v>
      </c>
      <c r="G102" s="297">
        <v>12385319198</v>
      </c>
      <c r="H102" s="267">
        <v>235886376</v>
      </c>
      <c r="I102" s="269"/>
      <c r="J102" s="228"/>
      <c r="K102" s="228"/>
      <c r="L102" s="228"/>
      <c r="M102" s="237"/>
      <c r="N102" s="237"/>
      <c r="O102" s="237"/>
    </row>
    <row r="103" spans="1:15" s="212" customFormat="1" ht="24" customHeight="1">
      <c r="A103" s="295"/>
      <c r="B103" s="295"/>
      <c r="C103" s="295"/>
      <c r="D103" s="288" t="s">
        <v>498</v>
      </c>
      <c r="E103" s="262">
        <v>13800000000</v>
      </c>
      <c r="F103" s="263">
        <v>230638151</v>
      </c>
      <c r="G103" s="299">
        <v>14030638151</v>
      </c>
      <c r="H103" s="272">
        <v>985692191</v>
      </c>
      <c r="I103" s="216"/>
      <c r="J103" s="228"/>
      <c r="K103" s="228"/>
      <c r="L103" s="228"/>
      <c r="M103" s="237"/>
      <c r="N103" s="237"/>
      <c r="O103" s="237"/>
    </row>
    <row r="104" spans="1:15" s="212" customFormat="1" ht="24" customHeight="1">
      <c r="A104" s="285" t="s">
        <v>499</v>
      </c>
      <c r="B104" s="286"/>
      <c r="D104" s="286"/>
      <c r="E104" s="260">
        <v>21183158972</v>
      </c>
      <c r="F104" s="261">
        <v>24894197861</v>
      </c>
      <c r="G104" s="297">
        <v>46077356833</v>
      </c>
      <c r="H104" s="267"/>
      <c r="I104" s="269"/>
      <c r="J104" s="228"/>
      <c r="K104" s="228"/>
      <c r="L104" s="228"/>
      <c r="M104" s="237"/>
      <c r="N104" s="237"/>
      <c r="O104" s="237"/>
    </row>
    <row r="105" spans="1:15" s="212" customFormat="1" ht="24" customHeight="1">
      <c r="A105" s="286"/>
      <c r="B105" s="285" t="s">
        <v>443</v>
      </c>
      <c r="D105" s="286"/>
      <c r="E105" s="260">
        <v>4897084790</v>
      </c>
      <c r="F105" s="264">
        <v>0</v>
      </c>
      <c r="G105" s="297">
        <v>4897084790</v>
      </c>
      <c r="H105" s="267"/>
      <c r="I105" s="269"/>
      <c r="J105" s="228"/>
      <c r="K105" s="228"/>
      <c r="L105" s="228"/>
      <c r="M105" s="237"/>
      <c r="N105" s="237"/>
      <c r="O105" s="237"/>
    </row>
    <row r="106" spans="1:15" s="211" customFormat="1" ht="24" customHeight="1">
      <c r="A106" s="287"/>
      <c r="B106" s="287"/>
      <c r="C106" s="285" t="s">
        <v>185</v>
      </c>
      <c r="D106" s="287"/>
      <c r="E106" s="260">
        <v>3608084790</v>
      </c>
      <c r="F106" s="264">
        <v>0</v>
      </c>
      <c r="G106" s="297">
        <v>3608084790</v>
      </c>
      <c r="H106" s="267"/>
      <c r="I106" s="276"/>
      <c r="J106" s="227"/>
      <c r="K106" s="227"/>
      <c r="L106" s="227"/>
      <c r="M106" s="232"/>
      <c r="N106" s="232"/>
      <c r="O106" s="232"/>
    </row>
    <row r="107" spans="1:15" s="212" customFormat="1" ht="24" customHeight="1">
      <c r="A107" s="286"/>
      <c r="B107" s="286"/>
      <c r="C107" s="286"/>
      <c r="D107" s="285" t="s">
        <v>500</v>
      </c>
      <c r="E107" s="260">
        <v>1325187294</v>
      </c>
      <c r="F107" s="264">
        <v>0</v>
      </c>
      <c r="G107" s="297">
        <v>1325187294</v>
      </c>
      <c r="H107" s="267">
        <v>50000</v>
      </c>
      <c r="I107" s="277"/>
      <c r="J107" s="228"/>
      <c r="K107" s="228"/>
      <c r="L107" s="228"/>
      <c r="M107" s="237"/>
      <c r="N107" s="237"/>
      <c r="O107" s="237"/>
    </row>
    <row r="108" spans="1:15" s="212" customFormat="1" ht="24" customHeight="1">
      <c r="A108" s="286"/>
      <c r="B108" s="286"/>
      <c r="C108" s="286"/>
      <c r="D108" s="285" t="s">
        <v>501</v>
      </c>
      <c r="E108" s="260">
        <v>2270758566</v>
      </c>
      <c r="F108" s="264">
        <v>0</v>
      </c>
      <c r="G108" s="297">
        <v>2270758566</v>
      </c>
      <c r="H108" s="267">
        <v>115620</v>
      </c>
      <c r="I108" s="277"/>
      <c r="J108" s="228"/>
      <c r="K108" s="228"/>
      <c r="L108" s="228"/>
      <c r="M108" s="237"/>
      <c r="N108" s="237"/>
      <c r="O108" s="237"/>
    </row>
    <row r="109" spans="1:15" s="212" customFormat="1" ht="24" customHeight="1">
      <c r="A109" s="286"/>
      <c r="B109" s="286"/>
      <c r="C109" s="286"/>
      <c r="D109" s="285" t="s">
        <v>502</v>
      </c>
      <c r="E109" s="260">
        <v>12138930</v>
      </c>
      <c r="F109" s="264">
        <v>0</v>
      </c>
      <c r="G109" s="297">
        <v>12138930</v>
      </c>
      <c r="H109" s="267">
        <v>617025</v>
      </c>
      <c r="I109" s="277"/>
      <c r="J109" s="228"/>
      <c r="K109" s="228"/>
      <c r="L109" s="228"/>
      <c r="M109" s="237"/>
      <c r="N109" s="237"/>
      <c r="O109" s="237"/>
    </row>
    <row r="110" spans="1:15" s="211" customFormat="1" ht="24" customHeight="1">
      <c r="A110" s="287"/>
      <c r="B110" s="287"/>
      <c r="C110" s="285" t="s">
        <v>216</v>
      </c>
      <c r="D110" s="287"/>
      <c r="E110" s="260">
        <v>89000000</v>
      </c>
      <c r="F110" s="264">
        <v>0</v>
      </c>
      <c r="G110" s="297">
        <v>89000000</v>
      </c>
      <c r="H110" s="267"/>
      <c r="I110" s="269"/>
      <c r="J110" s="227"/>
      <c r="K110" s="227"/>
      <c r="L110" s="227"/>
      <c r="M110" s="232"/>
      <c r="N110" s="232"/>
      <c r="O110" s="232"/>
    </row>
    <row r="111" spans="1:15" s="212" customFormat="1" ht="24" customHeight="1">
      <c r="A111" s="286"/>
      <c r="B111" s="286"/>
      <c r="C111" s="286"/>
      <c r="D111" s="285" t="s">
        <v>503</v>
      </c>
      <c r="E111" s="260">
        <v>89000000</v>
      </c>
      <c r="F111" s="264">
        <v>0</v>
      </c>
      <c r="G111" s="297">
        <v>89000000</v>
      </c>
      <c r="H111" s="267">
        <v>8900000</v>
      </c>
      <c r="I111" s="277"/>
      <c r="J111" s="228"/>
      <c r="K111" s="228"/>
      <c r="L111" s="228"/>
      <c r="M111" s="237"/>
      <c r="N111" s="237"/>
      <c r="O111" s="237"/>
    </row>
    <row r="112" spans="1:15" s="211" customFormat="1" ht="24" customHeight="1">
      <c r="A112" s="287"/>
      <c r="B112" s="287"/>
      <c r="C112" s="285" t="s">
        <v>223</v>
      </c>
      <c r="D112" s="287"/>
      <c r="E112" s="260">
        <v>1200000000</v>
      </c>
      <c r="F112" s="264">
        <v>0</v>
      </c>
      <c r="G112" s="297">
        <v>1200000000</v>
      </c>
      <c r="H112" s="267"/>
      <c r="I112" s="276"/>
      <c r="J112" s="227"/>
      <c r="K112" s="227"/>
      <c r="L112" s="227"/>
      <c r="M112" s="232"/>
      <c r="N112" s="232"/>
      <c r="O112" s="232"/>
    </row>
    <row r="113" spans="1:15" s="212" customFormat="1" ht="24" customHeight="1">
      <c r="A113" s="286"/>
      <c r="B113" s="286"/>
      <c r="C113" s="286"/>
      <c r="D113" s="285" t="s">
        <v>504</v>
      </c>
      <c r="E113" s="260">
        <v>1200000000</v>
      </c>
      <c r="F113" s="264">
        <v>0</v>
      </c>
      <c r="G113" s="297">
        <v>1200000000</v>
      </c>
      <c r="H113" s="267">
        <v>171428571</v>
      </c>
      <c r="I113" s="277"/>
      <c r="J113" s="228"/>
      <c r="K113" s="228"/>
      <c r="L113" s="228"/>
      <c r="M113" s="237"/>
      <c r="N113" s="237"/>
      <c r="O113" s="237"/>
    </row>
    <row r="114" spans="1:15" s="215" customFormat="1" ht="26.25" customHeight="1">
      <c r="A114" s="290"/>
      <c r="B114" s="285" t="s">
        <v>505</v>
      </c>
      <c r="D114" s="290"/>
      <c r="E114" s="260">
        <v>16286074182</v>
      </c>
      <c r="F114" s="261">
        <v>24894197861</v>
      </c>
      <c r="G114" s="297">
        <v>41180272043</v>
      </c>
      <c r="H114" s="267"/>
      <c r="I114" s="269"/>
      <c r="J114" s="230"/>
      <c r="K114" s="230"/>
      <c r="L114" s="230"/>
      <c r="M114" s="232"/>
      <c r="N114" s="232"/>
      <c r="O114" s="232"/>
    </row>
    <row r="115" spans="1:15" s="211" customFormat="1" ht="24" customHeight="1">
      <c r="A115" s="287"/>
      <c r="B115" s="287"/>
      <c r="C115" s="285" t="s">
        <v>191</v>
      </c>
      <c r="D115" s="287"/>
      <c r="E115" s="260">
        <v>2962286679</v>
      </c>
      <c r="F115" s="264">
        <v>0</v>
      </c>
      <c r="G115" s="297">
        <v>2962286679</v>
      </c>
      <c r="H115" s="267"/>
      <c r="I115" s="269"/>
      <c r="J115" s="227"/>
      <c r="K115" s="227"/>
      <c r="L115" s="227"/>
      <c r="M115" s="232"/>
      <c r="N115" s="232"/>
      <c r="O115" s="232"/>
    </row>
    <row r="116" spans="1:15" s="211" customFormat="1" ht="5.0999999999999996" customHeight="1">
      <c r="A116" s="287"/>
      <c r="B116" s="287"/>
      <c r="C116" s="309"/>
      <c r="D116" s="287"/>
      <c r="E116" s="260"/>
      <c r="F116" s="264"/>
      <c r="G116" s="297"/>
      <c r="H116" s="267"/>
      <c r="I116" s="269"/>
      <c r="J116" s="227"/>
      <c r="K116" s="227"/>
      <c r="L116" s="227"/>
      <c r="M116" s="232"/>
      <c r="N116" s="232"/>
      <c r="O116" s="232"/>
    </row>
    <row r="117" spans="1:15" s="212" customFormat="1" ht="66.95" customHeight="1">
      <c r="A117" s="286"/>
      <c r="B117" s="286"/>
      <c r="C117" s="286"/>
      <c r="D117" s="305" t="s">
        <v>193</v>
      </c>
      <c r="E117" s="306">
        <v>1523848350</v>
      </c>
      <c r="F117" s="264">
        <v>0</v>
      </c>
      <c r="G117" s="308">
        <v>1523848350</v>
      </c>
      <c r="H117" s="267"/>
      <c r="I117" s="307" t="s">
        <v>510</v>
      </c>
      <c r="J117" s="246"/>
      <c r="K117" s="246"/>
      <c r="L117" s="228"/>
      <c r="M117" s="237"/>
      <c r="N117" s="237"/>
      <c r="O117" s="237"/>
    </row>
    <row r="118" spans="1:15" s="212" customFormat="1" ht="54" customHeight="1">
      <c r="A118" s="286"/>
      <c r="B118" s="286"/>
      <c r="C118" s="286"/>
      <c r="D118" s="305" t="s">
        <v>470</v>
      </c>
      <c r="E118" s="306">
        <v>7284900</v>
      </c>
      <c r="F118" s="264">
        <v>0</v>
      </c>
      <c r="G118" s="308">
        <v>7284900</v>
      </c>
      <c r="H118" s="267"/>
      <c r="I118" s="213" t="s">
        <v>508</v>
      </c>
      <c r="J118" s="228"/>
      <c r="K118" s="228"/>
      <c r="L118" s="228"/>
      <c r="M118" s="237"/>
      <c r="N118" s="237"/>
      <c r="O118" s="237"/>
    </row>
    <row r="119" spans="1:15" s="212" customFormat="1" ht="50.1" customHeight="1">
      <c r="A119" s="286"/>
      <c r="B119" s="286"/>
      <c r="C119" s="286"/>
      <c r="D119" s="305" t="s">
        <v>209</v>
      </c>
      <c r="E119" s="306">
        <v>1431153429</v>
      </c>
      <c r="F119" s="264">
        <v>0</v>
      </c>
      <c r="G119" s="308">
        <v>1431153429</v>
      </c>
      <c r="H119" s="267"/>
      <c r="I119" s="307" t="s">
        <v>511</v>
      </c>
      <c r="J119" s="228"/>
      <c r="K119" s="228"/>
      <c r="L119" s="228"/>
      <c r="M119" s="237"/>
      <c r="N119" s="237"/>
      <c r="O119" s="237"/>
    </row>
    <row r="120" spans="1:15" s="211" customFormat="1" ht="26.25" customHeight="1">
      <c r="A120" s="287"/>
      <c r="B120" s="287"/>
      <c r="C120" s="285" t="s">
        <v>216</v>
      </c>
      <c r="E120" s="260">
        <v>12132349503</v>
      </c>
      <c r="F120" s="261">
        <v>24894197861</v>
      </c>
      <c r="G120" s="297">
        <v>37026547364</v>
      </c>
      <c r="H120" s="267"/>
      <c r="I120" s="269"/>
      <c r="J120" s="227"/>
      <c r="K120" s="227"/>
      <c r="L120" s="227"/>
      <c r="M120" s="232"/>
      <c r="N120" s="232"/>
      <c r="O120" s="232"/>
    </row>
    <row r="121" spans="1:15" s="212" customFormat="1" ht="26.25" customHeight="1">
      <c r="A121" s="286"/>
      <c r="B121" s="286"/>
      <c r="C121" s="286"/>
      <c r="D121" s="285" t="s">
        <v>506</v>
      </c>
      <c r="E121" s="260">
        <v>100000000</v>
      </c>
      <c r="F121" s="261">
        <v>24894197861</v>
      </c>
      <c r="G121" s="297">
        <v>24994197861</v>
      </c>
      <c r="H121" s="267">
        <v>50000000</v>
      </c>
      <c r="I121" s="269"/>
      <c r="J121" s="247"/>
      <c r="K121" s="247"/>
      <c r="L121" s="228"/>
      <c r="M121" s="237"/>
      <c r="N121" s="237"/>
      <c r="O121" s="237"/>
    </row>
    <row r="122" spans="1:15" s="212" customFormat="1" ht="34.5" customHeight="1">
      <c r="A122" s="286"/>
      <c r="B122" s="286"/>
      <c r="C122" s="286"/>
      <c r="D122" s="285" t="s">
        <v>458</v>
      </c>
      <c r="E122" s="260">
        <v>12032349503</v>
      </c>
      <c r="F122" s="264">
        <v>0</v>
      </c>
      <c r="G122" s="297">
        <v>12032349503</v>
      </c>
      <c r="H122" s="267"/>
      <c r="I122" s="278" t="s">
        <v>454</v>
      </c>
      <c r="J122" s="247"/>
      <c r="K122" s="247"/>
      <c r="L122" s="228"/>
      <c r="M122" s="237"/>
      <c r="N122" s="237"/>
      <c r="O122" s="237"/>
    </row>
    <row r="123" spans="1:15" s="211" customFormat="1" ht="26.25" customHeight="1">
      <c r="A123" s="287"/>
      <c r="B123" s="287"/>
      <c r="C123" s="285" t="s">
        <v>442</v>
      </c>
      <c r="D123" s="287"/>
      <c r="E123" s="260">
        <v>1191438000</v>
      </c>
      <c r="F123" s="264">
        <v>0</v>
      </c>
      <c r="G123" s="297">
        <v>1191438000</v>
      </c>
      <c r="H123" s="267"/>
      <c r="I123" s="269"/>
      <c r="J123" s="227"/>
      <c r="K123" s="227"/>
      <c r="L123" s="227"/>
      <c r="M123" s="232"/>
      <c r="N123" s="232"/>
      <c r="O123" s="232"/>
    </row>
    <row r="124" spans="1:15" s="212" customFormat="1" ht="50.1" customHeight="1">
      <c r="A124" s="286"/>
      <c r="B124" s="286"/>
      <c r="C124" s="286"/>
      <c r="D124" s="285" t="s">
        <v>201</v>
      </c>
      <c r="E124" s="260">
        <v>1191438000</v>
      </c>
      <c r="F124" s="264">
        <v>0</v>
      </c>
      <c r="G124" s="297">
        <v>1191438000</v>
      </c>
      <c r="H124" s="267"/>
      <c r="I124" s="278" t="s">
        <v>507</v>
      </c>
      <c r="J124" s="247"/>
      <c r="K124" s="247"/>
      <c r="L124" s="228"/>
      <c r="M124" s="237"/>
      <c r="N124" s="237"/>
      <c r="O124" s="237"/>
    </row>
    <row r="125" spans="1:15" s="212" customFormat="1" ht="15.2" customHeight="1">
      <c r="A125" s="286"/>
      <c r="B125" s="286"/>
      <c r="C125" s="286"/>
      <c r="D125" s="286"/>
      <c r="E125" s="260"/>
      <c r="F125" s="264"/>
      <c r="G125" s="297"/>
      <c r="H125" s="267"/>
      <c r="I125" s="278"/>
      <c r="J125" s="247"/>
      <c r="K125" s="247"/>
      <c r="L125" s="228"/>
      <c r="M125" s="237"/>
      <c r="N125" s="237"/>
      <c r="O125" s="237"/>
    </row>
    <row r="126" spans="1:15" s="212" customFormat="1" ht="26.25" customHeight="1">
      <c r="A126" s="286"/>
      <c r="B126" s="286"/>
      <c r="C126" s="286"/>
      <c r="D126" s="286"/>
      <c r="E126" s="260"/>
      <c r="F126" s="264"/>
      <c r="G126" s="297"/>
      <c r="H126" s="267"/>
      <c r="I126" s="278"/>
      <c r="J126" s="247"/>
      <c r="K126" s="247"/>
      <c r="L126" s="228"/>
      <c r="M126" s="237"/>
      <c r="N126" s="237"/>
      <c r="O126" s="237"/>
    </row>
    <row r="127" spans="1:15" ht="31.5" customHeight="1">
      <c r="A127" s="314" t="s">
        <v>457</v>
      </c>
      <c r="B127" s="315"/>
      <c r="C127" s="315"/>
      <c r="D127" s="316"/>
      <c r="E127" s="255">
        <v>2927003194635</v>
      </c>
      <c r="F127" s="256">
        <v>4377241158173.9951</v>
      </c>
      <c r="G127" s="300">
        <v>7304244352808.9951</v>
      </c>
      <c r="H127" s="279"/>
      <c r="I127" s="216"/>
      <c r="K127" s="230"/>
    </row>
    <row r="128" spans="1:15" ht="153" customHeight="1">
      <c r="A128" s="317" t="s">
        <v>512</v>
      </c>
      <c r="B128" s="317"/>
      <c r="C128" s="317"/>
      <c r="D128" s="317"/>
      <c r="E128" s="317"/>
      <c r="F128" s="317"/>
      <c r="G128" s="317"/>
      <c r="H128" s="317"/>
      <c r="I128" s="317"/>
      <c r="J128" s="294"/>
      <c r="K128" s="230"/>
    </row>
    <row r="129" spans="1:6" ht="30" customHeight="1">
      <c r="D129" s="301"/>
      <c r="E129" s="280"/>
      <c r="F129" s="281"/>
    </row>
    <row r="130" spans="1:6" ht="30" customHeight="1">
      <c r="A130" s="302"/>
      <c r="D130" s="301"/>
      <c r="E130" s="303"/>
      <c r="F130" s="281"/>
    </row>
    <row r="131" spans="1:6" ht="30" customHeight="1">
      <c r="D131" s="301"/>
      <c r="E131" s="280"/>
      <c r="F131" s="281"/>
    </row>
    <row r="132" spans="1:6" ht="30" customHeight="1">
      <c r="D132" s="301"/>
      <c r="E132" s="280"/>
      <c r="F132" s="281"/>
    </row>
    <row r="133" spans="1:6" ht="30" customHeight="1">
      <c r="D133" s="301"/>
      <c r="E133" s="280"/>
    </row>
    <row r="134" spans="1:6" ht="30" customHeight="1">
      <c r="A134" s="302"/>
      <c r="D134" s="301"/>
      <c r="E134" s="303"/>
      <c r="F134" s="281"/>
    </row>
    <row r="135" spans="1:6" ht="30" customHeight="1">
      <c r="D135" s="301"/>
      <c r="E135" s="283"/>
      <c r="F135" s="281"/>
    </row>
    <row r="136" spans="1:6" ht="30" customHeight="1">
      <c r="D136" s="301"/>
      <c r="E136" s="283"/>
    </row>
    <row r="137" spans="1:6" ht="30" customHeight="1">
      <c r="E137" s="282"/>
      <c r="F137" s="281"/>
    </row>
  </sheetData>
  <autoFilter ref="A4:U4">
    <filterColumn colId="0" showButton="0"/>
    <filterColumn colId="1" showButton="0"/>
    <filterColumn colId="2" showButton="0"/>
  </autoFilter>
  <mergeCells count="5">
    <mergeCell ref="A1:I1"/>
    <mergeCell ref="A2:I2"/>
    <mergeCell ref="A4:D4"/>
    <mergeCell ref="A127:D127"/>
    <mergeCell ref="A128:I128"/>
  </mergeCells>
  <phoneticPr fontId="3" type="noConversion"/>
  <printOptions horizontalCentered="1"/>
  <pageMargins left="0.35433070866141736" right="0.35433070866141736" top="0.55118110236220474" bottom="0.74803149606299213" header="0.31496062992125984" footer="0.31496062992125984"/>
  <pageSetup paperSize="9" scale="82" fitToHeight="4" orientation="portrait" useFirstPageNumber="1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8">
    <pageSetUpPr fitToPage="1"/>
  </sheetPr>
  <dimension ref="A1:T165"/>
  <sheetViews>
    <sheetView view="pageBreakPreview" zoomScale="70" zoomScaleNormal="75" zoomScaleSheetLayoutView="70" workbookViewId="0">
      <pane xSplit="3" ySplit="9" topLeftCell="J67" activePane="bottomRight" state="frozen"/>
      <selection pane="topRight" activeCell="C1" sqref="C1"/>
      <selection pane="bottomLeft" activeCell="A7" sqref="A7"/>
      <selection pane="bottomRight" activeCell="L87" sqref="L87"/>
    </sheetView>
  </sheetViews>
  <sheetFormatPr defaultRowHeight="16.5"/>
  <cols>
    <col min="1" max="1" width="6.5" style="1" customWidth="1"/>
    <col min="2" max="2" width="37.375" style="174" customWidth="1"/>
    <col min="3" max="3" width="37.625" style="175" customWidth="1"/>
    <col min="4" max="4" width="26" style="176" customWidth="1"/>
    <col min="5" max="6" width="26.125" style="110" customWidth="1"/>
    <col min="7" max="7" width="24.125" style="110" customWidth="1"/>
    <col min="8" max="8" width="23.5" style="110" customWidth="1"/>
    <col min="9" max="9" width="27.125" style="110" customWidth="1"/>
    <col min="10" max="10" width="21.5" customWidth="1"/>
    <col min="11" max="11" width="21.375" customWidth="1"/>
    <col min="12" max="13" width="22.875" customWidth="1"/>
    <col min="14" max="14" width="25.125" style="177" customWidth="1"/>
    <col min="15" max="15" width="10.5" style="15" customWidth="1"/>
    <col min="16" max="16" width="26.625" style="2" customWidth="1"/>
    <col min="17" max="17" width="21.875" style="2" customWidth="1"/>
    <col min="18" max="18" width="18.625" style="3" customWidth="1"/>
    <col min="19" max="19" width="22.875" style="3" customWidth="1"/>
    <col min="20" max="20" width="8.875" style="4" customWidth="1"/>
  </cols>
  <sheetData>
    <row r="1" spans="1:20" ht="40.5" customHeight="1">
      <c r="B1" s="344" t="s">
        <v>439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20" s="15" customFormat="1" ht="24" customHeight="1">
      <c r="A2" s="5"/>
      <c r="B2" s="6"/>
      <c r="C2" s="7"/>
      <c r="D2" s="6"/>
      <c r="E2" s="8"/>
      <c r="F2" s="8"/>
      <c r="G2" s="8"/>
      <c r="H2" s="8"/>
      <c r="I2" s="8"/>
      <c r="J2" s="9" t="s">
        <v>1</v>
      </c>
      <c r="K2" s="9"/>
      <c r="L2" s="9"/>
      <c r="M2" s="10"/>
      <c r="N2" s="11" t="s">
        <v>2</v>
      </c>
      <c r="O2" s="12"/>
      <c r="P2" s="13"/>
      <c r="Q2" s="13"/>
      <c r="R2" s="14"/>
      <c r="S2" s="14"/>
    </row>
    <row r="3" spans="1:20" s="15" customFormat="1" ht="22.5" hidden="1" customHeight="1">
      <c r="A3" s="5"/>
      <c r="B3" s="333" t="s">
        <v>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13"/>
      <c r="Q3" s="13"/>
      <c r="R3" s="14"/>
      <c r="S3" s="14"/>
    </row>
    <row r="4" spans="1:20" ht="20.100000000000001" hidden="1" customHeight="1">
      <c r="B4" s="16"/>
      <c r="C4" s="17"/>
      <c r="D4" s="18"/>
      <c r="E4" s="19"/>
      <c r="F4" s="19"/>
      <c r="G4" s="19"/>
      <c r="H4" s="19"/>
      <c r="I4" s="19"/>
      <c r="J4" s="20"/>
      <c r="K4" s="20"/>
      <c r="L4" s="20"/>
      <c r="M4" s="20"/>
      <c r="N4" s="21"/>
      <c r="O4" s="22"/>
    </row>
    <row r="5" spans="1:20" ht="34.5" customHeight="1">
      <c r="B5" s="320" t="s">
        <v>4</v>
      </c>
      <c r="C5" s="337" t="s">
        <v>5</v>
      </c>
      <c r="D5" s="339" t="s">
        <v>422</v>
      </c>
      <c r="E5" s="340"/>
      <c r="F5" s="340"/>
      <c r="G5" s="341"/>
      <c r="H5" s="341"/>
      <c r="I5" s="342"/>
      <c r="J5" s="343" t="s">
        <v>421</v>
      </c>
      <c r="K5" s="340"/>
      <c r="L5" s="340"/>
      <c r="M5" s="340"/>
      <c r="N5" s="340"/>
      <c r="O5" s="23"/>
    </row>
    <row r="6" spans="1:20" ht="34.5" customHeight="1">
      <c r="B6" s="323"/>
      <c r="C6" s="338"/>
      <c r="D6" s="24"/>
      <c r="E6" s="343" t="s">
        <v>8</v>
      </c>
      <c r="F6" s="342"/>
      <c r="G6" s="343" t="s">
        <v>9</v>
      </c>
      <c r="H6" s="342"/>
      <c r="I6" s="19"/>
      <c r="J6" s="25"/>
      <c r="K6" s="19"/>
      <c r="L6" s="19"/>
      <c r="M6" s="19"/>
      <c r="N6" s="26"/>
      <c r="O6" s="27"/>
    </row>
    <row r="7" spans="1:20" ht="23.25" customHeight="1">
      <c r="B7" s="335"/>
      <c r="C7" s="335"/>
      <c r="D7" s="330" t="s">
        <v>10</v>
      </c>
      <c r="E7" s="328" t="s">
        <v>11</v>
      </c>
      <c r="F7" s="324" t="s">
        <v>12</v>
      </c>
      <c r="G7" s="328" t="s">
        <v>11</v>
      </c>
      <c r="H7" s="324" t="s">
        <v>13</v>
      </c>
      <c r="I7" s="324" t="s">
        <v>14</v>
      </c>
      <c r="J7" s="320" t="s">
        <v>15</v>
      </c>
      <c r="K7" s="320" t="s">
        <v>16</v>
      </c>
      <c r="L7" s="320" t="s">
        <v>17</v>
      </c>
      <c r="M7" s="324" t="s">
        <v>18</v>
      </c>
      <c r="N7" s="326" t="s">
        <v>19</v>
      </c>
      <c r="O7" s="328" t="s">
        <v>20</v>
      </c>
    </row>
    <row r="8" spans="1:20" ht="26.1" customHeight="1">
      <c r="B8" s="335"/>
      <c r="C8" s="335"/>
      <c r="D8" s="331"/>
      <c r="E8" s="329"/>
      <c r="F8" s="325"/>
      <c r="G8" s="329"/>
      <c r="H8" s="332"/>
      <c r="I8" s="332"/>
      <c r="J8" s="321"/>
      <c r="K8" s="322"/>
      <c r="L8" s="323"/>
      <c r="M8" s="325"/>
      <c r="N8" s="327"/>
      <c r="O8" s="329"/>
      <c r="P8" s="28" t="s">
        <v>423</v>
      </c>
      <c r="Q8" s="28" t="s">
        <v>425</v>
      </c>
      <c r="R8" s="29" t="s">
        <v>424</v>
      </c>
      <c r="S8" s="29" t="s">
        <v>426</v>
      </c>
      <c r="T8" s="30" t="s">
        <v>21</v>
      </c>
    </row>
    <row r="9" spans="1:20" ht="26.1" customHeight="1">
      <c r="B9" s="335"/>
      <c r="C9" s="335"/>
      <c r="D9" s="331"/>
      <c r="E9" s="329"/>
      <c r="F9" s="325"/>
      <c r="G9" s="329"/>
      <c r="H9" s="332"/>
      <c r="I9" s="332"/>
      <c r="J9" s="321"/>
      <c r="K9" s="322"/>
      <c r="L9" s="323"/>
      <c r="M9" s="325"/>
      <c r="N9" s="327"/>
      <c r="O9" s="329"/>
    </row>
    <row r="10" spans="1:20" ht="19.5" customHeight="1">
      <c r="B10" s="336"/>
      <c r="C10" s="336"/>
      <c r="D10" s="31" t="s">
        <v>22</v>
      </c>
      <c r="E10" s="31" t="s">
        <v>23</v>
      </c>
      <c r="F10" s="31" t="s">
        <v>24</v>
      </c>
      <c r="G10" s="31" t="s">
        <v>25</v>
      </c>
      <c r="H10" s="31" t="s">
        <v>26</v>
      </c>
      <c r="I10" s="31" t="s">
        <v>27</v>
      </c>
      <c r="J10" s="32"/>
      <c r="K10" s="33"/>
      <c r="L10" s="31" t="s">
        <v>28</v>
      </c>
      <c r="M10" s="34" t="s">
        <v>29</v>
      </c>
      <c r="N10" s="35" t="s">
        <v>30</v>
      </c>
      <c r="O10" s="34" t="s">
        <v>31</v>
      </c>
    </row>
    <row r="11" spans="1:20" ht="19.5" customHeight="1">
      <c r="B11" s="36" t="s">
        <v>32</v>
      </c>
      <c r="C11" s="37"/>
      <c r="D11" s="38">
        <f>D12+D45</f>
        <v>1349019283236.5</v>
      </c>
      <c r="E11" s="38">
        <f>E12+E45</f>
        <v>3829511814369.6108</v>
      </c>
      <c r="F11" s="38">
        <f>F12+F45</f>
        <v>2480492531133.1211</v>
      </c>
      <c r="G11" s="39"/>
      <c r="H11" s="39"/>
      <c r="I11" s="40">
        <f>D11+F11+H11</f>
        <v>3829511814369.6211</v>
      </c>
      <c r="J11" s="41"/>
      <c r="K11" s="41"/>
      <c r="L11" s="41"/>
      <c r="M11" s="42">
        <f>M12+M45</f>
        <v>102690994855</v>
      </c>
      <c r="N11" s="43"/>
      <c r="O11" s="44"/>
    </row>
    <row r="12" spans="1:20" s="49" customFormat="1" ht="22.15" customHeight="1">
      <c r="A12" s="1"/>
      <c r="B12" s="45" t="s">
        <v>33</v>
      </c>
      <c r="C12" s="46"/>
      <c r="D12" s="38">
        <f>D13+D20+D15+D29+D43+D39+D41</f>
        <v>1250334628287.5</v>
      </c>
      <c r="E12" s="38">
        <f>E13+E20+E15+E29+E43+E39+E41</f>
        <v>3461193004325.6313</v>
      </c>
      <c r="F12" s="38">
        <f>F13+F20+F15+F29+F43+F39+F41</f>
        <v>2210858376038.1313</v>
      </c>
      <c r="G12" s="39"/>
      <c r="H12" s="39"/>
      <c r="I12" s="40">
        <f t="shared" ref="I12:I82" si="0">D12+F12+H12</f>
        <v>3461193004325.6313</v>
      </c>
      <c r="J12" s="47"/>
      <c r="K12" s="47"/>
      <c r="L12" s="47"/>
      <c r="M12" s="42">
        <f>M13+M20+M15+M29+M43+M39+M41</f>
        <v>86892668803</v>
      </c>
      <c r="N12" s="41"/>
      <c r="O12" s="48"/>
      <c r="P12" s="2"/>
      <c r="Q12" s="2"/>
      <c r="R12" s="3"/>
      <c r="S12" s="3"/>
      <c r="T12" s="4"/>
    </row>
    <row r="13" spans="1:20" s="49" customFormat="1" ht="22.15" customHeight="1">
      <c r="A13" s="1"/>
      <c r="B13" s="50" t="s">
        <v>34</v>
      </c>
      <c r="C13" s="51"/>
      <c r="D13" s="52">
        <f>SUM(D14)</f>
        <v>80000000000</v>
      </c>
      <c r="E13" s="52">
        <f>E14</f>
        <v>1077490248059.95</v>
      </c>
      <c r="F13" s="40">
        <f>E13-D13</f>
        <v>997490248059.94995</v>
      </c>
      <c r="G13" s="53"/>
      <c r="H13" s="53"/>
      <c r="I13" s="40">
        <f t="shared" si="0"/>
        <v>1077490248059.95</v>
      </c>
      <c r="J13" s="54"/>
      <c r="K13" s="55"/>
      <c r="L13" s="55"/>
      <c r="M13" s="56">
        <f>M14</f>
        <v>0</v>
      </c>
      <c r="N13" s="57"/>
      <c r="O13" s="58"/>
      <c r="P13" s="2"/>
      <c r="Q13" s="2"/>
      <c r="R13" s="3"/>
      <c r="S13" s="3"/>
      <c r="T13" s="4"/>
    </row>
    <row r="14" spans="1:20" s="49" customFormat="1" ht="22.15" customHeight="1">
      <c r="A14" s="1" t="s">
        <v>35</v>
      </c>
      <c r="B14" s="59" t="s">
        <v>36</v>
      </c>
      <c r="C14" s="60" t="s">
        <v>37</v>
      </c>
      <c r="D14" s="61">
        <v>80000000000</v>
      </c>
      <c r="E14" s="61">
        <f>L14*N14/100</f>
        <v>1077490248059.95</v>
      </c>
      <c r="F14" s="61">
        <f>E14-D14</f>
        <v>997490248059.94995</v>
      </c>
      <c r="G14" s="62"/>
      <c r="H14" s="62"/>
      <c r="I14" s="61">
        <f t="shared" si="0"/>
        <v>1077490248059.95</v>
      </c>
      <c r="J14" s="61"/>
      <c r="K14" s="63">
        <v>80000000000</v>
      </c>
      <c r="L14" s="63">
        <v>1077490248059.95</v>
      </c>
      <c r="M14" s="64"/>
      <c r="N14" s="65">
        <f>ROUND(IF(J14=0,D14/K14*100,M14/J14*100),2)</f>
        <v>100</v>
      </c>
      <c r="O14" s="66"/>
      <c r="P14" s="2">
        <v>80000000000</v>
      </c>
      <c r="Q14" s="2">
        <f>D14-P14</f>
        <v>0</v>
      </c>
      <c r="R14" s="3"/>
      <c r="S14" s="3">
        <v>0</v>
      </c>
      <c r="T14" s="4"/>
    </row>
    <row r="15" spans="1:20" s="49" customFormat="1" ht="20.65" customHeight="1">
      <c r="A15" s="1"/>
      <c r="B15" s="50" t="s">
        <v>38</v>
      </c>
      <c r="C15" s="67"/>
      <c r="D15" s="52">
        <f>SUM(D16:D19)</f>
        <v>193464074730</v>
      </c>
      <c r="E15" s="52">
        <f>SUM(E16:E19)</f>
        <v>559163602075.29993</v>
      </c>
      <c r="F15" s="52">
        <f>SUM(F16:F19)</f>
        <v>365699527345.29999</v>
      </c>
      <c r="G15" s="53"/>
      <c r="H15" s="53"/>
      <c r="I15" s="40">
        <f t="shared" si="0"/>
        <v>559163602075.30005</v>
      </c>
      <c r="J15" s="68"/>
      <c r="K15" s="69"/>
      <c r="L15" s="52"/>
      <c r="M15" s="70">
        <f>SUM(M16:M19)</f>
        <v>19644899973</v>
      </c>
      <c r="N15" s="71"/>
      <c r="O15" s="58"/>
      <c r="P15" s="2"/>
      <c r="Q15" s="2"/>
      <c r="R15" s="3"/>
      <c r="S15" s="3"/>
      <c r="T15" s="4"/>
    </row>
    <row r="16" spans="1:20" s="4" customFormat="1">
      <c r="A16" s="1" t="s">
        <v>42</v>
      </c>
      <c r="B16" s="72" t="s">
        <v>39</v>
      </c>
      <c r="C16" s="60" t="s">
        <v>43</v>
      </c>
      <c r="D16" s="61">
        <v>90000000000</v>
      </c>
      <c r="E16" s="61">
        <f>L16*N16/100</f>
        <v>305129966215.42999</v>
      </c>
      <c r="F16" s="61">
        <f>E16-D16</f>
        <v>215129966215.42999</v>
      </c>
      <c r="G16" s="75"/>
      <c r="H16" s="75"/>
      <c r="I16" s="61">
        <f t="shared" si="0"/>
        <v>305129966215.42999</v>
      </c>
      <c r="J16" s="76">
        <v>9000000000</v>
      </c>
      <c r="K16" s="61">
        <v>90000000000</v>
      </c>
      <c r="L16" s="61">
        <v>305129966215.42999</v>
      </c>
      <c r="M16" s="76">
        <v>9000000000</v>
      </c>
      <c r="N16" s="65">
        <f>ROUND(IF(J16=0,D16/K16*100,M16/J16*100),2)</f>
        <v>100</v>
      </c>
      <c r="O16" s="66"/>
      <c r="P16" s="77">
        <v>90000000000</v>
      </c>
      <c r="Q16" s="77">
        <f>D16-P16</f>
        <v>0</v>
      </c>
      <c r="R16" s="78">
        <v>9000000000</v>
      </c>
      <c r="S16" s="78">
        <f>M16-R16</f>
        <v>0</v>
      </c>
    </row>
    <row r="17" spans="1:20">
      <c r="A17" s="1" t="s">
        <v>44</v>
      </c>
      <c r="B17" s="72" t="s">
        <v>39</v>
      </c>
      <c r="C17" s="60" t="s">
        <v>45</v>
      </c>
      <c r="D17" s="61">
        <v>58949075000</v>
      </c>
      <c r="E17" s="61">
        <f>L17*N17/100</f>
        <v>157191090911.67001</v>
      </c>
      <c r="F17" s="61">
        <f>E17-D17</f>
        <v>98242015911.670013</v>
      </c>
      <c r="G17" s="75"/>
      <c r="H17" s="75"/>
      <c r="I17" s="61">
        <f t="shared" si="0"/>
        <v>157191090911.67001</v>
      </c>
      <c r="J17" s="76">
        <v>6259400000</v>
      </c>
      <c r="K17" s="61">
        <v>62594000000</v>
      </c>
      <c r="L17" s="61">
        <v>157191090911.67001</v>
      </c>
      <c r="M17" s="76">
        <v>6259400000</v>
      </c>
      <c r="N17" s="65">
        <f>ROUND(IF(J17=0,D17/K17*100,M17/J17*100),2)</f>
        <v>100</v>
      </c>
      <c r="O17" s="66"/>
      <c r="P17" s="2">
        <v>58949075000</v>
      </c>
      <c r="Q17" s="2">
        <f>D17-P17</f>
        <v>0</v>
      </c>
      <c r="R17" s="3">
        <v>6259400000</v>
      </c>
      <c r="S17" s="3">
        <f>M17-R17</f>
        <v>0</v>
      </c>
    </row>
    <row r="18" spans="1:20">
      <c r="A18" s="1" t="s">
        <v>46</v>
      </c>
      <c r="B18" s="72" t="s">
        <v>39</v>
      </c>
      <c r="C18" s="60" t="s">
        <v>47</v>
      </c>
      <c r="D18" s="61">
        <v>660000000</v>
      </c>
      <c r="E18" s="61">
        <f>L18*N18/100</f>
        <v>997928167.05999994</v>
      </c>
      <c r="F18" s="61">
        <f>E18-D18</f>
        <v>337928167.05999994</v>
      </c>
      <c r="G18" s="75"/>
      <c r="H18" s="75"/>
      <c r="I18" s="61">
        <f t="shared" si="0"/>
        <v>997928167.05999994</v>
      </c>
      <c r="J18" s="76"/>
      <c r="K18" s="61">
        <v>660000000</v>
      </c>
      <c r="L18" s="61">
        <v>997928167.05999994</v>
      </c>
      <c r="M18" s="76"/>
      <c r="N18" s="65">
        <f>ROUND(IF(J18=0,D18/K18*100,M18/J18*100),2)</f>
        <v>100</v>
      </c>
      <c r="O18" s="66"/>
      <c r="P18" s="2">
        <v>660000000</v>
      </c>
      <c r="Q18" s="2">
        <f>D18-P18</f>
        <v>0</v>
      </c>
      <c r="S18" s="3">
        <f>M18-R18</f>
        <v>0</v>
      </c>
    </row>
    <row r="19" spans="1:20">
      <c r="A19" s="1" t="s">
        <v>48</v>
      </c>
      <c r="B19" s="72" t="s">
        <v>39</v>
      </c>
      <c r="C19" s="60" t="s">
        <v>49</v>
      </c>
      <c r="D19" s="61">
        <v>43854999730</v>
      </c>
      <c r="E19" s="61">
        <f>L19*N19/100</f>
        <v>95844616781.139999</v>
      </c>
      <c r="F19" s="61">
        <f>E19-D19</f>
        <v>51989617051.139999</v>
      </c>
      <c r="G19" s="62"/>
      <c r="H19" s="62"/>
      <c r="I19" s="61">
        <f t="shared" si="0"/>
        <v>95844616781.139999</v>
      </c>
      <c r="J19" s="76">
        <v>4385499973</v>
      </c>
      <c r="K19" s="61">
        <v>43854999730</v>
      </c>
      <c r="L19" s="61">
        <v>95844616781.139999</v>
      </c>
      <c r="M19" s="76">
        <v>4385499973</v>
      </c>
      <c r="N19" s="65">
        <f>ROUND(IF(J19=0,D19/K19*100,M19/J19*100),2)</f>
        <v>100</v>
      </c>
      <c r="O19" s="66"/>
      <c r="P19" s="2">
        <v>43854999730</v>
      </c>
      <c r="Q19" s="2">
        <f>D19-P19</f>
        <v>0</v>
      </c>
      <c r="R19" s="3">
        <v>4385499973</v>
      </c>
      <c r="S19" s="3">
        <f>M19-R19</f>
        <v>0</v>
      </c>
    </row>
    <row r="20" spans="1:20" s="49" customFormat="1" ht="22.15" customHeight="1">
      <c r="A20" s="1"/>
      <c r="B20" s="50" t="s">
        <v>50</v>
      </c>
      <c r="C20" s="79"/>
      <c r="D20" s="52">
        <f>D21+D22+D23+D24+D27+D28</f>
        <v>613706602718</v>
      </c>
      <c r="E20" s="52">
        <f>E21+E22+E23+E24+E27+E28</f>
        <v>1106600087939.5913</v>
      </c>
      <c r="F20" s="52">
        <f>F21+F22+F23+F24+F27+F28</f>
        <v>492893485221.59137</v>
      </c>
      <c r="G20" s="53"/>
      <c r="H20" s="53"/>
      <c r="I20" s="40">
        <f>D20+F20</f>
        <v>1106600087939.5913</v>
      </c>
      <c r="J20" s="81"/>
      <c r="K20" s="82"/>
      <c r="L20" s="82"/>
      <c r="M20" s="56">
        <f>M21+M22+M23+M24+M27+M28</f>
        <v>49104050176</v>
      </c>
      <c r="N20" s="71"/>
      <c r="O20" s="58"/>
      <c r="P20" s="2"/>
      <c r="Q20" s="2"/>
      <c r="R20" s="3"/>
      <c r="S20" s="3"/>
      <c r="T20" s="4"/>
    </row>
    <row r="21" spans="1:20" s="49" customFormat="1">
      <c r="A21" s="1" t="s">
        <v>51</v>
      </c>
      <c r="B21" s="72" t="s">
        <v>52</v>
      </c>
      <c r="C21" s="60" t="s">
        <v>53</v>
      </c>
      <c r="D21" s="61">
        <v>47028862170</v>
      </c>
      <c r="E21" s="61">
        <f t="shared" ref="E21:E23" si="1">L21*N21/100</f>
        <v>385298758792.41217</v>
      </c>
      <c r="F21" s="61">
        <f>E21-D21</f>
        <v>338269896622.41217</v>
      </c>
      <c r="G21" s="75"/>
      <c r="H21" s="75"/>
      <c r="I21" s="61">
        <f>D21+F21+H21</f>
        <v>385298758792.41217</v>
      </c>
      <c r="J21" s="76">
        <v>5636749865</v>
      </c>
      <c r="K21" s="61">
        <v>56367498650</v>
      </c>
      <c r="L21" s="61">
        <v>461822796107.40997</v>
      </c>
      <c r="M21" s="64">
        <v>4702886217</v>
      </c>
      <c r="N21" s="65">
        <f>ROUND(IF(J21=0,D21/K21*100,M21/J21*100),2)</f>
        <v>83.43</v>
      </c>
      <c r="O21" s="66"/>
      <c r="P21" s="2">
        <v>47028862170</v>
      </c>
      <c r="Q21" s="2">
        <f t="shared" ref="Q21:Q28" si="2">D21-P21</f>
        <v>0</v>
      </c>
      <c r="R21" s="3">
        <v>4702886217</v>
      </c>
      <c r="S21" s="3">
        <f t="shared" ref="S21:S28" si="3">M21-R21</f>
        <v>0</v>
      </c>
      <c r="T21" s="4"/>
    </row>
    <row r="22" spans="1:20" s="49" customFormat="1" ht="22.15" customHeight="1">
      <c r="A22" s="1" t="s">
        <v>54</v>
      </c>
      <c r="B22" s="72" t="s">
        <v>52</v>
      </c>
      <c r="C22" s="60" t="s">
        <v>55</v>
      </c>
      <c r="D22" s="61">
        <v>130100000000</v>
      </c>
      <c r="E22" s="61">
        <f t="shared" si="1"/>
        <v>295259512300.73999</v>
      </c>
      <c r="F22" s="61">
        <f t="shared" ref="F22:F28" si="4">E22-D22</f>
        <v>165159512300.73999</v>
      </c>
      <c r="G22" s="75"/>
      <c r="H22" s="75"/>
      <c r="I22" s="61">
        <f t="shared" ref="I22:I28" si="5">D22+F22+H22</f>
        <v>295259512300.73999</v>
      </c>
      <c r="J22" s="76">
        <v>13010000000</v>
      </c>
      <c r="K22" s="61">
        <v>130100000000</v>
      </c>
      <c r="L22" s="61">
        <v>295259512300.73999</v>
      </c>
      <c r="M22" s="64">
        <v>13010000000</v>
      </c>
      <c r="N22" s="65">
        <f t="shared" ref="N22:N28" si="6">ROUND(IF(J22=0,D22/K22*100,M22/J22*100),2)</f>
        <v>100</v>
      </c>
      <c r="O22" s="66"/>
      <c r="P22" s="77">
        <v>130100000000</v>
      </c>
      <c r="Q22" s="77">
        <f t="shared" si="2"/>
        <v>0</v>
      </c>
      <c r="R22" s="78">
        <v>13010000000</v>
      </c>
      <c r="S22" s="78">
        <f t="shared" si="3"/>
        <v>0</v>
      </c>
      <c r="T22" s="4"/>
    </row>
    <row r="23" spans="1:20" s="49" customFormat="1">
      <c r="A23" s="1" t="s">
        <v>56</v>
      </c>
      <c r="B23" s="72" t="s">
        <v>52</v>
      </c>
      <c r="C23" s="60" t="s">
        <v>57</v>
      </c>
      <c r="D23" s="61">
        <v>310325665070</v>
      </c>
      <c r="E23" s="61">
        <f t="shared" si="1"/>
        <v>268152414307.79242</v>
      </c>
      <c r="F23" s="61">
        <f>E23-D23</f>
        <v>-42173250762.207581</v>
      </c>
      <c r="G23" s="83"/>
      <c r="H23" s="83"/>
      <c r="I23" s="61">
        <f>D23+F23+H23</f>
        <v>268152414307.79242</v>
      </c>
      <c r="J23" s="76">
        <v>33000000000</v>
      </c>
      <c r="K23" s="61">
        <v>330000000000</v>
      </c>
      <c r="L23" s="61">
        <v>285147186631</v>
      </c>
      <c r="M23" s="64">
        <v>31032566507</v>
      </c>
      <c r="N23" s="65">
        <f t="shared" si="6"/>
        <v>94.04</v>
      </c>
      <c r="O23" s="66"/>
      <c r="P23" s="2">
        <v>310325665070</v>
      </c>
      <c r="Q23" s="2">
        <f t="shared" si="2"/>
        <v>0</v>
      </c>
      <c r="R23" s="3">
        <v>31032566507</v>
      </c>
      <c r="S23" s="3">
        <f t="shared" si="3"/>
        <v>0</v>
      </c>
      <c r="T23" s="4"/>
    </row>
    <row r="24" spans="1:20" s="4" customFormat="1">
      <c r="A24" s="1" t="s">
        <v>58</v>
      </c>
      <c r="B24" s="72"/>
      <c r="C24" s="60" t="s">
        <v>59</v>
      </c>
      <c r="D24" s="61">
        <f>D25+D26</f>
        <v>123905152478</v>
      </c>
      <c r="E24" s="61">
        <f>L24*N24/100</f>
        <v>157889402538.64679</v>
      </c>
      <c r="F24" s="61">
        <f t="shared" si="4"/>
        <v>33984250060.64679</v>
      </c>
      <c r="G24" s="75"/>
      <c r="H24" s="75"/>
      <c r="I24" s="61">
        <f t="shared" si="5"/>
        <v>157889402538.64679</v>
      </c>
      <c r="J24" s="76">
        <v>147500000</v>
      </c>
      <c r="K24" s="61">
        <v>147500000000</v>
      </c>
      <c r="L24" s="61">
        <v>187963574450.76999</v>
      </c>
      <c r="M24" s="64">
        <f>M25+M26</f>
        <v>123905152</v>
      </c>
      <c r="N24" s="65">
        <f t="shared" si="6"/>
        <v>84</v>
      </c>
      <c r="O24" s="66"/>
      <c r="P24" s="77">
        <v>115893071000</v>
      </c>
      <c r="Q24" s="77">
        <f t="shared" si="2"/>
        <v>8012081478</v>
      </c>
      <c r="R24" s="78">
        <v>115893071</v>
      </c>
      <c r="S24" s="78">
        <f t="shared" si="3"/>
        <v>8012081</v>
      </c>
    </row>
    <row r="25" spans="1:20" s="4" customFormat="1">
      <c r="A25" s="1"/>
      <c r="B25" s="72" t="s">
        <v>436</v>
      </c>
      <c r="C25" s="87" t="s">
        <v>73</v>
      </c>
      <c r="D25" s="61">
        <v>115893071000</v>
      </c>
      <c r="E25" s="61">
        <f>L25*N25/100</f>
        <v>147682980445.96997</v>
      </c>
      <c r="F25" s="61">
        <f t="shared" ref="F25" si="7">E25-D25</f>
        <v>31789909445.969971</v>
      </c>
      <c r="G25" s="75"/>
      <c r="H25" s="75"/>
      <c r="I25" s="61">
        <f t="shared" ref="I25:I26" si="8">D25+F25+H25</f>
        <v>147682980445.96997</v>
      </c>
      <c r="J25" s="76">
        <v>147500000</v>
      </c>
      <c r="K25" s="61">
        <v>147500000000</v>
      </c>
      <c r="L25" s="61">
        <v>187963574450.76999</v>
      </c>
      <c r="M25" s="64">
        <v>115893071</v>
      </c>
      <c r="N25" s="65">
        <f t="shared" ref="N25:N26" si="9">ROUND(IF(J25=0,D25/K25*100,M25/J25*100),2)</f>
        <v>78.569999999999993</v>
      </c>
      <c r="O25" s="66"/>
      <c r="P25" s="77"/>
      <c r="Q25" s="77"/>
      <c r="R25" s="78"/>
      <c r="S25" s="78"/>
    </row>
    <row r="26" spans="1:20" s="197" customFormat="1">
      <c r="A26" s="121"/>
      <c r="B26" s="72" t="s">
        <v>435</v>
      </c>
      <c r="C26" s="87" t="s">
        <v>437</v>
      </c>
      <c r="D26" s="61">
        <v>8012081478</v>
      </c>
      <c r="E26" s="61">
        <v>0</v>
      </c>
      <c r="F26" s="61">
        <v>0</v>
      </c>
      <c r="G26" s="75"/>
      <c r="H26" s="75"/>
      <c r="I26" s="61">
        <f t="shared" si="8"/>
        <v>8012081478</v>
      </c>
      <c r="J26" s="76">
        <v>147500000</v>
      </c>
      <c r="K26" s="61">
        <v>147500000000</v>
      </c>
      <c r="L26" s="61">
        <v>187963574450.76999</v>
      </c>
      <c r="M26" s="64">
        <v>8012081</v>
      </c>
      <c r="N26" s="65">
        <f t="shared" si="9"/>
        <v>5.43</v>
      </c>
      <c r="O26" s="66"/>
      <c r="P26" s="195"/>
      <c r="Q26" s="195"/>
      <c r="R26" s="196"/>
      <c r="S26" s="196"/>
    </row>
    <row r="27" spans="1:20" s="4" customFormat="1">
      <c r="A27" s="1" t="s">
        <v>60</v>
      </c>
      <c r="B27" s="72" t="s">
        <v>52</v>
      </c>
      <c r="C27" s="60" t="s">
        <v>61</v>
      </c>
      <c r="D27" s="61">
        <v>2346923000</v>
      </c>
      <c r="E27" s="61">
        <v>0</v>
      </c>
      <c r="F27" s="61">
        <f>E27-D27</f>
        <v>-2346923000</v>
      </c>
      <c r="G27" s="75"/>
      <c r="H27" s="75"/>
      <c r="I27" s="61">
        <f t="shared" si="5"/>
        <v>0</v>
      </c>
      <c r="J27" s="76">
        <v>262400000</v>
      </c>
      <c r="K27" s="61">
        <v>2624000000</v>
      </c>
      <c r="L27" s="84">
        <v>-545005064.10000002</v>
      </c>
      <c r="M27" s="64">
        <v>234692300</v>
      </c>
      <c r="N27" s="65">
        <f t="shared" si="6"/>
        <v>89.44</v>
      </c>
      <c r="O27" s="66"/>
      <c r="P27" s="77">
        <v>2346923000</v>
      </c>
      <c r="Q27" s="77">
        <f t="shared" si="2"/>
        <v>0</v>
      </c>
      <c r="R27" s="78">
        <v>234692300</v>
      </c>
      <c r="S27" s="78">
        <f t="shared" si="3"/>
        <v>0</v>
      </c>
    </row>
    <row r="28" spans="1:20">
      <c r="A28" s="1" t="s">
        <v>65</v>
      </c>
      <c r="B28" s="72" t="s">
        <v>52</v>
      </c>
      <c r="C28" s="60" t="s">
        <v>66</v>
      </c>
      <c r="D28" s="61">
        <v>0</v>
      </c>
      <c r="E28" s="61">
        <v>0</v>
      </c>
      <c r="F28" s="61">
        <f t="shared" si="4"/>
        <v>0</v>
      </c>
      <c r="G28" s="62"/>
      <c r="H28" s="62"/>
      <c r="I28" s="61">
        <f t="shared" si="5"/>
        <v>0</v>
      </c>
      <c r="J28" s="76">
        <v>0</v>
      </c>
      <c r="K28" s="61">
        <v>0</v>
      </c>
      <c r="L28" s="61">
        <v>0</v>
      </c>
      <c r="M28" s="64">
        <v>0</v>
      </c>
      <c r="N28" s="65" t="e">
        <f t="shared" si="6"/>
        <v>#DIV/0!</v>
      </c>
      <c r="O28" s="66"/>
      <c r="P28" s="2">
        <v>15989911</v>
      </c>
      <c r="Q28" s="2">
        <f t="shared" si="2"/>
        <v>-15989911</v>
      </c>
      <c r="R28" s="3">
        <v>302000000</v>
      </c>
      <c r="S28" s="3">
        <f t="shared" si="3"/>
        <v>-302000000</v>
      </c>
    </row>
    <row r="29" spans="1:20" ht="20.65" customHeight="1">
      <c r="B29" s="50" t="s">
        <v>67</v>
      </c>
      <c r="C29" s="73"/>
      <c r="D29" s="52">
        <f>D30+D31+D34+D37+D38</f>
        <v>353973521539.5</v>
      </c>
      <c r="E29" s="52">
        <f>E30+E31+E34+E37+E38</f>
        <v>712251333741.03992</v>
      </c>
      <c r="F29" s="52">
        <f>F30+F31+F34+F37+F38</f>
        <v>358277812201.53992</v>
      </c>
      <c r="G29" s="53"/>
      <c r="H29" s="53"/>
      <c r="I29" s="40">
        <f t="shared" si="0"/>
        <v>712251333741.03992</v>
      </c>
      <c r="J29" s="85"/>
      <c r="K29" s="52"/>
      <c r="L29" s="52"/>
      <c r="M29" s="70">
        <f>M30+M34+M37+M38</f>
        <v>17224676344</v>
      </c>
      <c r="N29" s="71"/>
      <c r="O29" s="58"/>
    </row>
    <row r="30" spans="1:20" s="4" customFormat="1" ht="20.65" customHeight="1">
      <c r="A30" s="1" t="s">
        <v>68</v>
      </c>
      <c r="B30" s="72" t="s">
        <v>69</v>
      </c>
      <c r="C30" s="60" t="s">
        <v>70</v>
      </c>
      <c r="D30" s="61">
        <v>72082000000</v>
      </c>
      <c r="E30" s="86">
        <f t="shared" ref="E30:E38" si="10">L30*N30/100</f>
        <v>163303632885.72</v>
      </c>
      <c r="F30" s="61">
        <f t="shared" ref="F30:F38" si="11">E30-D30</f>
        <v>91221632885.720001</v>
      </c>
      <c r="G30" s="75"/>
      <c r="H30" s="75"/>
      <c r="I30" s="61">
        <f t="shared" si="0"/>
        <v>163303632885.72</v>
      </c>
      <c r="J30" s="64">
        <v>7208200000</v>
      </c>
      <c r="K30" s="61">
        <v>72082000000</v>
      </c>
      <c r="L30" s="61">
        <v>163303632885.72</v>
      </c>
      <c r="M30" s="64">
        <v>7208200000</v>
      </c>
      <c r="N30" s="65">
        <f t="shared" ref="N30:N44" si="12">ROUND(IF(J30=0,D30/K30*100,M30/J30*100),2)</f>
        <v>100</v>
      </c>
      <c r="O30" s="66"/>
      <c r="P30" s="77">
        <v>69479000000</v>
      </c>
      <c r="Q30" s="77">
        <f>D30-P30</f>
        <v>2603000000</v>
      </c>
      <c r="R30" s="78">
        <v>6947900000</v>
      </c>
      <c r="S30" s="78">
        <f>M30-R30</f>
        <v>260300000</v>
      </c>
    </row>
    <row r="31" spans="1:20" s="4" customFormat="1" ht="20.65" customHeight="1">
      <c r="A31" s="1" t="s">
        <v>71</v>
      </c>
      <c r="B31" s="59"/>
      <c r="C31" s="60" t="s">
        <v>72</v>
      </c>
      <c r="D31" s="61">
        <f>D32+D33</f>
        <v>181726758099.5</v>
      </c>
      <c r="E31" s="61">
        <f>E32+E33</f>
        <v>415033586400.53992</v>
      </c>
      <c r="F31" s="61">
        <f t="shared" si="11"/>
        <v>233306828301.03992</v>
      </c>
      <c r="G31" s="75"/>
      <c r="H31" s="75"/>
      <c r="I31" s="61">
        <f t="shared" si="0"/>
        <v>415033586400.53992</v>
      </c>
      <c r="J31" s="64"/>
      <c r="K31" s="61">
        <v>181726758099.5</v>
      </c>
      <c r="L31" s="61">
        <v>415033586400.53998</v>
      </c>
      <c r="M31" s="64"/>
      <c r="N31" s="65">
        <f t="shared" si="12"/>
        <v>100</v>
      </c>
      <c r="O31" s="66"/>
      <c r="P31" s="77">
        <v>165297477099.5</v>
      </c>
      <c r="Q31" s="77">
        <f>D31-P31</f>
        <v>16429281000</v>
      </c>
      <c r="R31" s="78"/>
      <c r="S31" s="78">
        <f>M31-R31</f>
        <v>0</v>
      </c>
    </row>
    <row r="32" spans="1:20" s="4" customFormat="1" ht="20.65" customHeight="1">
      <c r="A32" s="1"/>
      <c r="B32" s="59" t="s">
        <v>69</v>
      </c>
      <c r="C32" s="87" t="s">
        <v>73</v>
      </c>
      <c r="D32" s="61">
        <v>180161268099.5</v>
      </c>
      <c r="E32" s="86">
        <f t="shared" si="10"/>
        <v>411464297557.4953</v>
      </c>
      <c r="F32" s="61">
        <f t="shared" si="11"/>
        <v>231303029457.9953</v>
      </c>
      <c r="G32" s="75"/>
      <c r="H32" s="75"/>
      <c r="I32" s="61">
        <f t="shared" si="0"/>
        <v>411464297557.4953</v>
      </c>
      <c r="J32" s="64"/>
      <c r="K32" s="61">
        <v>181726758099.5</v>
      </c>
      <c r="L32" s="61">
        <v>415033586400.53998</v>
      </c>
      <c r="M32" s="64"/>
      <c r="N32" s="65">
        <f>ROUND(IF(J32=0,D32/K32*100,M32/J32*100),2)</f>
        <v>99.14</v>
      </c>
      <c r="O32" s="66"/>
      <c r="P32" s="77">
        <v>165217601099.5</v>
      </c>
      <c r="Q32" s="77"/>
      <c r="R32" s="78"/>
      <c r="S32" s="78"/>
    </row>
    <row r="33" spans="1:20" s="4" customFormat="1" ht="20.65" customHeight="1">
      <c r="A33" s="1"/>
      <c r="B33" s="88" t="s">
        <v>74</v>
      </c>
      <c r="C33" s="87" t="s">
        <v>73</v>
      </c>
      <c r="D33" s="61">
        <v>1565490000</v>
      </c>
      <c r="E33" s="86">
        <f t="shared" si="10"/>
        <v>3569288843.0446434</v>
      </c>
      <c r="F33" s="61">
        <f t="shared" si="11"/>
        <v>2003798843.0446434</v>
      </c>
      <c r="G33" s="75"/>
      <c r="H33" s="75"/>
      <c r="I33" s="61">
        <f t="shared" si="0"/>
        <v>3569288843.0446434</v>
      </c>
      <c r="J33" s="64"/>
      <c r="K33" s="61">
        <v>181726758099.5</v>
      </c>
      <c r="L33" s="61">
        <v>415033586400.53998</v>
      </c>
      <c r="M33" s="64"/>
      <c r="N33" s="65">
        <f>ROUND(IF(J33=0,D33/K33*100,M33/J33*100),2)</f>
        <v>0.86</v>
      </c>
      <c r="O33" s="66"/>
      <c r="P33" s="77">
        <v>79876000</v>
      </c>
      <c r="Q33" s="77"/>
      <c r="R33" s="78"/>
      <c r="S33" s="78"/>
    </row>
    <row r="34" spans="1:20" s="4" customFormat="1" ht="20.65" customHeight="1">
      <c r="A34" s="198" t="s">
        <v>75</v>
      </c>
      <c r="C34" s="60" t="s">
        <v>76</v>
      </c>
      <c r="D34" s="61">
        <f>D35+D36</f>
        <v>65000000000</v>
      </c>
      <c r="E34" s="86">
        <f t="shared" si="10"/>
        <v>92977058524</v>
      </c>
      <c r="F34" s="61">
        <f t="shared" si="11"/>
        <v>27977058524</v>
      </c>
      <c r="G34" s="75"/>
      <c r="H34" s="75"/>
      <c r="I34" s="61">
        <f t="shared" si="0"/>
        <v>92977058524</v>
      </c>
      <c r="J34" s="64">
        <f>SUM(J35:J36)</f>
        <v>6500000000</v>
      </c>
      <c r="K34" s="61">
        <f>SUM(K35:K36)</f>
        <v>65000000000</v>
      </c>
      <c r="L34" s="61">
        <f>SUM(L35:L36)</f>
        <v>92977058524</v>
      </c>
      <c r="M34" s="64">
        <f>SUM(M35:M36)</f>
        <v>6500000000</v>
      </c>
      <c r="N34" s="65">
        <f t="shared" si="12"/>
        <v>100</v>
      </c>
      <c r="O34" s="66"/>
      <c r="P34" s="77">
        <v>65000000000</v>
      </c>
      <c r="Q34" s="77">
        <f>D34-P34</f>
        <v>0</v>
      </c>
      <c r="R34" s="78">
        <v>6500000000</v>
      </c>
      <c r="S34" s="78">
        <f>M34-R34</f>
        <v>0</v>
      </c>
    </row>
    <row r="35" spans="1:20" s="4" customFormat="1" ht="20.65" customHeight="1">
      <c r="A35" s="1"/>
      <c r="B35" s="72" t="s">
        <v>69</v>
      </c>
      <c r="C35" s="87" t="s">
        <v>73</v>
      </c>
      <c r="D35" s="61">
        <v>65000000000</v>
      </c>
      <c r="E35" s="86">
        <f t="shared" ref="E35" si="13">L35*N35/100</f>
        <v>92477058524</v>
      </c>
      <c r="F35" s="61">
        <f t="shared" si="11"/>
        <v>27477058524</v>
      </c>
      <c r="G35" s="75"/>
      <c r="H35" s="75"/>
      <c r="I35" s="61">
        <f t="shared" si="0"/>
        <v>92477058524</v>
      </c>
      <c r="J35" s="64">
        <v>6500000000</v>
      </c>
      <c r="K35" s="61">
        <v>65000000000</v>
      </c>
      <c r="L35" s="61">
        <v>92477058524</v>
      </c>
      <c r="M35" s="64">
        <v>6500000000</v>
      </c>
      <c r="N35" s="65">
        <f t="shared" si="12"/>
        <v>100</v>
      </c>
      <c r="O35" s="66"/>
      <c r="P35" s="77"/>
      <c r="Q35" s="77"/>
      <c r="R35" s="78"/>
      <c r="S35" s="78"/>
    </row>
    <row r="36" spans="1:20" s="4" customFormat="1" ht="20.65" customHeight="1">
      <c r="A36" s="1"/>
      <c r="B36" s="88" t="s">
        <v>74</v>
      </c>
      <c r="C36" s="87" t="s">
        <v>438</v>
      </c>
      <c r="D36" s="61"/>
      <c r="E36" s="86">
        <v>500000000</v>
      </c>
      <c r="F36" s="61">
        <f t="shared" si="11"/>
        <v>500000000</v>
      </c>
      <c r="G36" s="75"/>
      <c r="H36" s="75"/>
      <c r="I36" s="61">
        <f t="shared" si="0"/>
        <v>500000000</v>
      </c>
      <c r="J36" s="64"/>
      <c r="K36" s="61"/>
      <c r="L36" s="61">
        <v>500000000</v>
      </c>
      <c r="M36" s="64"/>
      <c r="N36" s="65"/>
      <c r="O36" s="66"/>
      <c r="P36" s="77"/>
      <c r="Q36" s="77"/>
      <c r="R36" s="78"/>
      <c r="S36" s="78"/>
    </row>
    <row r="37" spans="1:20" s="4" customFormat="1">
      <c r="A37" s="1" t="s">
        <v>77</v>
      </c>
      <c r="B37" s="72" t="s">
        <v>69</v>
      </c>
      <c r="C37" s="60" t="s">
        <v>78</v>
      </c>
      <c r="D37" s="61">
        <v>24832463440</v>
      </c>
      <c r="E37" s="86">
        <f t="shared" si="10"/>
        <v>39264242076.779999</v>
      </c>
      <c r="F37" s="61">
        <f t="shared" si="11"/>
        <v>14431778636.779999</v>
      </c>
      <c r="G37" s="75"/>
      <c r="H37" s="75"/>
      <c r="I37" s="61">
        <f t="shared" si="0"/>
        <v>39264242076.779999</v>
      </c>
      <c r="J37" s="64">
        <v>2483246344</v>
      </c>
      <c r="K37" s="61">
        <v>24832463440</v>
      </c>
      <c r="L37" s="61">
        <v>39264242076.779999</v>
      </c>
      <c r="M37" s="64">
        <v>2483246344</v>
      </c>
      <c r="N37" s="65">
        <f t="shared" si="12"/>
        <v>100</v>
      </c>
      <c r="O37" s="66"/>
      <c r="P37" s="77">
        <v>24832463440</v>
      </c>
      <c r="Q37" s="77">
        <f>D37-P37</f>
        <v>0</v>
      </c>
      <c r="R37" s="78">
        <v>2483246344</v>
      </c>
      <c r="S37" s="78">
        <f>M37-R37</f>
        <v>0</v>
      </c>
    </row>
    <row r="38" spans="1:20" s="4" customFormat="1">
      <c r="A38" s="1" t="s">
        <v>79</v>
      </c>
      <c r="B38" s="72" t="s">
        <v>69</v>
      </c>
      <c r="C38" s="60" t="s">
        <v>80</v>
      </c>
      <c r="D38" s="61">
        <v>10332300000</v>
      </c>
      <c r="E38" s="86">
        <f t="shared" si="10"/>
        <v>1672813854</v>
      </c>
      <c r="F38" s="61">
        <f t="shared" si="11"/>
        <v>-8659486146</v>
      </c>
      <c r="G38" s="75"/>
      <c r="H38" s="75"/>
      <c r="I38" s="61">
        <f t="shared" si="0"/>
        <v>1672813854</v>
      </c>
      <c r="J38" s="64">
        <v>1033230000</v>
      </c>
      <c r="K38" s="89">
        <v>10332300000</v>
      </c>
      <c r="L38" s="61">
        <v>1672813854</v>
      </c>
      <c r="M38" s="64">
        <v>1033230000</v>
      </c>
      <c r="N38" s="65">
        <f t="shared" si="12"/>
        <v>100</v>
      </c>
      <c r="O38" s="66"/>
      <c r="P38" s="77">
        <v>10332300000</v>
      </c>
      <c r="Q38" s="77">
        <f>D38-P38</f>
        <v>0</v>
      </c>
      <c r="R38" s="78">
        <v>1033230000</v>
      </c>
      <c r="S38" s="78">
        <f>M38-R38</f>
        <v>0</v>
      </c>
    </row>
    <row r="39" spans="1:20" s="4" customFormat="1" ht="20.65" customHeight="1">
      <c r="A39" s="1"/>
      <c r="B39" s="50" t="s">
        <v>81</v>
      </c>
      <c r="C39" s="73"/>
      <c r="D39" s="52">
        <f>D40</f>
        <v>588614730</v>
      </c>
      <c r="E39" s="52">
        <f>E40</f>
        <v>0</v>
      </c>
      <c r="F39" s="40">
        <f>F40</f>
        <v>-588614730</v>
      </c>
      <c r="G39" s="53"/>
      <c r="H39" s="53"/>
      <c r="I39" s="40">
        <f t="shared" si="0"/>
        <v>0</v>
      </c>
      <c r="J39" s="85"/>
      <c r="K39" s="52"/>
      <c r="L39" s="52"/>
      <c r="M39" s="70">
        <f>SUM(M40)</f>
        <v>58861473</v>
      </c>
      <c r="N39" s="71"/>
      <c r="O39" s="58"/>
      <c r="P39" s="77"/>
      <c r="Q39" s="77"/>
      <c r="R39" s="78"/>
      <c r="S39" s="78"/>
    </row>
    <row r="40" spans="1:20" s="4" customFormat="1">
      <c r="A40" s="1" t="s">
        <v>82</v>
      </c>
      <c r="B40" s="72" t="s">
        <v>83</v>
      </c>
      <c r="C40" s="60" t="s">
        <v>84</v>
      </c>
      <c r="D40" s="61">
        <v>588614730</v>
      </c>
      <c r="E40" s="61">
        <v>0</v>
      </c>
      <c r="F40" s="61">
        <f>E40-D40</f>
        <v>-588614730</v>
      </c>
      <c r="G40" s="62"/>
      <c r="H40" s="62"/>
      <c r="I40" s="61">
        <f t="shared" si="0"/>
        <v>0</v>
      </c>
      <c r="J40" s="76">
        <v>58991473</v>
      </c>
      <c r="K40" s="61">
        <v>58914730</v>
      </c>
      <c r="L40" s="61">
        <v>-264280235</v>
      </c>
      <c r="M40" s="76">
        <v>58861473</v>
      </c>
      <c r="N40" s="65">
        <f>ROUND(IF(J40=0,D40/K40*100,M40/J40*100),2)</f>
        <v>99.78</v>
      </c>
      <c r="O40" s="66"/>
      <c r="P40" s="77">
        <v>588614730</v>
      </c>
      <c r="Q40" s="77">
        <f>D40-P40</f>
        <v>0</v>
      </c>
      <c r="R40" s="78">
        <v>58861473</v>
      </c>
      <c r="S40" s="78">
        <f>M40-R40</f>
        <v>0</v>
      </c>
    </row>
    <row r="41" spans="1:20">
      <c r="B41" s="50" t="s">
        <v>85</v>
      </c>
      <c r="C41" s="73"/>
      <c r="D41" s="52">
        <f>D42</f>
        <v>5095275200</v>
      </c>
      <c r="E41" s="52">
        <f>E42</f>
        <v>5687732509.75</v>
      </c>
      <c r="F41" s="40">
        <f>F42</f>
        <v>592457309.75</v>
      </c>
      <c r="G41" s="90"/>
      <c r="H41" s="90"/>
      <c r="I41" s="40">
        <f t="shared" si="0"/>
        <v>5687732509.75</v>
      </c>
      <c r="J41" s="85"/>
      <c r="K41" s="52"/>
      <c r="L41" s="52"/>
      <c r="M41" s="91">
        <f>SUM(M42)</f>
        <v>509526900</v>
      </c>
      <c r="N41" s="71"/>
      <c r="O41" s="58"/>
    </row>
    <row r="42" spans="1:20" s="4" customFormat="1" ht="24.6" customHeight="1">
      <c r="A42" s="1" t="s">
        <v>86</v>
      </c>
      <c r="B42" s="92" t="s">
        <v>87</v>
      </c>
      <c r="C42" s="60" t="s">
        <v>88</v>
      </c>
      <c r="D42" s="61">
        <v>5095275200</v>
      </c>
      <c r="E42" s="61">
        <v>5687732509.75</v>
      </c>
      <c r="F42" s="61">
        <f>E42-D42</f>
        <v>592457309.75</v>
      </c>
      <c r="G42" s="62"/>
      <c r="H42" s="62"/>
      <c r="I42" s="61">
        <f t="shared" si="0"/>
        <v>5687732509.75</v>
      </c>
      <c r="J42" s="76">
        <v>1000000000</v>
      </c>
      <c r="K42" s="61">
        <v>10000000000</v>
      </c>
      <c r="L42" s="61">
        <v>11163361157.5</v>
      </c>
      <c r="M42" s="64">
        <v>509526900</v>
      </c>
      <c r="N42" s="65">
        <f>ROUND(IF(J42=0,D42/K42*100,M42/J42*100),2)</f>
        <v>50.95</v>
      </c>
      <c r="O42" s="66"/>
      <c r="P42" s="77">
        <v>5095275200</v>
      </c>
      <c r="Q42" s="77">
        <f>D42-P42</f>
        <v>0</v>
      </c>
      <c r="R42" s="78">
        <v>509526900</v>
      </c>
      <c r="S42" s="78">
        <f>M42-R42</f>
        <v>0</v>
      </c>
    </row>
    <row r="43" spans="1:20" s="4" customFormat="1" ht="21.6" customHeight="1">
      <c r="A43" s="1"/>
      <c r="B43" s="50" t="s">
        <v>89</v>
      </c>
      <c r="C43" s="73"/>
      <c r="D43" s="52">
        <f>D44</f>
        <v>3506539370</v>
      </c>
      <c r="E43" s="52">
        <f>E44</f>
        <v>0</v>
      </c>
      <c r="F43" s="40">
        <f>F44</f>
        <v>-3506539370</v>
      </c>
      <c r="G43" s="53"/>
      <c r="H43" s="53"/>
      <c r="I43" s="40">
        <f t="shared" si="0"/>
        <v>0</v>
      </c>
      <c r="J43" s="85"/>
      <c r="K43" s="52"/>
      <c r="L43" s="52"/>
      <c r="M43" s="70">
        <f>SUM(M44)</f>
        <v>350653937</v>
      </c>
      <c r="N43" s="71"/>
      <c r="O43" s="58"/>
      <c r="P43" s="77"/>
      <c r="Q43" s="77"/>
      <c r="R43" s="78"/>
      <c r="S43" s="78"/>
    </row>
    <row r="44" spans="1:20" s="4" customFormat="1" ht="20.65" customHeight="1">
      <c r="A44" s="1" t="s">
        <v>90</v>
      </c>
      <c r="B44" s="72" t="s">
        <v>91</v>
      </c>
      <c r="C44" s="60" t="s">
        <v>92</v>
      </c>
      <c r="D44" s="61">
        <v>3506539370</v>
      </c>
      <c r="E44" s="61">
        <v>0</v>
      </c>
      <c r="F44" s="61">
        <f>E44-D44</f>
        <v>-3506539370</v>
      </c>
      <c r="G44" s="62"/>
      <c r="H44" s="62"/>
      <c r="I44" s="61">
        <f t="shared" si="0"/>
        <v>0</v>
      </c>
      <c r="J44" s="76">
        <v>861060127</v>
      </c>
      <c r="K44" s="61">
        <v>8610601270</v>
      </c>
      <c r="L44" s="61">
        <v>-4619228225.8999996</v>
      </c>
      <c r="M44" s="64">
        <v>350653937</v>
      </c>
      <c r="N44" s="65">
        <f t="shared" si="12"/>
        <v>40.72</v>
      </c>
      <c r="O44" s="66"/>
      <c r="P44" s="77">
        <v>3506539370</v>
      </c>
      <c r="Q44" s="77">
        <f>D44-P44</f>
        <v>0</v>
      </c>
      <c r="R44" s="78">
        <v>350653937</v>
      </c>
      <c r="S44" s="78">
        <f>M44-R44</f>
        <v>0</v>
      </c>
    </row>
    <row r="45" spans="1:20" s="30" customFormat="1" ht="19.5">
      <c r="A45" s="1"/>
      <c r="B45" s="45" t="s">
        <v>93</v>
      </c>
      <c r="C45" s="93"/>
      <c r="D45" s="38">
        <f>D57+D48+D67+D73+D63+D65+D46</f>
        <v>98684654949</v>
      </c>
      <c r="E45" s="38">
        <f>E57+E48+E67+E73+E63+E65+E46</f>
        <v>368318810043.97968</v>
      </c>
      <c r="F45" s="38">
        <f>F57+F48+F67+F73+F63+F65+F46</f>
        <v>269634155094.98965</v>
      </c>
      <c r="G45" s="39"/>
      <c r="H45" s="39"/>
      <c r="I45" s="40">
        <f>D45+F45+H45</f>
        <v>368318810043.98962</v>
      </c>
      <c r="J45" s="94"/>
      <c r="K45" s="69"/>
      <c r="L45" s="69"/>
      <c r="M45" s="42">
        <f>M57+M48+M67+M73+M63+M65+M46</f>
        <v>15798326052</v>
      </c>
      <c r="N45" s="43"/>
      <c r="O45" s="58"/>
      <c r="P45" s="28"/>
      <c r="Q45" s="28"/>
      <c r="R45" s="29"/>
      <c r="S45" s="29"/>
    </row>
    <row r="46" spans="1:20" s="49" customFormat="1" ht="22.15" customHeight="1">
      <c r="A46" s="1"/>
      <c r="B46" s="50" t="s">
        <v>34</v>
      </c>
      <c r="C46" s="51"/>
      <c r="D46" s="52">
        <f>SUM(D47)</f>
        <v>1646556</v>
      </c>
      <c r="E46" s="52">
        <f>E47</f>
        <v>45.14</v>
      </c>
      <c r="F46" s="40">
        <f>E46-D46</f>
        <v>-1646510.86</v>
      </c>
      <c r="G46" s="53"/>
      <c r="H46" s="53"/>
      <c r="I46" s="40">
        <f>D46+F46+H46</f>
        <v>45.139999999897555</v>
      </c>
      <c r="J46" s="95"/>
      <c r="K46" s="82"/>
      <c r="L46" s="82"/>
      <c r="M46" s="56">
        <f>M47</f>
        <v>2</v>
      </c>
      <c r="N46" s="57"/>
      <c r="O46" s="58"/>
      <c r="P46" s="96"/>
      <c r="Q46" s="96"/>
      <c r="R46" s="96"/>
      <c r="S46" s="96"/>
    </row>
    <row r="47" spans="1:20" s="49" customFormat="1" ht="22.15" customHeight="1">
      <c r="A47" s="1" t="s">
        <v>94</v>
      </c>
      <c r="B47" s="59" t="s">
        <v>95</v>
      </c>
      <c r="C47" s="97" t="s">
        <v>96</v>
      </c>
      <c r="D47" s="61">
        <v>1646556</v>
      </c>
      <c r="E47" s="61">
        <f>IF(L47&lt;0,0,L47*N47/100)</f>
        <v>45.14</v>
      </c>
      <c r="F47" s="61">
        <f>E47-D47</f>
        <v>-1646510.86</v>
      </c>
      <c r="G47" s="62"/>
      <c r="H47" s="62"/>
      <c r="I47" s="61">
        <f>D47+F47+H47</f>
        <v>45.139999999897555</v>
      </c>
      <c r="J47" s="76">
        <v>2</v>
      </c>
      <c r="K47" s="63"/>
      <c r="L47" s="63">
        <v>45.14</v>
      </c>
      <c r="M47" s="64">
        <v>2</v>
      </c>
      <c r="N47" s="65">
        <f>ROUND(IF(J47=0,D47/K47*100,M47/J47*100),2)</f>
        <v>100</v>
      </c>
      <c r="O47" s="66"/>
      <c r="P47" s="98">
        <v>1646556</v>
      </c>
      <c r="Q47" s="2">
        <f>D47-P47</f>
        <v>0</v>
      </c>
      <c r="R47" s="99">
        <v>2</v>
      </c>
      <c r="S47" s="96"/>
      <c r="T47" s="4"/>
    </row>
    <row r="48" spans="1:20" s="49" customFormat="1" ht="20.65" customHeight="1">
      <c r="A48" s="1"/>
      <c r="B48" s="50" t="s">
        <v>38</v>
      </c>
      <c r="C48" s="67"/>
      <c r="D48" s="52">
        <f>SUM(D49:D56)</f>
        <v>44432964270</v>
      </c>
      <c r="E48" s="52">
        <f>SUM(E49:E56)</f>
        <v>131340091154.64972</v>
      </c>
      <c r="F48" s="40">
        <f t="shared" ref="F48:F56" si="14">E48-D48</f>
        <v>86907126884.649719</v>
      </c>
      <c r="G48" s="53"/>
      <c r="H48" s="53"/>
      <c r="I48" s="40">
        <f>D48+F48+H48</f>
        <v>131340091154.64972</v>
      </c>
      <c r="J48" s="81"/>
      <c r="K48" s="52"/>
      <c r="L48" s="69"/>
      <c r="M48" s="70">
        <f>SUM(M49:M56)</f>
        <v>7541931694</v>
      </c>
      <c r="N48" s="71"/>
      <c r="O48" s="58"/>
      <c r="P48" s="2"/>
      <c r="Q48" s="2"/>
      <c r="R48" s="3"/>
      <c r="S48" s="3"/>
      <c r="T48" s="4"/>
    </row>
    <row r="49" spans="1:20" s="105" customFormat="1">
      <c r="A49" s="100" t="s">
        <v>97</v>
      </c>
      <c r="B49" s="72" t="s">
        <v>39</v>
      </c>
      <c r="C49" s="60" t="s">
        <v>98</v>
      </c>
      <c r="D49" s="61">
        <v>8952962580</v>
      </c>
      <c r="E49" s="61">
        <f t="shared" ref="E49:E56" si="15">L49*N49/100</f>
        <v>26408643145.332001</v>
      </c>
      <c r="F49" s="61">
        <f t="shared" si="14"/>
        <v>17455680565.332001</v>
      </c>
      <c r="G49" s="75"/>
      <c r="H49" s="75"/>
      <c r="I49" s="61">
        <f t="shared" si="0"/>
        <v>26408643145.332001</v>
      </c>
      <c r="J49" s="76">
        <v>13599823983</v>
      </c>
      <c r="K49" s="101">
        <v>135998239830</v>
      </c>
      <c r="L49" s="61">
        <v>314388608873</v>
      </c>
      <c r="M49" s="64">
        <v>1143043883</v>
      </c>
      <c r="N49" s="65">
        <f t="shared" ref="N49:N56" si="16">ROUND(IF(J49=0,D49/K49*100,M49/J49*100),2)</f>
        <v>8.4</v>
      </c>
      <c r="O49" s="66"/>
      <c r="P49" s="102">
        <v>8952962580</v>
      </c>
      <c r="Q49" s="102">
        <f t="shared" ref="Q49:Q56" si="17">D49-P49</f>
        <v>0</v>
      </c>
      <c r="R49" s="103">
        <v>1143043883</v>
      </c>
      <c r="S49" s="103">
        <f t="shared" ref="S49:S56" si="18">M49-R49</f>
        <v>0</v>
      </c>
      <c r="T49" s="104"/>
    </row>
    <row r="50" spans="1:20" ht="20.65" customHeight="1">
      <c r="A50" s="100" t="s">
        <v>99</v>
      </c>
      <c r="B50" s="72" t="s">
        <v>39</v>
      </c>
      <c r="C50" s="60" t="s">
        <v>100</v>
      </c>
      <c r="D50" s="61">
        <v>522913360</v>
      </c>
      <c r="E50" s="61">
        <f t="shared" si="15"/>
        <v>777946513.64209986</v>
      </c>
      <c r="F50" s="61">
        <f t="shared" si="14"/>
        <v>255033153.64209986</v>
      </c>
      <c r="G50" s="75"/>
      <c r="H50" s="75"/>
      <c r="I50" s="61">
        <f t="shared" si="0"/>
        <v>777946513.64209986</v>
      </c>
      <c r="J50" s="76">
        <v>150000000</v>
      </c>
      <c r="K50" s="101">
        <v>1500000000</v>
      </c>
      <c r="L50" s="61">
        <v>2154379711</v>
      </c>
      <c r="M50" s="64">
        <v>54162436</v>
      </c>
      <c r="N50" s="65">
        <f t="shared" si="16"/>
        <v>36.11</v>
      </c>
      <c r="O50" s="66"/>
      <c r="P50" s="2">
        <v>522913360</v>
      </c>
      <c r="Q50" s="102">
        <f t="shared" si="17"/>
        <v>0</v>
      </c>
      <c r="R50" s="3">
        <v>54162436</v>
      </c>
      <c r="S50" s="103">
        <f t="shared" si="18"/>
        <v>0</v>
      </c>
    </row>
    <row r="51" spans="1:20" s="105" customFormat="1">
      <c r="A51" s="100" t="s">
        <v>101</v>
      </c>
      <c r="B51" s="72" t="s">
        <v>39</v>
      </c>
      <c r="C51" s="60" t="s">
        <v>102</v>
      </c>
      <c r="D51" s="61">
        <v>7841660130</v>
      </c>
      <c r="E51" s="61">
        <f t="shared" si="15"/>
        <v>23589323022.781498</v>
      </c>
      <c r="F51" s="61">
        <f t="shared" si="14"/>
        <v>15747662892.781498</v>
      </c>
      <c r="G51" s="75"/>
      <c r="H51" s="75"/>
      <c r="I51" s="61">
        <f t="shared" si="0"/>
        <v>23589323022.781498</v>
      </c>
      <c r="J51" s="76">
        <v>12338557223</v>
      </c>
      <c r="K51" s="101">
        <v>123385572230</v>
      </c>
      <c r="L51" s="61">
        <v>205303072435</v>
      </c>
      <c r="M51" s="64">
        <v>1417454919</v>
      </c>
      <c r="N51" s="65">
        <f t="shared" si="16"/>
        <v>11.49</v>
      </c>
      <c r="O51" s="66"/>
      <c r="P51" s="102">
        <v>7841660130</v>
      </c>
      <c r="Q51" s="102">
        <f t="shared" si="17"/>
        <v>0</v>
      </c>
      <c r="R51" s="103">
        <v>1403420712</v>
      </c>
      <c r="S51" s="103">
        <f t="shared" si="18"/>
        <v>14034207</v>
      </c>
      <c r="T51" s="104"/>
    </row>
    <row r="52" spans="1:20" s="105" customFormat="1">
      <c r="A52" s="100" t="s">
        <v>103</v>
      </c>
      <c r="B52" s="72" t="s">
        <v>39</v>
      </c>
      <c r="C52" s="60" t="s">
        <v>104</v>
      </c>
      <c r="D52" s="61">
        <v>800878870</v>
      </c>
      <c r="E52" s="61">
        <f t="shared" si="15"/>
        <v>2959333706.0320001</v>
      </c>
      <c r="F52" s="61">
        <f t="shared" si="14"/>
        <v>2158454836.0320001</v>
      </c>
      <c r="G52" s="75"/>
      <c r="H52" s="75"/>
      <c r="I52" s="61">
        <f t="shared" si="0"/>
        <v>2959333706.0320001</v>
      </c>
      <c r="J52" s="76">
        <v>11543613256</v>
      </c>
      <c r="K52" s="101">
        <v>115436132560</v>
      </c>
      <c r="L52" s="61">
        <v>174078453296</v>
      </c>
      <c r="M52" s="64">
        <v>196225460</v>
      </c>
      <c r="N52" s="65">
        <f t="shared" si="16"/>
        <v>1.7</v>
      </c>
      <c r="O52" s="66"/>
      <c r="P52" s="102">
        <v>800878870</v>
      </c>
      <c r="Q52" s="102">
        <f t="shared" si="17"/>
        <v>0</v>
      </c>
      <c r="R52" s="103">
        <v>187775560</v>
      </c>
      <c r="S52" s="103">
        <f t="shared" si="18"/>
        <v>8449900</v>
      </c>
      <c r="T52" s="104"/>
    </row>
    <row r="53" spans="1:20" s="105" customFormat="1">
      <c r="A53" s="100" t="s">
        <v>105</v>
      </c>
      <c r="B53" s="72" t="s">
        <v>39</v>
      </c>
      <c r="C53" s="60" t="s">
        <v>106</v>
      </c>
      <c r="D53" s="61">
        <v>7181110400</v>
      </c>
      <c r="E53" s="61">
        <f t="shared" si="15"/>
        <v>19115801938.975468</v>
      </c>
      <c r="F53" s="61">
        <f t="shared" si="14"/>
        <v>11934691538.975468</v>
      </c>
      <c r="G53" s="75"/>
      <c r="H53" s="75"/>
      <c r="I53" s="61">
        <f t="shared" si="0"/>
        <v>19115801938.975468</v>
      </c>
      <c r="J53" s="76">
        <v>9789520746</v>
      </c>
      <c r="K53" s="61">
        <v>97895207460</v>
      </c>
      <c r="L53" s="61">
        <v>156815438383.72</v>
      </c>
      <c r="M53" s="64">
        <v>1193634843</v>
      </c>
      <c r="N53" s="65">
        <f t="shared" si="16"/>
        <v>12.19</v>
      </c>
      <c r="O53" s="66"/>
      <c r="P53" s="102">
        <v>7181110400</v>
      </c>
      <c r="Q53" s="102">
        <f t="shared" si="17"/>
        <v>0</v>
      </c>
      <c r="R53" s="103">
        <v>1147725811</v>
      </c>
      <c r="S53" s="103">
        <f t="shared" si="18"/>
        <v>45909032</v>
      </c>
      <c r="T53" s="104"/>
    </row>
    <row r="54" spans="1:20" s="105" customFormat="1">
      <c r="A54" s="100" t="s">
        <v>107</v>
      </c>
      <c r="B54" s="72" t="s">
        <v>39</v>
      </c>
      <c r="C54" s="60" t="s">
        <v>108</v>
      </c>
      <c r="D54" s="61">
        <v>1278748590</v>
      </c>
      <c r="E54" s="61">
        <f t="shared" si="15"/>
        <v>1878724075.7606492</v>
      </c>
      <c r="F54" s="61">
        <f t="shared" si="14"/>
        <v>599975485.7606492</v>
      </c>
      <c r="G54" s="75"/>
      <c r="H54" s="75"/>
      <c r="I54" s="61">
        <f t="shared" si="0"/>
        <v>1878724075.7606492</v>
      </c>
      <c r="J54" s="76">
        <v>6393880193</v>
      </c>
      <c r="K54" s="101">
        <v>63938801930</v>
      </c>
      <c r="L54" s="61">
        <v>85010139174.690002</v>
      </c>
      <c r="M54" s="64">
        <v>141056496</v>
      </c>
      <c r="N54" s="65">
        <f t="shared" si="16"/>
        <v>2.21</v>
      </c>
      <c r="O54" s="66"/>
      <c r="P54" s="102">
        <v>1278748590</v>
      </c>
      <c r="Q54" s="102">
        <f t="shared" si="17"/>
        <v>0</v>
      </c>
      <c r="R54" s="103">
        <v>135631247</v>
      </c>
      <c r="S54" s="103">
        <f t="shared" si="18"/>
        <v>5425249</v>
      </c>
      <c r="T54" s="104"/>
    </row>
    <row r="55" spans="1:20">
      <c r="A55" s="100" t="s">
        <v>109</v>
      </c>
      <c r="B55" s="72" t="s">
        <v>39</v>
      </c>
      <c r="C55" s="60" t="s">
        <v>110</v>
      </c>
      <c r="D55" s="61">
        <v>1009234560</v>
      </c>
      <c r="E55" s="61">
        <f t="shared" si="15"/>
        <v>2283430692.2856002</v>
      </c>
      <c r="F55" s="61">
        <f t="shared" si="14"/>
        <v>1274196132.2856002</v>
      </c>
      <c r="G55" s="62"/>
      <c r="H55" s="62"/>
      <c r="I55" s="61">
        <f t="shared" si="0"/>
        <v>2283430692.2856002</v>
      </c>
      <c r="J55" s="76">
        <v>590388750</v>
      </c>
      <c r="K55" s="101">
        <v>5903887500</v>
      </c>
      <c r="L55" s="61">
        <v>11198777304</v>
      </c>
      <c r="M55" s="64">
        <v>120394773</v>
      </c>
      <c r="N55" s="65">
        <f t="shared" si="16"/>
        <v>20.39</v>
      </c>
      <c r="O55" s="66"/>
      <c r="P55" s="2">
        <v>1040632960</v>
      </c>
      <c r="Q55" s="102">
        <f t="shared" si="17"/>
        <v>-31398400</v>
      </c>
      <c r="R55" s="3">
        <v>118229689</v>
      </c>
      <c r="S55" s="103">
        <f t="shared" si="18"/>
        <v>2165084</v>
      </c>
    </row>
    <row r="56" spans="1:20" s="105" customFormat="1">
      <c r="A56" s="100" t="s">
        <v>111</v>
      </c>
      <c r="B56" s="72" t="s">
        <v>39</v>
      </c>
      <c r="C56" s="60" t="s">
        <v>112</v>
      </c>
      <c r="D56" s="61">
        <v>16845455780</v>
      </c>
      <c r="E56" s="61">
        <f t="shared" si="15"/>
        <v>54326888059.840401</v>
      </c>
      <c r="F56" s="61">
        <f t="shared" si="14"/>
        <v>37481432279.840401</v>
      </c>
      <c r="G56" s="75"/>
      <c r="H56" s="75"/>
      <c r="I56" s="61">
        <f t="shared" si="0"/>
        <v>54326888059.840401</v>
      </c>
      <c r="J56" s="76">
        <v>12568784736</v>
      </c>
      <c r="K56" s="101">
        <v>125687847360</v>
      </c>
      <c r="L56" s="61">
        <v>208468488334</v>
      </c>
      <c r="M56" s="64">
        <v>3275958884</v>
      </c>
      <c r="N56" s="65">
        <f t="shared" si="16"/>
        <v>26.06</v>
      </c>
      <c r="O56" s="66"/>
      <c r="P56" s="102">
        <v>16845455780</v>
      </c>
      <c r="Q56" s="102">
        <f t="shared" si="17"/>
        <v>0</v>
      </c>
      <c r="R56" s="103">
        <v>3180542606</v>
      </c>
      <c r="S56" s="103">
        <f t="shared" si="18"/>
        <v>95416278</v>
      </c>
      <c r="T56" s="104"/>
    </row>
    <row r="57" spans="1:20" s="49" customFormat="1" ht="22.15" customHeight="1">
      <c r="A57" s="1"/>
      <c r="B57" s="50" t="s">
        <v>50</v>
      </c>
      <c r="C57" s="79"/>
      <c r="D57" s="52">
        <f>SUM(D58:D62)</f>
        <v>20366878627</v>
      </c>
      <c r="E57" s="80">
        <f>SUM(E58:E62)</f>
        <v>72252446327.139404</v>
      </c>
      <c r="F57" s="40">
        <f>SUM(F58:F62)</f>
        <v>51885567700.139389</v>
      </c>
      <c r="G57" s="53"/>
      <c r="H57" s="53"/>
      <c r="I57" s="40">
        <f t="shared" si="0"/>
        <v>72252446327.139389</v>
      </c>
      <c r="J57" s="81"/>
      <c r="K57" s="82"/>
      <c r="L57" s="82"/>
      <c r="M57" s="56">
        <f>SUM(M58:M62)</f>
        <v>3709326009</v>
      </c>
      <c r="N57" s="71"/>
      <c r="O57" s="58"/>
      <c r="P57" s="2"/>
      <c r="Q57" s="2"/>
      <c r="R57" s="3"/>
      <c r="S57" s="3"/>
      <c r="T57" s="4"/>
    </row>
    <row r="58" spans="1:20" ht="18.600000000000001" customHeight="1">
      <c r="A58" s="1" t="s">
        <v>113</v>
      </c>
      <c r="B58" s="72" t="s">
        <v>52</v>
      </c>
      <c r="C58" s="60" t="s">
        <v>114</v>
      </c>
      <c r="D58" s="61">
        <v>3178345330</v>
      </c>
      <c r="E58" s="61">
        <f>L58*N58/100</f>
        <v>4971733353.2757998</v>
      </c>
      <c r="F58" s="61">
        <f>E58-D58</f>
        <v>1793388023.2757998</v>
      </c>
      <c r="G58" s="75"/>
      <c r="H58" s="75"/>
      <c r="I58" s="61">
        <f t="shared" si="0"/>
        <v>4971733353.2757998</v>
      </c>
      <c r="J58" s="76">
        <v>941867101</v>
      </c>
      <c r="K58" s="61">
        <v>9418671010</v>
      </c>
      <c r="L58" s="61">
        <v>14132272181</v>
      </c>
      <c r="M58" s="76">
        <v>331301773</v>
      </c>
      <c r="N58" s="65">
        <f>ROUND(IF(J58=0,D58/K58*100,M58/J58*100),2)</f>
        <v>35.18</v>
      </c>
      <c r="O58" s="66"/>
      <c r="P58" s="2">
        <v>3178345330</v>
      </c>
      <c r="Q58" s="2">
        <f>D58-P58</f>
        <v>0</v>
      </c>
      <c r="R58" s="3">
        <v>331301773</v>
      </c>
      <c r="S58" s="3">
        <f>M58-R58</f>
        <v>0</v>
      </c>
    </row>
    <row r="59" spans="1:20">
      <c r="A59" s="1" t="s">
        <v>115</v>
      </c>
      <c r="B59" s="72" t="s">
        <v>52</v>
      </c>
      <c r="C59" s="60" t="s">
        <v>433</v>
      </c>
      <c r="D59" s="61">
        <v>404762410</v>
      </c>
      <c r="E59" s="61">
        <f>L59*N59/100</f>
        <v>545530964.42319202</v>
      </c>
      <c r="F59" s="61">
        <f>E59-D59</f>
        <v>140768554.42319202</v>
      </c>
      <c r="G59" s="75"/>
      <c r="H59" s="75"/>
      <c r="I59" s="61">
        <f t="shared" si="0"/>
        <v>545530964.42319202</v>
      </c>
      <c r="J59" s="76">
        <v>350000000</v>
      </c>
      <c r="K59" s="106">
        <v>3500000000</v>
      </c>
      <c r="L59" s="61">
        <v>4719125989.8199997</v>
      </c>
      <c r="M59" s="107">
        <v>40476241</v>
      </c>
      <c r="N59" s="65">
        <f>ROUND(IF(J59=0,D59/K59*100,M59/J59*100),2)</f>
        <v>11.56</v>
      </c>
      <c r="O59" s="66"/>
      <c r="P59" s="2">
        <v>404762410</v>
      </c>
      <c r="Q59" s="2">
        <f>D59-P59</f>
        <v>0</v>
      </c>
      <c r="R59" s="3">
        <v>40476241</v>
      </c>
      <c r="S59" s="3">
        <f>M59-R59</f>
        <v>0</v>
      </c>
    </row>
    <row r="60" spans="1:20">
      <c r="A60" s="1" t="s">
        <v>116</v>
      </c>
      <c r="B60" s="72" t="s">
        <v>52</v>
      </c>
      <c r="C60" s="60" t="s">
        <v>431</v>
      </c>
      <c r="D60" s="61">
        <v>13875833250</v>
      </c>
      <c r="E60" s="61">
        <f>L60*N60/100</f>
        <v>62581607480.783997</v>
      </c>
      <c r="F60" s="61">
        <f>E60-D60</f>
        <v>48705774230.783997</v>
      </c>
      <c r="G60" s="75"/>
      <c r="H60" s="75"/>
      <c r="I60" s="61">
        <f t="shared" si="0"/>
        <v>62581607480.783997</v>
      </c>
      <c r="J60" s="107">
        <v>15773128996</v>
      </c>
      <c r="K60" s="101">
        <v>157731289960</v>
      </c>
      <c r="L60" s="61">
        <v>312908037403.91998</v>
      </c>
      <c r="M60" s="76">
        <v>3154709357</v>
      </c>
      <c r="N60" s="65">
        <f>ROUND(IF(J60=0,D60/K60*100,M60/J60*100),2)</f>
        <v>20</v>
      </c>
      <c r="O60" s="66"/>
      <c r="P60" s="2">
        <v>13875833250</v>
      </c>
      <c r="Q60" s="2">
        <f>D60-P60</f>
        <v>0</v>
      </c>
      <c r="R60" s="3">
        <v>3154709357</v>
      </c>
      <c r="S60" s="3">
        <f>M60-R60</f>
        <v>0</v>
      </c>
    </row>
    <row r="61" spans="1:20">
      <c r="A61" s="1" t="s">
        <v>117</v>
      </c>
      <c r="B61" s="72" t="s">
        <v>52</v>
      </c>
      <c r="C61" s="60" t="s">
        <v>432</v>
      </c>
      <c r="D61" s="61">
        <v>694986897</v>
      </c>
      <c r="E61" s="61">
        <f>L61*N61/100</f>
        <v>2395271217.6000004</v>
      </c>
      <c r="F61" s="61">
        <f>E61-D61</f>
        <v>1700284320.6000004</v>
      </c>
      <c r="G61" s="75"/>
      <c r="H61" s="75"/>
      <c r="I61" s="61">
        <f t="shared" si="0"/>
        <v>2395271217.6000004</v>
      </c>
      <c r="J61" s="76">
        <v>200000000</v>
      </c>
      <c r="K61" s="101">
        <v>2000000000</v>
      </c>
      <c r="L61" s="61">
        <v>6160677000</v>
      </c>
      <c r="M61" s="76">
        <v>77768272</v>
      </c>
      <c r="N61" s="65">
        <f>ROUND(IF(J61=0,D61/K61*100,M61/J61*100),2)</f>
        <v>38.880000000000003</v>
      </c>
      <c r="O61" s="66"/>
      <c r="P61" s="2">
        <v>694986897</v>
      </c>
      <c r="Q61" s="2">
        <f>D61-P61</f>
        <v>0</v>
      </c>
      <c r="R61" s="3">
        <v>77768272</v>
      </c>
      <c r="S61" s="3">
        <f>M61-R61</f>
        <v>0</v>
      </c>
    </row>
    <row r="62" spans="1:20" ht="16.350000000000001" customHeight="1">
      <c r="A62" s="1" t="s">
        <v>118</v>
      </c>
      <c r="B62" s="72" t="s">
        <v>52</v>
      </c>
      <c r="C62" s="194" t="s">
        <v>434</v>
      </c>
      <c r="D62" s="61">
        <v>2212950740</v>
      </c>
      <c r="E62" s="61">
        <f>L62*N62/100</f>
        <v>1758303311.0564072</v>
      </c>
      <c r="F62" s="61">
        <f>E62-D62</f>
        <v>-454647428.94359279</v>
      </c>
      <c r="G62" s="75"/>
      <c r="H62" s="75"/>
      <c r="I62" s="61">
        <f t="shared" si="0"/>
        <v>1758303311.0564072</v>
      </c>
      <c r="J62" s="76">
        <v>372991749</v>
      </c>
      <c r="K62" s="106">
        <v>3729917490</v>
      </c>
      <c r="L62" s="61">
        <v>6241758292.71</v>
      </c>
      <c r="M62" s="76">
        <v>105070366</v>
      </c>
      <c r="N62" s="65">
        <f>ROUND(IF(J62=0,D62/K62*100,M62/J62*100),2)</f>
        <v>28.17</v>
      </c>
      <c r="O62" s="66"/>
      <c r="P62" s="2">
        <v>2212950740</v>
      </c>
      <c r="Q62" s="2">
        <f>D62-P62</f>
        <v>0</v>
      </c>
      <c r="R62" s="3">
        <v>249612540</v>
      </c>
      <c r="S62" s="3">
        <f>M62-R62</f>
        <v>-144542174</v>
      </c>
    </row>
    <row r="63" spans="1:20" ht="20.65" customHeight="1">
      <c r="B63" s="50" t="s">
        <v>119</v>
      </c>
      <c r="C63" s="73"/>
      <c r="D63" s="52">
        <f>SUM(D64:D64)</f>
        <v>378000000</v>
      </c>
      <c r="E63" s="52">
        <f>SUM(E64:E64)</f>
        <v>416446499.15610003</v>
      </c>
      <c r="F63" s="40">
        <f>SUM(F64:F64)</f>
        <v>38446499.156100035</v>
      </c>
      <c r="G63" s="53"/>
      <c r="H63" s="53"/>
      <c r="I63" s="40">
        <f>D63+F63+H63</f>
        <v>416446499.15610003</v>
      </c>
      <c r="J63" s="85"/>
      <c r="K63" s="52"/>
      <c r="L63" s="52"/>
      <c r="M63" s="70">
        <f>SUM(M64:M64)</f>
        <v>10800</v>
      </c>
      <c r="N63" s="71"/>
      <c r="O63" s="58"/>
    </row>
    <row r="64" spans="1:20" ht="20.65" customHeight="1">
      <c r="A64" s="1" t="s">
        <v>120</v>
      </c>
      <c r="B64" s="108" t="s">
        <v>121</v>
      </c>
      <c r="C64" s="60" t="s">
        <v>122</v>
      </c>
      <c r="D64" s="61">
        <v>378000000</v>
      </c>
      <c r="E64" s="61">
        <f>L64*N64/100</f>
        <v>416446499.15610003</v>
      </c>
      <c r="F64" s="61">
        <f>E64-D64</f>
        <v>38446499.156100035</v>
      </c>
      <c r="G64" s="62"/>
      <c r="H64" s="62"/>
      <c r="I64" s="61">
        <f>D64+F64+H64</f>
        <v>416446499.15610003</v>
      </c>
      <c r="J64" s="76">
        <v>10800</v>
      </c>
      <c r="K64" s="101"/>
      <c r="L64" s="61">
        <f>13525381.59*30.79</f>
        <v>416446499.15609998</v>
      </c>
      <c r="M64" s="64">
        <v>10800</v>
      </c>
      <c r="N64" s="65">
        <f>ROUND(IF(J64=0,D64/K64*100,M64/J64*100),2)</f>
        <v>100</v>
      </c>
      <c r="O64" s="66"/>
      <c r="P64" s="2">
        <v>378000000</v>
      </c>
      <c r="Q64" s="2">
        <f>D64-P64</f>
        <v>0</v>
      </c>
      <c r="R64" s="3">
        <v>10800</v>
      </c>
      <c r="S64" s="3">
        <f>M64-R64</f>
        <v>0</v>
      </c>
    </row>
    <row r="65" spans="1:20" s="49" customFormat="1" ht="22.15" customHeight="1">
      <c r="A65" s="1"/>
      <c r="B65" s="50" t="s">
        <v>123</v>
      </c>
      <c r="C65" s="79"/>
      <c r="D65" s="52">
        <f>D66</f>
        <v>8</v>
      </c>
      <c r="E65" s="80">
        <f>E66</f>
        <v>12813784.699999999</v>
      </c>
      <c r="F65" s="80">
        <f>F66</f>
        <v>12813776.699999999</v>
      </c>
      <c r="G65" s="80"/>
      <c r="H65" s="80"/>
      <c r="I65" s="40">
        <f>I66</f>
        <v>12813784.699999999</v>
      </c>
      <c r="J65" s="81"/>
      <c r="K65" s="82"/>
      <c r="L65" s="82"/>
      <c r="M65" s="56">
        <f>M66</f>
        <v>2</v>
      </c>
      <c r="N65" s="71"/>
      <c r="O65" s="109"/>
      <c r="P65" s="96"/>
      <c r="Q65" s="96"/>
      <c r="R65" s="96"/>
      <c r="S65" s="96"/>
    </row>
    <row r="66" spans="1:20" s="49" customFormat="1" ht="22.15" customHeight="1">
      <c r="A66" s="1" t="s">
        <v>124</v>
      </c>
      <c r="B66" s="59" t="s">
        <v>125</v>
      </c>
      <c r="C66" s="60" t="s">
        <v>126</v>
      </c>
      <c r="D66" s="61">
        <v>8</v>
      </c>
      <c r="E66" s="61">
        <f>L66*N66/100</f>
        <v>12813784.699999999</v>
      </c>
      <c r="F66" s="61">
        <f>E66-D66</f>
        <v>12813776.699999999</v>
      </c>
      <c r="G66" s="62"/>
      <c r="H66" s="62"/>
      <c r="I66" s="61">
        <f>D66+F66+H66</f>
        <v>12813784.699999999</v>
      </c>
      <c r="J66" s="76">
        <v>2</v>
      </c>
      <c r="K66" s="63"/>
      <c r="L66" s="63">
        <v>12813784.699999999</v>
      </c>
      <c r="M66" s="64">
        <v>2</v>
      </c>
      <c r="N66" s="65">
        <f>ROUND(IF(J66=0,D66/K66*100,M66/J66*100),2)</f>
        <v>100</v>
      </c>
      <c r="O66" s="66"/>
      <c r="P66" s="96">
        <v>8</v>
      </c>
      <c r="Q66" s="96"/>
      <c r="R66" s="96">
        <v>2</v>
      </c>
      <c r="S66" s="96"/>
    </row>
    <row r="67" spans="1:20" ht="20.65" customHeight="1">
      <c r="B67" s="50" t="s">
        <v>67</v>
      </c>
      <c r="C67" s="73"/>
      <c r="D67" s="52">
        <f>SUM(D68:D72)</f>
        <v>18551173958</v>
      </c>
      <c r="E67" s="52">
        <f>SUM(E68:E72)</f>
        <v>140362420495.71002</v>
      </c>
      <c r="F67" s="40">
        <f>SUM(F68:F72)</f>
        <v>121811246537.71001</v>
      </c>
      <c r="G67" s="53"/>
      <c r="H67" s="53"/>
      <c r="I67" s="40">
        <f t="shared" si="0"/>
        <v>140362420495.71002</v>
      </c>
      <c r="J67" s="85"/>
      <c r="K67" s="52"/>
      <c r="L67" s="52"/>
      <c r="M67" s="70">
        <f>SUM(M68:M72)</f>
        <v>3347337727</v>
      </c>
      <c r="N67" s="71"/>
      <c r="O67" s="58"/>
    </row>
    <row r="68" spans="1:20" ht="20.65" customHeight="1">
      <c r="A68" s="1" t="s">
        <v>127</v>
      </c>
      <c r="B68" s="72" t="s">
        <v>69</v>
      </c>
      <c r="C68" s="60" t="s">
        <v>128</v>
      </c>
      <c r="D68" s="61">
        <v>12623674028</v>
      </c>
      <c r="E68" s="86">
        <f>ROUND(L68*N68/100,2)</f>
        <v>132879451550.60001</v>
      </c>
      <c r="F68" s="61">
        <f>E68-D68</f>
        <v>120255777522.60001</v>
      </c>
      <c r="G68" s="75"/>
      <c r="H68" s="75"/>
      <c r="I68" s="61">
        <f t="shared" si="0"/>
        <v>132879451550.60001</v>
      </c>
      <c r="J68" s="76">
        <v>7757446545</v>
      </c>
      <c r="K68" s="61">
        <v>77574465450</v>
      </c>
      <c r="L68" s="61">
        <v>376535708559.35999</v>
      </c>
      <c r="M68" s="64">
        <v>2737718976</v>
      </c>
      <c r="N68" s="65">
        <f>ROUND(IF(J68=0,D68/K68*100,M68/J68*100),2)</f>
        <v>35.29</v>
      </c>
      <c r="O68" s="66"/>
      <c r="P68" s="2">
        <v>12623674028</v>
      </c>
      <c r="Q68" s="2">
        <f>D68-P68</f>
        <v>0</v>
      </c>
      <c r="R68" s="3">
        <v>2737718976</v>
      </c>
      <c r="S68" s="3">
        <f>M68-R68</f>
        <v>0</v>
      </c>
    </row>
    <row r="69" spans="1:20" ht="20.65" customHeight="1">
      <c r="A69" s="1" t="s">
        <v>129</v>
      </c>
      <c r="B69" s="72" t="s">
        <v>69</v>
      </c>
      <c r="C69" s="60" t="s">
        <v>130</v>
      </c>
      <c r="D69" s="61">
        <v>5007388710</v>
      </c>
      <c r="E69" s="86">
        <f>ROUND(L69*N69/100,2)</f>
        <v>4030874950.3600001</v>
      </c>
      <c r="F69" s="61">
        <f>E69-D69</f>
        <v>-976513759.63999987</v>
      </c>
      <c r="G69" s="75"/>
      <c r="H69" s="75"/>
      <c r="I69" s="61">
        <f t="shared" si="0"/>
        <v>4030874950.3600001</v>
      </c>
      <c r="J69" s="76">
        <v>2323024791</v>
      </c>
      <c r="K69" s="61">
        <v>23230247910</v>
      </c>
      <c r="L69" s="61">
        <v>20024217339.099998</v>
      </c>
      <c r="M69" s="64">
        <v>467682372</v>
      </c>
      <c r="N69" s="65">
        <f>ROUND(IF(J69=0,D69/K69*100,M69/J69*100),2)</f>
        <v>20.13</v>
      </c>
      <c r="O69" s="66"/>
      <c r="P69" s="2">
        <v>5007388710</v>
      </c>
      <c r="Q69" s="2">
        <f>D69-P69</f>
        <v>0</v>
      </c>
      <c r="R69" s="3">
        <v>467682372</v>
      </c>
      <c r="S69" s="3">
        <f>M69-R69</f>
        <v>0</v>
      </c>
    </row>
    <row r="70" spans="1:20" s="110" customFormat="1" ht="20.65" customHeight="1">
      <c r="A70" s="1" t="s">
        <v>131</v>
      </c>
      <c r="B70" s="72" t="s">
        <v>69</v>
      </c>
      <c r="C70" s="60" t="s">
        <v>132</v>
      </c>
      <c r="D70" s="61">
        <v>315000000</v>
      </c>
      <c r="E70" s="86">
        <f>ROUND(L70*N70/100,2)</f>
        <v>695545877.25</v>
      </c>
      <c r="F70" s="61">
        <f>E70-D70</f>
        <v>380545877.25</v>
      </c>
      <c r="G70" s="62"/>
      <c r="H70" s="62"/>
      <c r="I70" s="61">
        <f t="shared" si="0"/>
        <v>695545877.25</v>
      </c>
      <c r="J70" s="76">
        <v>70000000</v>
      </c>
      <c r="K70" s="101">
        <v>700000000</v>
      </c>
      <c r="L70" s="61">
        <v>1545657505</v>
      </c>
      <c r="M70" s="64">
        <v>31500000</v>
      </c>
      <c r="N70" s="65">
        <f>IF(J70=0,D70/K70*100,M70/J70*100)</f>
        <v>45</v>
      </c>
      <c r="O70" s="66"/>
      <c r="P70" s="2">
        <v>315000000</v>
      </c>
      <c r="Q70" s="2">
        <f>D70-P70</f>
        <v>0</v>
      </c>
      <c r="R70" s="3">
        <v>31500000</v>
      </c>
      <c r="S70" s="3">
        <f>M70-R70</f>
        <v>0</v>
      </c>
      <c r="T70" s="99"/>
    </row>
    <row r="71" spans="1:20" ht="20.65" customHeight="1">
      <c r="A71" s="1" t="s">
        <v>133</v>
      </c>
      <c r="B71" s="72" t="s">
        <v>69</v>
      </c>
      <c r="C71" s="60" t="s">
        <v>134</v>
      </c>
      <c r="D71" s="61">
        <v>605111220</v>
      </c>
      <c r="E71" s="86">
        <f>ROUND(L71*N71/100,2)</f>
        <v>2756548117.5</v>
      </c>
      <c r="F71" s="61">
        <f>E71-D71</f>
        <v>2151436897.5</v>
      </c>
      <c r="G71" s="62"/>
      <c r="H71" s="62"/>
      <c r="I71" s="61">
        <f t="shared" si="0"/>
        <v>2756548117.5</v>
      </c>
      <c r="J71" s="76">
        <v>417294487</v>
      </c>
      <c r="K71" s="101">
        <v>4172944870</v>
      </c>
      <c r="L71" s="61">
        <v>10417793339</v>
      </c>
      <c r="M71" s="64">
        <v>110436379</v>
      </c>
      <c r="N71" s="65">
        <f>ROUND(IF(J71=0,D71/K71*100,M71/J71*100),2)</f>
        <v>26.46</v>
      </c>
      <c r="O71" s="66"/>
      <c r="P71" s="2">
        <v>605111220</v>
      </c>
      <c r="Q71" s="2">
        <f>D71-P71</f>
        <v>0</v>
      </c>
      <c r="R71" s="3">
        <v>110436379</v>
      </c>
      <c r="S71" s="3">
        <f>M71-R71</f>
        <v>0</v>
      </c>
    </row>
    <row r="72" spans="1:20" ht="20.65" hidden="1" customHeight="1">
      <c r="B72" s="72" t="s">
        <v>69</v>
      </c>
      <c r="C72" s="111" t="s">
        <v>135</v>
      </c>
      <c r="D72" s="69"/>
      <c r="E72" s="69"/>
      <c r="F72" s="69"/>
      <c r="G72" s="39"/>
      <c r="H72" s="39"/>
      <c r="I72" s="69"/>
      <c r="J72" s="94"/>
      <c r="K72" s="112"/>
      <c r="L72" s="69"/>
      <c r="M72" s="74"/>
      <c r="N72" s="71"/>
      <c r="O72" s="113"/>
    </row>
    <row r="73" spans="1:20" ht="20.65" customHeight="1">
      <c r="B73" s="50" t="s">
        <v>136</v>
      </c>
      <c r="C73" s="73"/>
      <c r="D73" s="52">
        <f>SUM(D74:D76)</f>
        <v>14953991530</v>
      </c>
      <c r="E73" s="52">
        <f>SUM(E74:E76)</f>
        <v>23934591737.484383</v>
      </c>
      <c r="F73" s="40">
        <f>SUM(F74:F76)+0.01</f>
        <v>8980600207.494381</v>
      </c>
      <c r="G73" s="39"/>
      <c r="H73" s="39"/>
      <c r="I73" s="40">
        <f t="shared" si="0"/>
        <v>23934591737.494381</v>
      </c>
      <c r="J73" s="85"/>
      <c r="K73" s="114"/>
      <c r="L73" s="52"/>
      <c r="M73" s="70">
        <f>SUM(M74:M76)</f>
        <v>1199719818</v>
      </c>
      <c r="N73" s="71"/>
      <c r="O73" s="58"/>
    </row>
    <row r="74" spans="1:20">
      <c r="A74" s="1" t="s">
        <v>137</v>
      </c>
      <c r="B74" s="72" t="s">
        <v>138</v>
      </c>
      <c r="C74" s="60" t="s">
        <v>139</v>
      </c>
      <c r="D74" s="86">
        <v>43200000</v>
      </c>
      <c r="E74" s="86">
        <f>L74*N74/100</f>
        <v>109664837.02579667</v>
      </c>
      <c r="F74" s="61">
        <f>E74-D74</f>
        <v>66464837.025796667</v>
      </c>
      <c r="G74" s="75"/>
      <c r="H74" s="75"/>
      <c r="I74" s="61">
        <f t="shared" si="0"/>
        <v>109664837.02579667</v>
      </c>
      <c r="J74" s="76">
        <v>94896</v>
      </c>
      <c r="K74" s="61">
        <v>189792000</v>
      </c>
      <c r="L74" s="187">
        <v>481794184</v>
      </c>
      <c r="M74" s="115">
        <v>21600</v>
      </c>
      <c r="N74" s="65">
        <f>IF(J74=0,D74/K74*100,M74/J74*100)</f>
        <v>22.761760242792111</v>
      </c>
      <c r="O74" s="66"/>
      <c r="P74" s="2">
        <v>43200000</v>
      </c>
      <c r="Q74" s="2">
        <f>D74-P74</f>
        <v>0</v>
      </c>
      <c r="R74" s="3">
        <v>21600</v>
      </c>
      <c r="S74" s="3">
        <f>M74-R74</f>
        <v>0</v>
      </c>
    </row>
    <row r="75" spans="1:20" ht="20.65" customHeight="1">
      <c r="A75" s="1" t="s">
        <v>140</v>
      </c>
      <c r="B75" s="72" t="s">
        <v>138</v>
      </c>
      <c r="C75" s="60" t="s">
        <v>141</v>
      </c>
      <c r="D75" s="86">
        <v>1110791530</v>
      </c>
      <c r="E75" s="86">
        <f>L75*N75/100</f>
        <v>12246468272.936434</v>
      </c>
      <c r="F75" s="61">
        <f>E75-D75</f>
        <v>11135676742.936434</v>
      </c>
      <c r="G75" s="75"/>
      <c r="H75" s="75"/>
      <c r="I75" s="61">
        <f t="shared" si="0"/>
        <v>12246468272.936434</v>
      </c>
      <c r="J75" s="76">
        <v>980000000</v>
      </c>
      <c r="K75" s="61">
        <v>9800000000</v>
      </c>
      <c r="L75" s="187">
        <v>50878474251</v>
      </c>
      <c r="M75" s="115">
        <v>235886376</v>
      </c>
      <c r="N75" s="65">
        <f>IF(J75=0,D75/K75*100,M75/J75*100)</f>
        <v>24.070038367346939</v>
      </c>
      <c r="O75" s="66"/>
      <c r="P75" s="2">
        <v>1110791530</v>
      </c>
      <c r="Q75" s="2">
        <f>D75-P75</f>
        <v>0</v>
      </c>
      <c r="R75" s="3">
        <v>235886376</v>
      </c>
      <c r="S75" s="3">
        <f>M75-R75</f>
        <v>0</v>
      </c>
    </row>
    <row r="76" spans="1:20" s="105" customFormat="1">
      <c r="A76" s="1" t="s">
        <v>142</v>
      </c>
      <c r="B76" s="72" t="s">
        <v>138</v>
      </c>
      <c r="C76" s="60" t="s">
        <v>143</v>
      </c>
      <c r="D76" s="86">
        <v>13800000000</v>
      </c>
      <c r="E76" s="86">
        <f>L76*N76/100</f>
        <v>11578458627.52215</v>
      </c>
      <c r="F76" s="61">
        <f>E76-D76</f>
        <v>-2221541372.47785</v>
      </c>
      <c r="G76" s="75"/>
      <c r="H76" s="75"/>
      <c r="I76" s="61">
        <f t="shared" si="0"/>
        <v>11578458627.52215</v>
      </c>
      <c r="J76" s="76">
        <v>2410697165</v>
      </c>
      <c r="K76" s="61">
        <v>24106971650</v>
      </c>
      <c r="L76" s="187">
        <v>28960172693.580002</v>
      </c>
      <c r="M76" s="115">
        <v>963811842</v>
      </c>
      <c r="N76" s="65">
        <f>IF(J76=0,D76/K76*100,M76/J76*100)</f>
        <v>39.980627015007087</v>
      </c>
      <c r="O76" s="66"/>
      <c r="P76" s="102">
        <v>13800000000</v>
      </c>
      <c r="Q76" s="2">
        <f>D76-P76</f>
        <v>0</v>
      </c>
      <c r="R76" s="103">
        <v>953856820</v>
      </c>
      <c r="S76" s="3">
        <f>M76-R76</f>
        <v>9955022</v>
      </c>
      <c r="T76" s="104"/>
    </row>
    <row r="77" spans="1:20" ht="19.5" customHeight="1">
      <c r="B77" s="36" t="s">
        <v>144</v>
      </c>
      <c r="C77" s="37"/>
      <c r="D77" s="38">
        <f>D78</f>
        <v>4897084789.9099998</v>
      </c>
      <c r="E77" s="116"/>
      <c r="F77" s="116"/>
      <c r="G77" s="69">
        <f>G78</f>
        <v>3697084789.9099998</v>
      </c>
      <c r="H77" s="69">
        <f>H78</f>
        <v>0</v>
      </c>
      <c r="I77" s="40">
        <f t="shared" si="0"/>
        <v>4897084789.9099998</v>
      </c>
      <c r="J77" s="117"/>
      <c r="K77" s="118"/>
      <c r="L77" s="118"/>
      <c r="M77" s="42">
        <f>M78</f>
        <v>181111216</v>
      </c>
      <c r="N77" s="43"/>
      <c r="O77" s="58"/>
    </row>
    <row r="78" spans="1:20" s="49" customFormat="1" ht="22.15" customHeight="1">
      <c r="A78" s="1"/>
      <c r="B78" s="45" t="s">
        <v>145</v>
      </c>
      <c r="C78" s="46"/>
      <c r="D78" s="38">
        <f>D79+D83+D85</f>
        <v>4897084789.9099998</v>
      </c>
      <c r="E78" s="119"/>
      <c r="F78" s="119"/>
      <c r="G78" s="53">
        <f>G79+G83+G85</f>
        <v>3697084789.9099998</v>
      </c>
      <c r="H78" s="53">
        <f>H79+H83+H85</f>
        <v>0</v>
      </c>
      <c r="I78" s="40">
        <f t="shared" si="0"/>
        <v>4897084789.9099998</v>
      </c>
      <c r="J78" s="81"/>
      <c r="K78" s="68"/>
      <c r="L78" s="68"/>
      <c r="M78" s="42">
        <f>M79+M83+M85</f>
        <v>181111216</v>
      </c>
      <c r="N78" s="41"/>
      <c r="O78" s="58"/>
      <c r="P78" s="2"/>
      <c r="Q78" s="2"/>
      <c r="R78" s="3"/>
      <c r="S78" s="3"/>
      <c r="T78" s="4"/>
    </row>
    <row r="79" spans="1:20" s="49" customFormat="1" ht="22.15" customHeight="1">
      <c r="A79" s="1"/>
      <c r="B79" s="50" t="s">
        <v>38</v>
      </c>
      <c r="C79" s="79"/>
      <c r="D79" s="52">
        <f>SUM(D80:D82)</f>
        <v>3608084789.9099998</v>
      </c>
      <c r="E79" s="80"/>
      <c r="F79" s="80"/>
      <c r="G79" s="80">
        <f>SUM(G80:G82)</f>
        <v>3608084789.9099998</v>
      </c>
      <c r="H79" s="80">
        <f>SUM(H80:H82)</f>
        <v>0</v>
      </c>
      <c r="I79" s="40">
        <f t="shared" si="0"/>
        <v>3608084789.9099998</v>
      </c>
      <c r="J79" s="81"/>
      <c r="K79" s="82"/>
      <c r="L79" s="82"/>
      <c r="M79" s="56">
        <f>SUM(M80:M82)</f>
        <v>782645</v>
      </c>
      <c r="N79" s="71"/>
      <c r="O79" s="58"/>
      <c r="P79" s="2"/>
      <c r="Q79" s="2"/>
      <c r="R79" s="3"/>
      <c r="S79" s="3"/>
      <c r="T79" s="4"/>
    </row>
    <row r="80" spans="1:20" s="49" customFormat="1">
      <c r="A80" s="1" t="s">
        <v>146</v>
      </c>
      <c r="B80" s="72" t="s">
        <v>39</v>
      </c>
      <c r="C80" s="60" t="s">
        <v>147</v>
      </c>
      <c r="D80" s="61">
        <v>1325187294</v>
      </c>
      <c r="E80" s="61"/>
      <c r="F80" s="61"/>
      <c r="G80" s="61">
        <v>1325187294</v>
      </c>
      <c r="H80" s="61">
        <v>0</v>
      </c>
      <c r="I80" s="61">
        <f t="shared" si="0"/>
        <v>1325187294</v>
      </c>
      <c r="J80" s="76">
        <v>500000</v>
      </c>
      <c r="K80" s="61"/>
      <c r="L80" s="61"/>
      <c r="M80" s="64">
        <v>50000</v>
      </c>
      <c r="N80" s="65">
        <f t="shared" ref="N80:N86" si="19">ROUND(IF(J80=0,D80/K80*100,M80/J80*100),2)</f>
        <v>10</v>
      </c>
      <c r="O80" s="120"/>
      <c r="P80" s="2">
        <v>1325187294</v>
      </c>
      <c r="Q80" s="2">
        <f>D80-P80</f>
        <v>0</v>
      </c>
      <c r="R80" s="3">
        <v>50000</v>
      </c>
      <c r="S80" s="3">
        <f>M80-R80</f>
        <v>0</v>
      </c>
      <c r="T80" s="4"/>
    </row>
    <row r="81" spans="1:20" s="49" customFormat="1" ht="22.15" customHeight="1">
      <c r="A81" s="1" t="s">
        <v>148</v>
      </c>
      <c r="B81" s="72" t="s">
        <v>39</v>
      </c>
      <c r="C81" s="60" t="s">
        <v>149</v>
      </c>
      <c r="D81" s="61">
        <v>2270758565.9099998</v>
      </c>
      <c r="E81" s="61"/>
      <c r="F81" s="61"/>
      <c r="G81" s="61">
        <v>2270758565.9099998</v>
      </c>
      <c r="H81" s="61">
        <v>0</v>
      </c>
      <c r="I81" s="61">
        <f t="shared" si="0"/>
        <v>2270758565.9099998</v>
      </c>
      <c r="J81" s="76">
        <v>10614853</v>
      </c>
      <c r="K81" s="61"/>
      <c r="L81" s="61"/>
      <c r="M81" s="64">
        <v>115620</v>
      </c>
      <c r="N81" s="65">
        <f t="shared" si="19"/>
        <v>1.0900000000000001</v>
      </c>
      <c r="O81" s="120"/>
      <c r="P81" s="2">
        <v>2270758565.9099998</v>
      </c>
      <c r="Q81" s="2">
        <f>D81-P81</f>
        <v>0</v>
      </c>
      <c r="R81" s="3">
        <v>115620</v>
      </c>
      <c r="S81" s="3">
        <f>M81-R81</f>
        <v>0</v>
      </c>
      <c r="T81" s="4"/>
    </row>
    <row r="82" spans="1:20" s="49" customFormat="1">
      <c r="A82" s="1" t="s">
        <v>150</v>
      </c>
      <c r="B82" s="72" t="s">
        <v>39</v>
      </c>
      <c r="C82" s="60" t="s">
        <v>151</v>
      </c>
      <c r="D82" s="61">
        <v>12138930</v>
      </c>
      <c r="E82" s="61"/>
      <c r="F82" s="61"/>
      <c r="G82" s="61">
        <v>12138930</v>
      </c>
      <c r="H82" s="61">
        <v>0</v>
      </c>
      <c r="I82" s="61">
        <f t="shared" si="0"/>
        <v>12138930</v>
      </c>
      <c r="J82" s="76">
        <v>132164604</v>
      </c>
      <c r="K82" s="61">
        <v>1321646040</v>
      </c>
      <c r="L82" s="61"/>
      <c r="M82" s="64">
        <v>617025</v>
      </c>
      <c r="N82" s="65">
        <f t="shared" si="19"/>
        <v>0.47</v>
      </c>
      <c r="O82" s="120"/>
      <c r="P82" s="2">
        <v>12138930</v>
      </c>
      <c r="Q82" s="2">
        <f>D82-P82</f>
        <v>0</v>
      </c>
      <c r="R82" s="3">
        <v>617025</v>
      </c>
      <c r="S82" s="3">
        <f>M82-R82</f>
        <v>0</v>
      </c>
      <c r="T82" s="4"/>
    </row>
    <row r="83" spans="1:20" s="49" customFormat="1" ht="22.15" customHeight="1">
      <c r="A83" s="1"/>
      <c r="B83" s="50" t="s">
        <v>50</v>
      </c>
      <c r="C83" s="79"/>
      <c r="D83" s="52">
        <f>SUM(D84)</f>
        <v>89000000</v>
      </c>
      <c r="E83" s="80"/>
      <c r="F83" s="80"/>
      <c r="G83" s="80">
        <f>G84</f>
        <v>89000000</v>
      </c>
      <c r="H83" s="80">
        <f>H84</f>
        <v>0</v>
      </c>
      <c r="I83" s="40">
        <f t="shared" ref="I83:I161" si="20">D83+F83+H83</f>
        <v>89000000</v>
      </c>
      <c r="J83" s="81"/>
      <c r="K83" s="82"/>
      <c r="L83" s="82"/>
      <c r="M83" s="56">
        <f>M84</f>
        <v>8900000</v>
      </c>
      <c r="N83" s="71"/>
      <c r="O83" s="109"/>
      <c r="P83" s="2"/>
      <c r="Q83" s="2"/>
      <c r="R83" s="3"/>
      <c r="S83" s="3"/>
      <c r="T83" s="4"/>
    </row>
    <row r="84" spans="1:20" s="110" customFormat="1" ht="18.600000000000001" customHeight="1">
      <c r="A84" s="121" t="s">
        <v>152</v>
      </c>
      <c r="B84" s="72" t="s">
        <v>153</v>
      </c>
      <c r="C84" s="60" t="s">
        <v>372</v>
      </c>
      <c r="D84" s="61">
        <v>89000000</v>
      </c>
      <c r="E84" s="61"/>
      <c r="F84" s="61"/>
      <c r="G84" s="61">
        <v>89000000</v>
      </c>
      <c r="H84" s="61">
        <v>0</v>
      </c>
      <c r="I84" s="61">
        <f>D84+F84+H84</f>
        <v>89000000</v>
      </c>
      <c r="J84" s="76">
        <v>168900000</v>
      </c>
      <c r="K84" s="61">
        <v>1689000000</v>
      </c>
      <c r="L84" s="61">
        <v>951512822</v>
      </c>
      <c r="M84" s="76">
        <v>8900000</v>
      </c>
      <c r="N84" s="65">
        <f t="shared" si="19"/>
        <v>5.27</v>
      </c>
      <c r="O84" s="120"/>
      <c r="P84" s="2">
        <v>89000000</v>
      </c>
      <c r="Q84" s="2">
        <f>D84-P84</f>
        <v>0</v>
      </c>
      <c r="R84" s="3">
        <v>8900000</v>
      </c>
      <c r="S84" s="3">
        <f>M84-R84</f>
        <v>0</v>
      </c>
      <c r="T84" s="99"/>
    </row>
    <row r="85" spans="1:20" s="49" customFormat="1" ht="22.15" customHeight="1">
      <c r="A85" s="1"/>
      <c r="B85" s="50" t="s">
        <v>154</v>
      </c>
      <c r="C85" s="79"/>
      <c r="D85" s="52">
        <f>SUM(D86)</f>
        <v>1200000000</v>
      </c>
      <c r="E85" s="80"/>
      <c r="F85" s="80"/>
      <c r="G85" s="80">
        <f>G86</f>
        <v>0</v>
      </c>
      <c r="H85" s="80">
        <f>H86</f>
        <v>0</v>
      </c>
      <c r="I85" s="40">
        <f t="shared" si="20"/>
        <v>1200000000</v>
      </c>
      <c r="J85" s="81"/>
      <c r="K85" s="82"/>
      <c r="L85" s="82"/>
      <c r="M85" s="56">
        <f>M86</f>
        <v>171428571</v>
      </c>
      <c r="N85" s="71"/>
      <c r="O85" s="109"/>
      <c r="P85" s="2"/>
      <c r="Q85" s="2"/>
      <c r="R85" s="3"/>
      <c r="S85" s="3"/>
      <c r="T85" s="4"/>
    </row>
    <row r="86" spans="1:20" s="110" customFormat="1" ht="19.350000000000001" customHeight="1">
      <c r="A86" s="121" t="s">
        <v>155</v>
      </c>
      <c r="B86" s="72" t="s">
        <v>156</v>
      </c>
      <c r="C86" s="60" t="s">
        <v>157</v>
      </c>
      <c r="D86" s="61">
        <v>1200000000</v>
      </c>
      <c r="E86" s="61"/>
      <c r="F86" s="61"/>
      <c r="G86" s="61">
        <v>0</v>
      </c>
      <c r="H86" s="61">
        <v>0</v>
      </c>
      <c r="I86" s="61">
        <f t="shared" si="20"/>
        <v>1200000000</v>
      </c>
      <c r="J86" s="64">
        <v>1000000000</v>
      </c>
      <c r="K86" s="61"/>
      <c r="L86" s="61"/>
      <c r="M86" s="64">
        <v>171428571</v>
      </c>
      <c r="N86" s="65">
        <f t="shared" si="19"/>
        <v>17.14</v>
      </c>
      <c r="O86" s="120"/>
      <c r="P86" s="2">
        <v>1200000000</v>
      </c>
      <c r="Q86" s="2">
        <f>D86-P86</f>
        <v>0</v>
      </c>
      <c r="R86" s="3">
        <v>171428571</v>
      </c>
      <c r="S86" s="3">
        <f>M86-R86</f>
        <v>0</v>
      </c>
      <c r="T86" s="99"/>
    </row>
    <row r="87" spans="1:20" ht="19.5" customHeight="1">
      <c r="B87" s="36" t="s">
        <v>158</v>
      </c>
      <c r="C87" s="122"/>
      <c r="D87" s="38">
        <f>D88+D159</f>
        <v>1527081356548.9299</v>
      </c>
      <c r="E87" s="38">
        <f>E88+E159</f>
        <v>2527581078592.6172</v>
      </c>
      <c r="F87" s="38">
        <f>F88+F159</f>
        <v>1034344601985.6774</v>
      </c>
      <c r="G87" s="123"/>
      <c r="H87" s="123"/>
      <c r="I87" s="40">
        <f t="shared" si="20"/>
        <v>2561425958534.6074</v>
      </c>
      <c r="J87" s="124"/>
      <c r="K87" s="125"/>
      <c r="L87" s="126"/>
      <c r="M87" s="127"/>
      <c r="N87" s="128"/>
      <c r="O87" s="109"/>
    </row>
    <row r="88" spans="1:20" s="49" customFormat="1" ht="22.15" customHeight="1">
      <c r="A88" s="1"/>
      <c r="B88" s="45" t="s">
        <v>159</v>
      </c>
      <c r="C88" s="46"/>
      <c r="D88" s="38">
        <f>D89+D95+D100+D103+D106+D124+D126+D129+D156+D135+D151+D137+D139+D93+D145</f>
        <v>1526981356548.9299</v>
      </c>
      <c r="E88" s="38">
        <f>E89+E95+E100+E103+E106+E124+E126+E129+E156+E135+E151+E137+E139+E93+E145</f>
        <v>2507778552160.9272</v>
      </c>
      <c r="F88" s="38">
        <f>F89+F95+F100+F103+F106+F124+F126+F129+F156+F135+F151+F137+F139+F93+F145</f>
        <v>1014642075553.9874</v>
      </c>
      <c r="G88" s="123"/>
      <c r="H88" s="123"/>
      <c r="I88" s="40">
        <f t="shared" si="20"/>
        <v>2541623432102.9175</v>
      </c>
      <c r="J88" s="81"/>
      <c r="K88" s="68"/>
      <c r="L88" s="68"/>
      <c r="M88" s="56"/>
      <c r="N88" s="41"/>
      <c r="O88" s="109"/>
      <c r="P88" s="2"/>
      <c r="Q88" s="2"/>
      <c r="R88" s="3"/>
      <c r="S88" s="3"/>
      <c r="T88" s="4"/>
    </row>
    <row r="89" spans="1:20" s="49" customFormat="1" ht="22.15" customHeight="1">
      <c r="A89" s="1"/>
      <c r="B89" s="50" t="s">
        <v>160</v>
      </c>
      <c r="C89" s="51"/>
      <c r="D89" s="52">
        <f>SUM(D90:D92)</f>
        <v>99834356724.789993</v>
      </c>
      <c r="E89" s="52">
        <f>SUM(E90:E92)</f>
        <v>575061694412.70996</v>
      </c>
      <c r="F89" s="52">
        <f>SUM(F90:F92)</f>
        <v>475227337687.91998</v>
      </c>
      <c r="G89" s="123"/>
      <c r="H89" s="123"/>
      <c r="I89" s="40">
        <f t="shared" si="20"/>
        <v>575061694412.70996</v>
      </c>
      <c r="J89" s="95"/>
      <c r="K89" s="82"/>
      <c r="L89" s="82"/>
      <c r="M89" s="56"/>
      <c r="N89" s="57"/>
      <c r="O89" s="109"/>
      <c r="P89" s="2"/>
      <c r="Q89" s="2"/>
      <c r="R89" s="3"/>
      <c r="S89" s="3"/>
      <c r="T89" s="4"/>
    </row>
    <row r="90" spans="1:20" s="49" customFormat="1" ht="22.15" customHeight="1">
      <c r="A90" s="1" t="s">
        <v>161</v>
      </c>
      <c r="B90" s="59" t="s">
        <v>162</v>
      </c>
      <c r="C90" s="60" t="s">
        <v>163</v>
      </c>
      <c r="D90" s="63">
        <v>88983924367.289993</v>
      </c>
      <c r="E90" s="61">
        <f>L90*N90/100</f>
        <v>561823626686.43994</v>
      </c>
      <c r="F90" s="61">
        <f>E90-D90</f>
        <v>472839702319.14996</v>
      </c>
      <c r="G90" s="129"/>
      <c r="H90" s="129"/>
      <c r="I90" s="61">
        <f t="shared" si="20"/>
        <v>561823626686.43994</v>
      </c>
      <c r="J90" s="76"/>
      <c r="K90" s="63">
        <v>88983924637.289993</v>
      </c>
      <c r="L90" s="130">
        <v>561823626686.43994</v>
      </c>
      <c r="M90" s="64"/>
      <c r="N90" s="65">
        <f>ROUND(IF(J90=0,D90/K90*100,M90/J90*100),2)</f>
        <v>100</v>
      </c>
      <c r="O90" s="120"/>
      <c r="P90" s="2">
        <v>88983924367.289993</v>
      </c>
      <c r="Q90" s="2">
        <f>D90-P90</f>
        <v>0</v>
      </c>
      <c r="R90" s="3"/>
      <c r="S90" s="3"/>
      <c r="T90" s="4"/>
    </row>
    <row r="91" spans="1:20" s="49" customFormat="1" ht="22.15" customHeight="1">
      <c r="A91" s="1" t="s">
        <v>164</v>
      </c>
      <c r="B91" s="59" t="s">
        <v>165</v>
      </c>
      <c r="C91" s="60" t="s">
        <v>166</v>
      </c>
      <c r="D91" s="63">
        <v>844783757</v>
      </c>
      <c r="E91" s="61">
        <f>L91*N91/100</f>
        <v>2260377915.77</v>
      </c>
      <c r="F91" s="61">
        <f>E91-D91</f>
        <v>1415594158.77</v>
      </c>
      <c r="G91" s="129"/>
      <c r="H91" s="129"/>
      <c r="I91" s="61">
        <f>D91+F91+H91</f>
        <v>2260377915.77</v>
      </c>
      <c r="J91" s="76"/>
      <c r="K91" s="63">
        <f>1284333757-439550000</f>
        <v>844783757</v>
      </c>
      <c r="L91" s="63">
        <v>2260377915.77</v>
      </c>
      <c r="M91" s="64"/>
      <c r="N91" s="65">
        <f>ROUND(IF(J91=0,D91/K91*100,M91/J91*100),2)</f>
        <v>100</v>
      </c>
      <c r="O91" s="120"/>
      <c r="P91" s="2">
        <v>844783757</v>
      </c>
      <c r="Q91" s="2">
        <f>D91-P91</f>
        <v>0</v>
      </c>
      <c r="R91" s="3"/>
      <c r="S91" s="3"/>
      <c r="T91" s="4"/>
    </row>
    <row r="92" spans="1:20" s="49" customFormat="1" ht="22.15" customHeight="1">
      <c r="A92" s="1" t="s">
        <v>167</v>
      </c>
      <c r="B92" s="59" t="s">
        <v>168</v>
      </c>
      <c r="C92" s="60" t="s">
        <v>169</v>
      </c>
      <c r="D92" s="63">
        <v>10005648600.5</v>
      </c>
      <c r="E92" s="61">
        <f>L92*N92/100</f>
        <v>10977689810.5</v>
      </c>
      <c r="F92" s="61">
        <f>E92-D92</f>
        <v>972041210</v>
      </c>
      <c r="G92" s="129"/>
      <c r="H92" s="129"/>
      <c r="I92" s="61">
        <f>D92+F92+H92</f>
        <v>10977689810.5</v>
      </c>
      <c r="J92" s="76"/>
      <c r="K92" s="63">
        <v>10005648600.5</v>
      </c>
      <c r="L92" s="63">
        <v>10977689810.5</v>
      </c>
      <c r="M92" s="64"/>
      <c r="N92" s="65">
        <f>ROUND(IF(J92=0,D92/K92*100,M92/J92*100),2)</f>
        <v>100</v>
      </c>
      <c r="O92" s="120"/>
      <c r="P92" s="2">
        <v>10005648600.5</v>
      </c>
      <c r="Q92" s="2">
        <f>D92-P92</f>
        <v>0</v>
      </c>
      <c r="R92" s="3"/>
      <c r="S92" s="3"/>
      <c r="T92" s="4"/>
    </row>
    <row r="93" spans="1:20" s="49" customFormat="1" ht="22.15" customHeight="1">
      <c r="A93" s="1"/>
      <c r="B93" s="50" t="s">
        <v>170</v>
      </c>
      <c r="C93" s="51"/>
      <c r="D93" s="80">
        <f>D94</f>
        <v>127203259</v>
      </c>
      <c r="E93" s="80">
        <f>E94</f>
        <v>355558892</v>
      </c>
      <c r="F93" s="40">
        <f>SUM(F94)</f>
        <v>228355633</v>
      </c>
      <c r="G93" s="123"/>
      <c r="H93" s="123"/>
      <c r="I93" s="40">
        <f>D93+F93+H93</f>
        <v>355558892</v>
      </c>
      <c r="J93" s="95"/>
      <c r="K93" s="82"/>
      <c r="L93" s="82"/>
      <c r="M93" s="56"/>
      <c r="N93" s="57"/>
      <c r="O93" s="109"/>
      <c r="P93" s="2"/>
      <c r="Q93" s="2"/>
      <c r="R93" s="3"/>
      <c r="S93" s="3"/>
      <c r="T93" s="4"/>
    </row>
    <row r="94" spans="1:20" s="49" customFormat="1" ht="22.15" customHeight="1">
      <c r="A94" s="1" t="s">
        <v>171</v>
      </c>
      <c r="B94" s="59" t="s">
        <v>172</v>
      </c>
      <c r="C94" s="60" t="s">
        <v>173</v>
      </c>
      <c r="D94" s="63">
        <v>127203259</v>
      </c>
      <c r="E94" s="61">
        <f>L94*N94/100</f>
        <v>355558892</v>
      </c>
      <c r="F94" s="61">
        <f>E94-D94</f>
        <v>228355633</v>
      </c>
      <c r="G94" s="129"/>
      <c r="H94" s="129"/>
      <c r="I94" s="61">
        <f>D94+F94+H94</f>
        <v>355558892</v>
      </c>
      <c r="J94" s="76"/>
      <c r="K94" s="63">
        <v>127203259</v>
      </c>
      <c r="L94" s="63">
        <v>355558892</v>
      </c>
      <c r="M94" s="64"/>
      <c r="N94" s="65">
        <f>ROUND(IF(J94=0,D94/K94*100,M94/J94*100),2)</f>
        <v>100</v>
      </c>
      <c r="O94" s="120"/>
      <c r="P94" s="2">
        <v>127203259</v>
      </c>
      <c r="Q94" s="2">
        <f>D94-P94</f>
        <v>0</v>
      </c>
      <c r="R94" s="3"/>
      <c r="S94" s="3"/>
      <c r="T94" s="4"/>
    </row>
    <row r="95" spans="1:20" s="49" customFormat="1" ht="22.15" customHeight="1">
      <c r="A95" s="1"/>
      <c r="B95" s="50" t="s">
        <v>174</v>
      </c>
      <c r="C95" s="79"/>
      <c r="D95" s="52">
        <f>SUM(D96:D96)</f>
        <v>47500662851.849998</v>
      </c>
      <c r="E95" s="52">
        <f>E96</f>
        <v>52137655148.849998</v>
      </c>
      <c r="F95" s="52">
        <f>F96</f>
        <v>4636992297</v>
      </c>
      <c r="G95" s="123"/>
      <c r="H95" s="123"/>
      <c r="I95" s="40">
        <f t="shared" si="20"/>
        <v>52137655148.849998</v>
      </c>
      <c r="J95" s="81"/>
      <c r="K95" s="82"/>
      <c r="L95" s="82"/>
      <c r="M95" s="56"/>
      <c r="N95" s="71"/>
      <c r="O95" s="109"/>
      <c r="P95" s="2"/>
      <c r="Q95" s="2"/>
      <c r="R95" s="3"/>
      <c r="S95" s="3"/>
      <c r="T95" s="4"/>
    </row>
    <row r="96" spans="1:20" s="49" customFormat="1">
      <c r="A96" s="1" t="s">
        <v>175</v>
      </c>
      <c r="B96" s="72" t="s">
        <v>176</v>
      </c>
      <c r="C96" s="60" t="s">
        <v>177</v>
      </c>
      <c r="D96" s="61">
        <f>SUM(D97:D99)</f>
        <v>47500662851.849998</v>
      </c>
      <c r="E96" s="61">
        <f>SUM(E97:E99)</f>
        <v>52137655148.849998</v>
      </c>
      <c r="F96" s="61">
        <f>SUM(F97:F99)</f>
        <v>4636992297</v>
      </c>
      <c r="G96" s="129"/>
      <c r="H96" s="129"/>
      <c r="I96" s="61">
        <f t="shared" si="20"/>
        <v>52137655148.849998</v>
      </c>
      <c r="J96" s="76"/>
      <c r="K96" s="61">
        <f>SUM(K97:K99)</f>
        <v>51625601612.339996</v>
      </c>
      <c r="L96" s="61">
        <f>SUM(L97:L99)</f>
        <v>56262593909.339996</v>
      </c>
      <c r="M96" s="64"/>
      <c r="N96" s="65">
        <f>ROUND(IF(J96=0,D96/K96*100,M96/J96*100),2)</f>
        <v>92.01</v>
      </c>
      <c r="O96" s="120"/>
      <c r="P96" s="2">
        <v>64173661810.639999</v>
      </c>
      <c r="Q96" s="2">
        <f>D96-P96</f>
        <v>-16672998958.790001</v>
      </c>
      <c r="R96" s="3"/>
      <c r="S96" s="3"/>
      <c r="T96" s="4"/>
    </row>
    <row r="97" spans="1:20" s="49" customFormat="1">
      <c r="A97" s="1"/>
      <c r="B97" s="131"/>
      <c r="C97" s="73" t="s">
        <v>428</v>
      </c>
      <c r="D97" s="69">
        <v>45800662436.849998</v>
      </c>
      <c r="E97" s="69">
        <f t="shared" ref="E97:E99" si="21">L97*N97/100</f>
        <v>45800662436.849998</v>
      </c>
      <c r="F97" s="69">
        <f>E97-D97</f>
        <v>0</v>
      </c>
      <c r="G97" s="123"/>
      <c r="H97" s="123"/>
      <c r="I97" s="69">
        <f t="shared" si="20"/>
        <v>45800662436.849998</v>
      </c>
      <c r="J97" s="94"/>
      <c r="K97" s="69">
        <f>49925601197.34</f>
        <v>49925601197.339996</v>
      </c>
      <c r="L97" s="69">
        <v>49925601197.339996</v>
      </c>
      <c r="M97" s="74"/>
      <c r="N97" s="71">
        <f>IF(J97=0,D97/K97*100,M97/J97*100)</f>
        <v>91.737828565778443</v>
      </c>
      <c r="O97" s="109"/>
      <c r="P97" s="2"/>
      <c r="Q97" s="2"/>
      <c r="R97" s="3"/>
      <c r="S97" s="3"/>
      <c r="T97" s="4"/>
    </row>
    <row r="98" spans="1:20" s="49" customFormat="1">
      <c r="A98" s="1"/>
      <c r="B98" s="131"/>
      <c r="C98" s="73" t="s">
        <v>429</v>
      </c>
      <c r="D98" s="69">
        <v>600000500</v>
      </c>
      <c r="E98" s="69">
        <f t="shared" si="21"/>
        <v>3729384772</v>
      </c>
      <c r="F98" s="69">
        <f>E98-D98</f>
        <v>3129384272</v>
      </c>
      <c r="G98" s="123"/>
      <c r="H98" s="123"/>
      <c r="I98" s="69">
        <f t="shared" si="20"/>
        <v>3729384772</v>
      </c>
      <c r="J98" s="94"/>
      <c r="K98" s="69">
        <v>600000500</v>
      </c>
      <c r="L98" s="69">
        <v>3729384772</v>
      </c>
      <c r="M98" s="74"/>
      <c r="N98" s="71">
        <f>ROUND(IF(J98=0,D98/K98*100,M98/J98*100),2)</f>
        <v>100</v>
      </c>
      <c r="O98" s="109"/>
      <c r="P98" s="2"/>
      <c r="Q98" s="2"/>
      <c r="R98" s="3"/>
      <c r="S98" s="3"/>
      <c r="T98" s="4"/>
    </row>
    <row r="99" spans="1:20" s="49" customFormat="1">
      <c r="A99" s="1"/>
      <c r="B99" s="131"/>
      <c r="C99" s="73" t="s">
        <v>430</v>
      </c>
      <c r="D99" s="69">
        <v>1099999915</v>
      </c>
      <c r="E99" s="69">
        <f t="shared" si="21"/>
        <v>2607607940</v>
      </c>
      <c r="F99" s="69">
        <f>E99-D99</f>
        <v>1507608025</v>
      </c>
      <c r="G99" s="123"/>
      <c r="H99" s="123"/>
      <c r="I99" s="69">
        <f t="shared" si="20"/>
        <v>2607607940</v>
      </c>
      <c r="J99" s="94"/>
      <c r="K99" s="69">
        <v>1099999915</v>
      </c>
      <c r="L99" s="69">
        <v>2607607940</v>
      </c>
      <c r="M99" s="74"/>
      <c r="N99" s="71">
        <f>ROUND(IF(J99=0,D99/K99*100,M99/J99*100),2)</f>
        <v>100</v>
      </c>
      <c r="O99" s="109"/>
      <c r="P99" s="2"/>
      <c r="Q99" s="2"/>
      <c r="R99" s="3"/>
      <c r="S99" s="3"/>
      <c r="T99" s="4"/>
    </row>
    <row r="100" spans="1:20" s="49" customFormat="1" ht="22.15" customHeight="1">
      <c r="A100" s="1"/>
      <c r="B100" s="50" t="s">
        <v>179</v>
      </c>
      <c r="C100" s="51"/>
      <c r="D100" s="52">
        <f>SUM(D101:D102)</f>
        <v>93887116691.660004</v>
      </c>
      <c r="E100" s="52">
        <f>E101+E102</f>
        <v>15321733649.279999</v>
      </c>
      <c r="F100" s="52">
        <f>SUM(F101:F102)</f>
        <v>-47282498397.380005</v>
      </c>
      <c r="G100" s="123"/>
      <c r="H100" s="123"/>
      <c r="I100" s="40">
        <f t="shared" si="20"/>
        <v>46604618294.279999</v>
      </c>
      <c r="J100" s="95"/>
      <c r="K100" s="82"/>
      <c r="L100" s="82"/>
      <c r="M100" s="56"/>
      <c r="N100" s="57"/>
      <c r="O100" s="109"/>
      <c r="P100" s="2"/>
      <c r="Q100" s="2"/>
      <c r="R100" s="3"/>
      <c r="S100" s="3"/>
      <c r="T100" s="4"/>
    </row>
    <row r="101" spans="1:20" s="49" customFormat="1" ht="22.15" customHeight="1">
      <c r="A101" s="1" t="s">
        <v>180</v>
      </c>
      <c r="B101" s="59" t="s">
        <v>181</v>
      </c>
      <c r="C101" s="60" t="s">
        <v>182</v>
      </c>
      <c r="D101" s="63">
        <v>33283559691.66</v>
      </c>
      <c r="E101" s="61">
        <f>L101*N101/100</f>
        <v>46604618294.279999</v>
      </c>
      <c r="F101" s="61">
        <f>E101-D101</f>
        <v>13321058602.619999</v>
      </c>
      <c r="G101" s="129"/>
      <c r="H101" s="129"/>
      <c r="I101" s="61">
        <f t="shared" si="20"/>
        <v>46604618294.279999</v>
      </c>
      <c r="J101" s="76"/>
      <c r="K101" s="63">
        <v>33283559691.66</v>
      </c>
      <c r="L101" s="63">
        <v>46604618294.279999</v>
      </c>
      <c r="M101" s="64"/>
      <c r="N101" s="65">
        <f>ROUND(IF(J101=0,D101/K101*100,M101/J101*100),2)</f>
        <v>100</v>
      </c>
      <c r="O101" s="120"/>
      <c r="P101" s="2">
        <v>33283559691.66</v>
      </c>
      <c r="Q101" s="2">
        <f>D101-P101</f>
        <v>0</v>
      </c>
      <c r="R101" s="3"/>
      <c r="S101" s="3"/>
      <c r="T101" s="4"/>
    </row>
    <row r="102" spans="1:20" s="49" customFormat="1" ht="22.15" customHeight="1">
      <c r="A102" s="1" t="s">
        <v>183</v>
      </c>
      <c r="B102" s="59" t="s">
        <v>181</v>
      </c>
      <c r="C102" s="60" t="s">
        <v>184</v>
      </c>
      <c r="D102" s="63">
        <v>60603557000</v>
      </c>
      <c r="E102" s="61">
        <f>L102*N102/100</f>
        <v>-31282884645</v>
      </c>
      <c r="F102" s="61">
        <f>-D102</f>
        <v>-60603557000</v>
      </c>
      <c r="G102" s="129"/>
      <c r="H102" s="129"/>
      <c r="I102" s="61">
        <f t="shared" si="20"/>
        <v>0</v>
      </c>
      <c r="J102" s="76"/>
      <c r="K102" s="63">
        <v>60603557000</v>
      </c>
      <c r="L102" s="63">
        <v>-31282884645</v>
      </c>
      <c r="M102" s="64"/>
      <c r="N102" s="65">
        <f>ROUND(IF(J102=0,D102/K102*100,M102/J102*100),2)</f>
        <v>100</v>
      </c>
      <c r="O102" s="120"/>
      <c r="P102" s="2">
        <v>60603557000</v>
      </c>
      <c r="Q102" s="2">
        <f>D102-P102</f>
        <v>0</v>
      </c>
      <c r="R102" s="3"/>
      <c r="S102" s="3"/>
      <c r="T102" s="4"/>
    </row>
    <row r="103" spans="1:20" s="49" customFormat="1" ht="22.15" customHeight="1">
      <c r="A103" s="1"/>
      <c r="B103" s="50" t="s">
        <v>185</v>
      </c>
      <c r="C103" s="51"/>
      <c r="D103" s="52">
        <f>SUM(D104:D105)</f>
        <v>30299123450.02</v>
      </c>
      <c r="E103" s="52">
        <f>SUM(E104:E105)</f>
        <v>46030961804.020004</v>
      </c>
      <c r="F103" s="52">
        <f>SUM(F104:F105)</f>
        <v>15731838354</v>
      </c>
      <c r="G103" s="123"/>
      <c r="H103" s="123"/>
      <c r="I103" s="40">
        <f t="shared" si="20"/>
        <v>46030961804.020004</v>
      </c>
      <c r="J103" s="95"/>
      <c r="K103" s="82"/>
      <c r="L103" s="82"/>
      <c r="M103" s="56"/>
      <c r="N103" s="57"/>
      <c r="O103" s="109"/>
      <c r="P103" s="2"/>
      <c r="Q103" s="2"/>
      <c r="R103" s="3"/>
      <c r="S103" s="3"/>
      <c r="T103" s="4"/>
    </row>
    <row r="104" spans="1:20" s="49" customFormat="1" ht="22.15" customHeight="1">
      <c r="A104" s="1" t="s">
        <v>186</v>
      </c>
      <c r="B104" s="59" t="s">
        <v>187</v>
      </c>
      <c r="C104" s="60" t="s">
        <v>188</v>
      </c>
      <c r="D104" s="63">
        <v>25828946648.02</v>
      </c>
      <c r="E104" s="61">
        <f>L104*N104/100</f>
        <v>25828946648.02</v>
      </c>
      <c r="F104" s="61">
        <f>E104-D104</f>
        <v>0</v>
      </c>
      <c r="G104" s="129"/>
      <c r="H104" s="129"/>
      <c r="I104" s="61">
        <f t="shared" si="20"/>
        <v>25828946648.02</v>
      </c>
      <c r="J104" s="76"/>
      <c r="K104" s="63">
        <v>25828946648.02</v>
      </c>
      <c r="L104" s="63">
        <v>25828946648.02</v>
      </c>
      <c r="M104" s="64"/>
      <c r="N104" s="65">
        <f>ROUND(IF(J104=0,D104/K104*100,M104/J104*100),2)</f>
        <v>100</v>
      </c>
      <c r="O104" s="120"/>
      <c r="P104" s="2">
        <v>25828946648.02</v>
      </c>
      <c r="Q104" s="2">
        <f>D104-P104</f>
        <v>0</v>
      </c>
      <c r="R104" s="3"/>
      <c r="S104" s="3"/>
      <c r="T104" s="4"/>
    </row>
    <row r="105" spans="1:20" s="49" customFormat="1" ht="22.15" customHeight="1">
      <c r="A105" s="1" t="s">
        <v>189</v>
      </c>
      <c r="B105" s="59" t="s">
        <v>187</v>
      </c>
      <c r="C105" s="60" t="s">
        <v>190</v>
      </c>
      <c r="D105" s="63">
        <v>4470176802</v>
      </c>
      <c r="E105" s="61">
        <f>L105*N105/100</f>
        <v>20202015156</v>
      </c>
      <c r="F105" s="61">
        <f>E105-D105</f>
        <v>15731838354</v>
      </c>
      <c r="G105" s="129"/>
      <c r="H105" s="129"/>
      <c r="I105" s="61">
        <f t="shared" si="20"/>
        <v>20202015156</v>
      </c>
      <c r="J105" s="76"/>
      <c r="K105" s="63">
        <v>4470176802</v>
      </c>
      <c r="L105" s="63">
        <v>20202015156</v>
      </c>
      <c r="M105" s="64"/>
      <c r="N105" s="65">
        <f>ROUND(IF(J105=0,D105/K105*100,M105/J105*100),2)</f>
        <v>100</v>
      </c>
      <c r="O105" s="120"/>
      <c r="P105" s="2">
        <v>4470176802</v>
      </c>
      <c r="Q105" s="2">
        <f>D105-P105</f>
        <v>0</v>
      </c>
      <c r="R105" s="3"/>
      <c r="S105" s="3"/>
      <c r="T105" s="4"/>
    </row>
    <row r="106" spans="1:20" s="49" customFormat="1" ht="22.15" customHeight="1">
      <c r="A106" s="1"/>
      <c r="B106" s="50" t="s">
        <v>191</v>
      </c>
      <c r="C106" s="51"/>
      <c r="D106" s="52">
        <f>D107+D113+D114+D115+D117+D119</f>
        <v>263932196496.20999</v>
      </c>
      <c r="E106" s="52">
        <f>E107+E113+E114+E115+E117+E119</f>
        <v>365824903754.49738</v>
      </c>
      <c r="F106" s="52">
        <f>F107+F113+F114+F115+F117+F119-0.01</f>
        <v>103289273555.27739</v>
      </c>
      <c r="G106" s="123"/>
      <c r="H106" s="123"/>
      <c r="I106" s="40">
        <f t="shared" si="20"/>
        <v>367221470051.48737</v>
      </c>
      <c r="J106" s="95"/>
      <c r="K106" s="82"/>
      <c r="L106" s="82"/>
      <c r="M106" s="56"/>
      <c r="N106" s="57"/>
      <c r="O106" s="109"/>
      <c r="P106" s="2"/>
      <c r="Q106" s="2"/>
      <c r="R106" s="3"/>
      <c r="S106" s="3"/>
      <c r="T106" s="4"/>
    </row>
    <row r="107" spans="1:20" s="143" customFormat="1" ht="22.15" customHeight="1">
      <c r="A107" s="1" t="s">
        <v>192</v>
      </c>
      <c r="B107" s="132"/>
      <c r="C107" s="133" t="s">
        <v>193</v>
      </c>
      <c r="D107" s="134">
        <f>D108+D110+D112</f>
        <v>190337187645.76999</v>
      </c>
      <c r="E107" s="134">
        <f t="shared" ref="E107:F107" si="22">E108+E110+E112</f>
        <v>257608747994.56137</v>
      </c>
      <c r="F107" s="134">
        <f t="shared" si="22"/>
        <v>67995558071.791382</v>
      </c>
      <c r="G107" s="135"/>
      <c r="H107" s="135"/>
      <c r="I107" s="178">
        <f t="shared" si="20"/>
        <v>258332745717.56137</v>
      </c>
      <c r="J107" s="136"/>
      <c r="K107" s="134">
        <f>K108</f>
        <v>190935386335.76999</v>
      </c>
      <c r="L107" s="134">
        <f>L108</f>
        <v>259398598322.98999</v>
      </c>
      <c r="M107" s="137"/>
      <c r="N107" s="138">
        <f t="shared" ref="N107:N118" si="23">IF(J107=0,D107/K107*100,M107/J107*100)</f>
        <v>99.686700982211846</v>
      </c>
      <c r="O107" s="139"/>
      <c r="P107" s="140">
        <v>183341636026.76999</v>
      </c>
      <c r="Q107" s="140">
        <f>D107-P107</f>
        <v>6995551619</v>
      </c>
      <c r="R107" s="141"/>
      <c r="S107" s="141"/>
      <c r="T107" s="142"/>
    </row>
    <row r="108" spans="1:20" s="49" customFormat="1" ht="22.15" customHeight="1">
      <c r="A108" s="1"/>
      <c r="B108" s="59" t="s">
        <v>194</v>
      </c>
      <c r="C108" s="87" t="s">
        <v>73</v>
      </c>
      <c r="D108" s="63">
        <v>189613189922.76999</v>
      </c>
      <c r="E108" s="61">
        <f t="shared" ref="E108:E118" si="24">L108*N108/100</f>
        <v>257608747994.56137</v>
      </c>
      <c r="F108" s="61">
        <f t="shared" ref="F108:F118" si="25">E108-D108</f>
        <v>67995558071.791382</v>
      </c>
      <c r="G108" s="144"/>
      <c r="H108" s="144"/>
      <c r="I108" s="61">
        <f t="shared" si="20"/>
        <v>257608747994.56137</v>
      </c>
      <c r="J108" s="76"/>
      <c r="K108" s="63">
        <f>183913467582.77+7021918753</f>
        <v>190935386335.76999</v>
      </c>
      <c r="L108" s="63">
        <v>259398598322.98999</v>
      </c>
      <c r="M108" s="64"/>
      <c r="N108" s="145">
        <f>ROUND(IF(J108=0,D108/K108*100,M108/J108*100),2)</f>
        <v>99.31</v>
      </c>
      <c r="O108" s="120"/>
      <c r="P108" s="77">
        <v>182943608697.76999</v>
      </c>
      <c r="Q108" s="77"/>
      <c r="R108" s="78"/>
      <c r="S108" s="78"/>
      <c r="T108" s="4"/>
    </row>
    <row r="109" spans="1:20" s="49" customFormat="1" ht="22.15" hidden="1" customHeight="1">
      <c r="A109" s="1"/>
      <c r="B109" s="88" t="s">
        <v>195</v>
      </c>
      <c r="C109" s="87" t="s">
        <v>73</v>
      </c>
      <c r="D109" s="63">
        <v>0</v>
      </c>
      <c r="E109" s="61" t="e">
        <f t="shared" si="24"/>
        <v>#DIV/0!</v>
      </c>
      <c r="F109" s="61" t="e">
        <f t="shared" si="25"/>
        <v>#DIV/0!</v>
      </c>
      <c r="G109" s="144"/>
      <c r="H109" s="144"/>
      <c r="I109" s="61" t="e">
        <f t="shared" si="20"/>
        <v>#DIV/0!</v>
      </c>
      <c r="J109" s="76"/>
      <c r="K109" s="63"/>
      <c r="L109" s="63"/>
      <c r="M109" s="64"/>
      <c r="N109" s="145" t="e">
        <f t="shared" si="23"/>
        <v>#DIV/0!</v>
      </c>
      <c r="O109" s="120"/>
      <c r="P109" s="77">
        <v>115000</v>
      </c>
      <c r="Q109" s="77"/>
      <c r="R109" s="78"/>
      <c r="S109" s="78"/>
      <c r="T109" s="4"/>
    </row>
    <row r="110" spans="1:20" s="49" customFormat="1" ht="22.15" customHeight="1">
      <c r="A110" s="1"/>
      <c r="B110" s="59" t="s">
        <v>196</v>
      </c>
      <c r="C110" s="87" t="s">
        <v>197</v>
      </c>
      <c r="D110" s="63">
        <f>71058333+15006823+5243763+7851151+100000+2690401+5583185+100000+19317882+22174342+8261913+9751081+600000+1940986+9258000</f>
        <v>178937860</v>
      </c>
      <c r="E110" s="61">
        <v>0</v>
      </c>
      <c r="F110" s="61">
        <v>0</v>
      </c>
      <c r="G110" s="129"/>
      <c r="H110" s="129"/>
      <c r="I110" s="61">
        <f t="shared" si="20"/>
        <v>178937860</v>
      </c>
      <c r="J110" s="76"/>
      <c r="K110" s="63">
        <v>190935386335.76999</v>
      </c>
      <c r="L110" s="63">
        <v>259398598322.98999</v>
      </c>
      <c r="M110" s="64"/>
      <c r="N110" s="145">
        <f t="shared" si="23"/>
        <v>9.3716446926882524E-2</v>
      </c>
      <c r="O110" s="120"/>
      <c r="P110" s="2">
        <v>63223847</v>
      </c>
      <c r="Q110" s="2"/>
      <c r="R110" s="3"/>
      <c r="S110" s="3"/>
      <c r="T110" s="4"/>
    </row>
    <row r="111" spans="1:20" s="49" customFormat="1" ht="22.15" hidden="1" customHeight="1">
      <c r="A111" s="1"/>
      <c r="B111" s="88" t="s">
        <v>198</v>
      </c>
      <c r="C111" s="87" t="s">
        <v>197</v>
      </c>
      <c r="D111" s="63">
        <v>0</v>
      </c>
      <c r="E111" s="61">
        <v>0</v>
      </c>
      <c r="F111" s="61">
        <v>0</v>
      </c>
      <c r="G111" s="129"/>
      <c r="H111" s="129"/>
      <c r="I111" s="61">
        <f t="shared" si="20"/>
        <v>0</v>
      </c>
      <c r="J111" s="76"/>
      <c r="K111" s="63"/>
      <c r="L111" s="63"/>
      <c r="M111" s="64"/>
      <c r="N111" s="145" t="e">
        <f t="shared" si="23"/>
        <v>#DIV/0!</v>
      </c>
      <c r="O111" s="120"/>
      <c r="P111" s="2">
        <v>1949000</v>
      </c>
      <c r="Q111" s="2"/>
      <c r="R111" s="3"/>
      <c r="S111" s="3"/>
      <c r="T111" s="4"/>
    </row>
    <row r="112" spans="1:20" s="49" customFormat="1" ht="22.15" customHeight="1">
      <c r="A112" s="1"/>
      <c r="B112" s="59" t="s">
        <v>199</v>
      </c>
      <c r="C112" s="87" t="s">
        <v>197</v>
      </c>
      <c r="D112" s="63">
        <f>539789863+5270000</f>
        <v>545059863</v>
      </c>
      <c r="E112" s="61">
        <v>0</v>
      </c>
      <c r="F112" s="61">
        <v>0</v>
      </c>
      <c r="G112" s="129"/>
      <c r="H112" s="129"/>
      <c r="I112" s="61">
        <f t="shared" si="20"/>
        <v>545059863</v>
      </c>
      <c r="J112" s="76"/>
      <c r="K112" s="63">
        <v>190935386335.76999</v>
      </c>
      <c r="L112" s="63">
        <v>259398598322.98999</v>
      </c>
      <c r="M112" s="64"/>
      <c r="N112" s="145">
        <f t="shared" si="23"/>
        <v>0.28546822747747941</v>
      </c>
      <c r="O112" s="120"/>
      <c r="P112" s="2">
        <v>332739482</v>
      </c>
      <c r="Q112" s="2"/>
      <c r="R112" s="3"/>
      <c r="S112" s="3"/>
      <c r="T112" s="4"/>
    </row>
    <row r="113" spans="1:20" s="96" customFormat="1" ht="22.15" customHeight="1">
      <c r="A113" s="121" t="s">
        <v>200</v>
      </c>
      <c r="B113" s="59" t="s">
        <v>194</v>
      </c>
      <c r="C113" s="133" t="s">
        <v>427</v>
      </c>
      <c r="D113" s="63">
        <v>34764126951.910004</v>
      </c>
      <c r="E113" s="61">
        <f t="shared" si="24"/>
        <v>54475043629.782402</v>
      </c>
      <c r="F113" s="61">
        <f t="shared" si="25"/>
        <v>19710916677.872398</v>
      </c>
      <c r="G113" s="129"/>
      <c r="H113" s="129"/>
      <c r="I113" s="61">
        <f t="shared" si="20"/>
        <v>54475043629.782402</v>
      </c>
      <c r="J113" s="76"/>
      <c r="K113" s="63">
        <f>35929555951.91+0</f>
        <v>35929555951.910004</v>
      </c>
      <c r="L113" s="63">
        <v>56299135624</v>
      </c>
      <c r="M113" s="64"/>
      <c r="N113" s="65">
        <f>ROUND(IF(J113=0,D113/K113*100,M113/J113*100),2)</f>
        <v>96.76</v>
      </c>
      <c r="O113" s="120"/>
      <c r="P113" s="2">
        <v>34764126951.910004</v>
      </c>
      <c r="Q113" s="2">
        <f>D113-P113</f>
        <v>0</v>
      </c>
      <c r="R113" s="3"/>
      <c r="S113" s="3"/>
      <c r="T113" s="99"/>
    </row>
    <row r="114" spans="1:20" s="49" customFormat="1" ht="22.15" customHeight="1">
      <c r="A114" s="1" t="s">
        <v>202</v>
      </c>
      <c r="B114" s="59" t="s">
        <v>194</v>
      </c>
      <c r="C114" s="133" t="s">
        <v>203</v>
      </c>
      <c r="D114" s="63">
        <v>9080705196</v>
      </c>
      <c r="E114" s="61">
        <f t="shared" si="24"/>
        <v>12882517081</v>
      </c>
      <c r="F114" s="61">
        <f t="shared" si="25"/>
        <v>3801811885</v>
      </c>
      <c r="G114" s="179"/>
      <c r="H114" s="179"/>
      <c r="I114" s="61">
        <f t="shared" si="20"/>
        <v>12882517081</v>
      </c>
      <c r="J114" s="76"/>
      <c r="K114" s="63">
        <f>9080705196+0</f>
        <v>9080705196</v>
      </c>
      <c r="L114" s="63">
        <v>12882517081</v>
      </c>
      <c r="M114" s="64"/>
      <c r="N114" s="65">
        <f t="shared" si="23"/>
        <v>100</v>
      </c>
      <c r="O114" s="120"/>
      <c r="P114" s="2">
        <v>9080705196</v>
      </c>
      <c r="Q114" s="2">
        <f>D114-P114</f>
        <v>0</v>
      </c>
      <c r="R114" s="3"/>
      <c r="S114" s="3"/>
      <c r="T114" s="4"/>
    </row>
    <row r="115" spans="1:20" s="49" customFormat="1" ht="22.15" customHeight="1">
      <c r="A115" s="1" t="s">
        <v>204</v>
      </c>
      <c r="B115" s="59" t="s">
        <v>194</v>
      </c>
      <c r="C115" s="133" t="s">
        <v>205</v>
      </c>
      <c r="D115" s="63">
        <v>2743797206.5300002</v>
      </c>
      <c r="E115" s="61">
        <f t="shared" si="24"/>
        <v>3442159108.2600002</v>
      </c>
      <c r="F115" s="61">
        <f t="shared" si="25"/>
        <v>698361901.73000002</v>
      </c>
      <c r="G115" s="179"/>
      <c r="H115" s="179"/>
      <c r="I115" s="61">
        <f t="shared" si="20"/>
        <v>3442159108.2600002</v>
      </c>
      <c r="J115" s="76"/>
      <c r="K115" s="63">
        <f>2743797206.53+0</f>
        <v>2743797206.5300002</v>
      </c>
      <c r="L115" s="63">
        <v>3442159108.2600002</v>
      </c>
      <c r="M115" s="64"/>
      <c r="N115" s="65">
        <f t="shared" si="23"/>
        <v>100</v>
      </c>
      <c r="O115" s="120"/>
      <c r="P115" s="2">
        <v>2743797206.5300002</v>
      </c>
      <c r="Q115" s="2">
        <f>D115-P115</f>
        <v>0</v>
      </c>
      <c r="R115" s="3"/>
      <c r="S115" s="3"/>
      <c r="T115" s="4"/>
    </row>
    <row r="116" spans="1:20" s="143" customFormat="1" ht="22.15" customHeight="1">
      <c r="A116" s="1" t="s">
        <v>206</v>
      </c>
      <c r="B116" s="132"/>
      <c r="C116" s="133" t="s">
        <v>207</v>
      </c>
      <c r="D116" s="134">
        <f>D117</f>
        <v>4369105970</v>
      </c>
      <c r="E116" s="134">
        <f>E117</f>
        <v>7896718722.5047998</v>
      </c>
      <c r="F116" s="181">
        <f>F117</f>
        <v>3527612752.5047998</v>
      </c>
      <c r="G116" s="179"/>
      <c r="H116" s="179"/>
      <c r="I116" s="182">
        <f t="shared" si="20"/>
        <v>7896718722.5047998</v>
      </c>
      <c r="J116" s="146"/>
      <c r="K116" s="134">
        <f>K117</f>
        <v>4436776810</v>
      </c>
      <c r="L116" s="134">
        <f>L117</f>
        <v>8019415784</v>
      </c>
      <c r="M116" s="147"/>
      <c r="N116" s="148">
        <f t="shared" si="23"/>
        <v>98.474774754333424</v>
      </c>
      <c r="O116" s="139"/>
      <c r="P116" s="140">
        <v>3996574328</v>
      </c>
      <c r="Q116" s="140"/>
      <c r="R116" s="141"/>
      <c r="S116" s="141"/>
      <c r="T116" s="142"/>
    </row>
    <row r="117" spans="1:20" s="49" customFormat="1" ht="22.15" customHeight="1">
      <c r="A117" s="1"/>
      <c r="B117" s="59" t="s">
        <v>194</v>
      </c>
      <c r="C117" s="87" t="s">
        <v>73</v>
      </c>
      <c r="D117" s="63">
        <v>4369105970</v>
      </c>
      <c r="E117" s="61">
        <f t="shared" si="24"/>
        <v>7896718722.5047998</v>
      </c>
      <c r="F117" s="61">
        <f t="shared" si="25"/>
        <v>3527612752.5047998</v>
      </c>
      <c r="G117" s="179"/>
      <c r="H117" s="179"/>
      <c r="I117" s="61">
        <f t="shared" si="20"/>
        <v>7896718722.5047998</v>
      </c>
      <c r="J117" s="76"/>
      <c r="K117" s="63">
        <f>4031840656+404936154</f>
        <v>4436776810</v>
      </c>
      <c r="L117" s="63">
        <v>8019415784</v>
      </c>
      <c r="M117" s="64"/>
      <c r="N117" s="65">
        <f>ROUND(IF(J117=0,D117/K117*100,M117/J117*100),2)</f>
        <v>98.47</v>
      </c>
      <c r="O117" s="120"/>
      <c r="P117" s="2">
        <v>3996139328</v>
      </c>
      <c r="Q117" s="2">
        <f>D117-P117</f>
        <v>372966642</v>
      </c>
      <c r="R117" s="3"/>
      <c r="S117" s="3"/>
      <c r="T117" s="4"/>
    </row>
    <row r="118" spans="1:20" s="49" customFormat="1" ht="22.15" hidden="1" customHeight="1">
      <c r="A118" s="1"/>
      <c r="B118" s="88" t="s">
        <v>195</v>
      </c>
      <c r="C118" s="87" t="s">
        <v>197</v>
      </c>
      <c r="D118" s="63">
        <v>0</v>
      </c>
      <c r="E118" s="61" t="e">
        <f t="shared" si="24"/>
        <v>#DIV/0!</v>
      </c>
      <c r="F118" s="61" t="e">
        <f t="shared" si="25"/>
        <v>#DIV/0!</v>
      </c>
      <c r="G118" s="179"/>
      <c r="H118" s="179"/>
      <c r="I118" s="61" t="e">
        <f t="shared" si="20"/>
        <v>#DIV/0!</v>
      </c>
      <c r="J118" s="76"/>
      <c r="K118" s="63"/>
      <c r="L118" s="63"/>
      <c r="M118" s="64"/>
      <c r="N118" s="65" t="e">
        <f t="shared" si="23"/>
        <v>#DIV/0!</v>
      </c>
      <c r="O118" s="120"/>
      <c r="P118" s="2">
        <v>435000</v>
      </c>
      <c r="Q118" s="2"/>
      <c r="R118" s="3"/>
      <c r="S118" s="3"/>
      <c r="T118" s="4"/>
    </row>
    <row r="119" spans="1:20" s="143" customFormat="1" ht="22.15" customHeight="1">
      <c r="A119" s="1" t="s">
        <v>208</v>
      </c>
      <c r="B119" s="149"/>
      <c r="C119" s="133" t="s">
        <v>209</v>
      </c>
      <c r="D119" s="134">
        <f>D120+D122+D123</f>
        <v>22637273526</v>
      </c>
      <c r="E119" s="134">
        <f t="shared" ref="E119:F119" si="26">E120+E122+E123</f>
        <v>29519717218.388798</v>
      </c>
      <c r="F119" s="134">
        <f t="shared" si="26"/>
        <v>7555012266.3887978</v>
      </c>
      <c r="G119" s="180"/>
      <c r="H119" s="180"/>
      <c r="I119" s="182">
        <f t="shared" si="20"/>
        <v>30192285792.388798</v>
      </c>
      <c r="J119" s="136"/>
      <c r="K119" s="134">
        <f>K120</f>
        <v>22739723342</v>
      </c>
      <c r="L119" s="134">
        <f>L120</f>
        <v>30561877232</v>
      </c>
      <c r="M119" s="150"/>
      <c r="N119" s="148">
        <f>ROUND(IF(J119=0,D119/K119*100,M119/J119*100),2)</f>
        <v>99.55</v>
      </c>
      <c r="O119" s="151"/>
      <c r="P119" s="140">
        <v>20332866472</v>
      </c>
      <c r="Q119" s="140">
        <f>D119-P119</f>
        <v>2304407054</v>
      </c>
      <c r="R119" s="141"/>
      <c r="S119" s="141"/>
      <c r="T119" s="142"/>
    </row>
    <row r="120" spans="1:20" s="49" customFormat="1" ht="22.15" customHeight="1">
      <c r="A120" s="1"/>
      <c r="B120" s="59" t="s">
        <v>196</v>
      </c>
      <c r="C120" s="87" t="s">
        <v>73</v>
      </c>
      <c r="D120" s="63">
        <v>21964704952</v>
      </c>
      <c r="E120" s="61">
        <f>L120*N120/100</f>
        <v>29519717218.388798</v>
      </c>
      <c r="F120" s="61">
        <f>E120-D120</f>
        <v>7555012266.3887978</v>
      </c>
      <c r="G120" s="179"/>
      <c r="H120" s="179"/>
      <c r="I120" s="61">
        <f t="shared" si="20"/>
        <v>29519717218.388798</v>
      </c>
      <c r="J120" s="76"/>
      <c r="K120" s="63">
        <f>20457488011+3583687819-1301452488</f>
        <v>22739723342</v>
      </c>
      <c r="L120" s="63">
        <v>30561877232</v>
      </c>
      <c r="M120" s="64"/>
      <c r="N120" s="65">
        <f>ROUND(IF(J120=0,D120/K120*100,M120/J120*100),2)</f>
        <v>96.59</v>
      </c>
      <c r="O120" s="120"/>
      <c r="P120" s="2">
        <v>19786671124</v>
      </c>
      <c r="Q120" s="2"/>
      <c r="R120" s="3"/>
      <c r="S120" s="3"/>
      <c r="T120" s="4"/>
    </row>
    <row r="121" spans="1:20" s="49" customFormat="1" ht="22.15" hidden="1" customHeight="1">
      <c r="A121" s="1"/>
      <c r="B121" s="88" t="s">
        <v>210</v>
      </c>
      <c r="C121" s="87" t="s">
        <v>73</v>
      </c>
      <c r="D121" s="63">
        <v>0</v>
      </c>
      <c r="E121" s="61" t="e">
        <f>L121*N121/100</f>
        <v>#DIV/0!</v>
      </c>
      <c r="F121" s="61" t="e">
        <f>E121-D121</f>
        <v>#DIV/0!</v>
      </c>
      <c r="G121" s="144"/>
      <c r="H121" s="144"/>
      <c r="I121" s="61" t="e">
        <f t="shared" si="20"/>
        <v>#DIV/0!</v>
      </c>
      <c r="J121" s="76"/>
      <c r="K121" s="63"/>
      <c r="L121" s="63"/>
      <c r="M121" s="64"/>
      <c r="N121" s="65" t="e">
        <f>ROUND(IF(J121=0,D121/K121*100,M121/J121*100),2)</f>
        <v>#DIV/0!</v>
      </c>
      <c r="O121" s="120"/>
      <c r="P121" s="2">
        <v>110313760</v>
      </c>
      <c r="Q121" s="2"/>
      <c r="R121" s="3"/>
      <c r="S121" s="3"/>
      <c r="T121" s="4"/>
    </row>
    <row r="122" spans="1:20" s="49" customFormat="1" ht="22.15" customHeight="1">
      <c r="A122" s="1"/>
      <c r="B122" s="59" t="s">
        <v>194</v>
      </c>
      <c r="C122" s="87" t="s">
        <v>197</v>
      </c>
      <c r="D122" s="63">
        <v>42264986</v>
      </c>
      <c r="E122" s="61">
        <v>0</v>
      </c>
      <c r="F122" s="61">
        <v>0</v>
      </c>
      <c r="G122" s="144"/>
      <c r="H122" s="144"/>
      <c r="I122" s="61">
        <f>D122+F122+H122</f>
        <v>42264986</v>
      </c>
      <c r="J122" s="76"/>
      <c r="K122" s="63">
        <f>20457488011+3583687819-1301452488</f>
        <v>22739723342</v>
      </c>
      <c r="L122" s="63">
        <v>30561877232</v>
      </c>
      <c r="M122" s="64"/>
      <c r="N122" s="65">
        <f>ROUND(IF(J122=0,D122/K122*100,M122/J122*100),2)</f>
        <v>0.19</v>
      </c>
      <c r="O122" s="120"/>
      <c r="P122" s="2">
        <v>20179500</v>
      </c>
      <c r="Q122" s="2"/>
      <c r="R122" s="3"/>
      <c r="S122" s="3"/>
      <c r="T122" s="4"/>
    </row>
    <row r="123" spans="1:20" s="49" customFormat="1" ht="22.15" customHeight="1">
      <c r="A123" s="1"/>
      <c r="B123" s="59" t="s">
        <v>211</v>
      </c>
      <c r="C123" s="87" t="s">
        <v>197</v>
      </c>
      <c r="D123" s="63">
        <v>630303588</v>
      </c>
      <c r="E123" s="61">
        <v>0</v>
      </c>
      <c r="F123" s="61">
        <v>0</v>
      </c>
      <c r="G123" s="144"/>
      <c r="H123" s="144"/>
      <c r="I123" s="61">
        <f>D123+F123+H123</f>
        <v>630303588</v>
      </c>
      <c r="J123" s="76"/>
      <c r="K123" s="63">
        <f>20457488011+3583687819-1301452488</f>
        <v>22739723342</v>
      </c>
      <c r="L123" s="63">
        <v>30561877232</v>
      </c>
      <c r="M123" s="64"/>
      <c r="N123" s="65">
        <f>ROUND(IF(J123=0,D123/K123*100,M123/J123*100),2)</f>
        <v>2.77</v>
      </c>
      <c r="O123" s="120"/>
      <c r="P123" s="2">
        <v>415702088</v>
      </c>
      <c r="Q123" s="2"/>
      <c r="R123" s="3"/>
      <c r="S123" s="3"/>
      <c r="T123" s="4"/>
    </row>
    <row r="124" spans="1:20" s="49" customFormat="1" ht="22.15" customHeight="1">
      <c r="A124" s="1"/>
      <c r="B124" s="50" t="s">
        <v>212</v>
      </c>
      <c r="C124" s="51"/>
      <c r="D124" s="80">
        <f>D125</f>
        <v>4111303145.3699999</v>
      </c>
      <c r="E124" s="80">
        <f>E125</f>
        <v>4115278465.8699999</v>
      </c>
      <c r="F124" s="40">
        <f>SUM(F125)</f>
        <v>3975320.5</v>
      </c>
      <c r="G124" s="123"/>
      <c r="H124" s="123"/>
      <c r="I124" s="40">
        <f t="shared" si="20"/>
        <v>4115278465.8699999</v>
      </c>
      <c r="J124" s="95"/>
      <c r="K124" s="82"/>
      <c r="L124" s="82"/>
      <c r="M124" s="56"/>
      <c r="N124" s="71"/>
      <c r="O124" s="109"/>
      <c r="P124" s="2"/>
      <c r="Q124" s="2"/>
      <c r="R124" s="3"/>
      <c r="S124" s="3"/>
      <c r="T124" s="4"/>
    </row>
    <row r="125" spans="1:20" s="49" customFormat="1" ht="22.15" customHeight="1">
      <c r="A125" s="1" t="s">
        <v>213</v>
      </c>
      <c r="B125" s="59" t="s">
        <v>214</v>
      </c>
      <c r="C125" s="60" t="s">
        <v>215</v>
      </c>
      <c r="D125" s="63">
        <v>4111303145.3699999</v>
      </c>
      <c r="E125" s="61">
        <f>L125*N125/100</f>
        <v>4115278465.8699999</v>
      </c>
      <c r="F125" s="61">
        <f>E125-D125</f>
        <v>3975320.5</v>
      </c>
      <c r="G125" s="129"/>
      <c r="H125" s="129"/>
      <c r="I125" s="61">
        <f t="shared" si="20"/>
        <v>4115278465.8699999</v>
      </c>
      <c r="J125" s="76"/>
      <c r="K125" s="63">
        <f>4105590624.87+5712520.5</f>
        <v>4111303145.3699999</v>
      </c>
      <c r="L125" s="63">
        <v>4115278465.8699999</v>
      </c>
      <c r="M125" s="64"/>
      <c r="N125" s="65">
        <f>ROUND(IF(J125=0,D125/K125*100,M125/J125*100),2)</f>
        <v>100</v>
      </c>
      <c r="O125" s="120"/>
      <c r="P125" s="2">
        <v>4111303145.3699999</v>
      </c>
      <c r="Q125" s="2">
        <f>D125-P125</f>
        <v>0</v>
      </c>
      <c r="R125" s="3"/>
      <c r="S125" s="3"/>
      <c r="T125" s="4"/>
    </row>
    <row r="126" spans="1:20" s="49" customFormat="1" ht="22.15" customHeight="1">
      <c r="A126" s="1"/>
      <c r="B126" s="50" t="s">
        <v>216</v>
      </c>
      <c r="C126" s="51"/>
      <c r="D126" s="80">
        <f>SUM(D127:D128)</f>
        <v>96838022373.779999</v>
      </c>
      <c r="E126" s="80">
        <f>SUM(E127:E128)</f>
        <v>227443198200.91</v>
      </c>
      <c r="F126" s="40">
        <f>SUM(F127:F128)</f>
        <v>130605175827.13</v>
      </c>
      <c r="G126" s="123"/>
      <c r="H126" s="123"/>
      <c r="I126" s="40">
        <f t="shared" si="20"/>
        <v>227443198200.91</v>
      </c>
      <c r="J126" s="95"/>
      <c r="K126" s="82"/>
      <c r="L126" s="82"/>
      <c r="M126" s="56"/>
      <c r="N126" s="57"/>
      <c r="O126" s="109"/>
      <c r="P126" s="2"/>
      <c r="Q126" s="2"/>
      <c r="R126" s="3"/>
      <c r="S126" s="3"/>
      <c r="T126" s="4"/>
    </row>
    <row r="127" spans="1:20" s="49" customFormat="1" ht="22.15" customHeight="1">
      <c r="A127" s="1" t="s">
        <v>217</v>
      </c>
      <c r="B127" s="59" t="s">
        <v>218</v>
      </c>
      <c r="C127" s="60" t="s">
        <v>219</v>
      </c>
      <c r="D127" s="61">
        <v>43372097915.779999</v>
      </c>
      <c r="E127" s="61">
        <f>L127*N127/100</f>
        <v>156380956829.75</v>
      </c>
      <c r="F127" s="61">
        <f>E127-D127</f>
        <v>113008858913.97</v>
      </c>
      <c r="G127" s="61"/>
      <c r="H127" s="61"/>
      <c r="I127" s="61">
        <f t="shared" si="20"/>
        <v>156380956829.75</v>
      </c>
      <c r="J127" s="76"/>
      <c r="K127" s="61">
        <v>43372097915.779999</v>
      </c>
      <c r="L127" s="61">
        <v>156380956829.75</v>
      </c>
      <c r="M127" s="76"/>
      <c r="N127" s="152">
        <f>ROUND(IF(J127=0,D127/K127*100,M127/J127*100),2)</f>
        <v>100</v>
      </c>
      <c r="O127" s="153"/>
      <c r="P127" s="2">
        <v>42973713213.779999</v>
      </c>
      <c r="Q127" s="2">
        <f>D127-P127</f>
        <v>398384702</v>
      </c>
      <c r="R127" s="3"/>
      <c r="S127" s="3"/>
      <c r="T127" s="4"/>
    </row>
    <row r="128" spans="1:20" s="49" customFormat="1" ht="22.15" customHeight="1">
      <c r="A128" s="1" t="s">
        <v>220</v>
      </c>
      <c r="B128" s="59" t="s">
        <v>221</v>
      </c>
      <c r="C128" s="60" t="s">
        <v>222</v>
      </c>
      <c r="D128" s="61">
        <v>53465924458</v>
      </c>
      <c r="E128" s="61">
        <f>L128*N128/100</f>
        <v>71062241371.160004</v>
      </c>
      <c r="F128" s="61">
        <f>E128-D128</f>
        <v>17596316913.160004</v>
      </c>
      <c r="G128" s="61"/>
      <c r="H128" s="61"/>
      <c r="I128" s="61">
        <f t="shared" si="20"/>
        <v>71062241371.160004</v>
      </c>
      <c r="J128" s="76"/>
      <c r="K128" s="61">
        <v>53465924458</v>
      </c>
      <c r="L128" s="61">
        <v>71062241371.160004</v>
      </c>
      <c r="M128" s="76"/>
      <c r="N128" s="152">
        <f>ROUND(IF(J128=0,D128/K128*100,M128/J128*100),2)</f>
        <v>100</v>
      </c>
      <c r="O128" s="153"/>
      <c r="P128" s="2">
        <v>53465924458</v>
      </c>
      <c r="Q128" s="2">
        <f>D128-P128</f>
        <v>0</v>
      </c>
      <c r="R128" s="3"/>
      <c r="S128" s="3"/>
      <c r="T128" s="4"/>
    </row>
    <row r="129" spans="1:20" s="49" customFormat="1" ht="22.15" customHeight="1">
      <c r="A129" s="1"/>
      <c r="B129" s="50" t="s">
        <v>223</v>
      </c>
      <c r="C129" s="51"/>
      <c r="D129" s="80">
        <f>D130</f>
        <v>724644944168.48999</v>
      </c>
      <c r="E129" s="80">
        <f>E130</f>
        <v>964970944201.39001</v>
      </c>
      <c r="F129" s="40">
        <f>SUM(F130)</f>
        <v>240326000032.90002</v>
      </c>
      <c r="G129" s="123"/>
      <c r="H129" s="123"/>
      <c r="I129" s="40">
        <f t="shared" si="20"/>
        <v>964970944201.39001</v>
      </c>
      <c r="J129" s="95"/>
      <c r="K129" s="82"/>
      <c r="L129" s="82"/>
      <c r="M129" s="56"/>
      <c r="N129" s="57"/>
      <c r="O129" s="109"/>
      <c r="P129" s="2"/>
      <c r="Q129" s="2"/>
      <c r="R129" s="3"/>
      <c r="S129" s="3"/>
      <c r="T129" s="4"/>
    </row>
    <row r="130" spans="1:20" s="49" customFormat="1" ht="22.15" customHeight="1">
      <c r="A130" s="1"/>
      <c r="B130" s="59"/>
      <c r="C130" s="60" t="s">
        <v>224</v>
      </c>
      <c r="D130" s="61">
        <f>SUM(D131:D134)</f>
        <v>724644944168.48999</v>
      </c>
      <c r="E130" s="61">
        <f>SUM(E131:E134)</f>
        <v>964970944201.39001</v>
      </c>
      <c r="F130" s="61">
        <f>SUM(F131:F134)</f>
        <v>240326000032.90002</v>
      </c>
      <c r="G130" s="129"/>
      <c r="H130" s="63"/>
      <c r="I130" s="61">
        <f t="shared" si="20"/>
        <v>964970944201.39001</v>
      </c>
      <c r="J130" s="76"/>
      <c r="K130" s="63">
        <f>SUM(K131:K134)</f>
        <v>724644944168.48999</v>
      </c>
      <c r="L130" s="63">
        <f>SUM(L131:L134)</f>
        <v>964970944201.39001</v>
      </c>
      <c r="M130" s="64"/>
      <c r="N130" s="65">
        <f>ROUND(IF(J130=0,D130/K130*100,M130/J130*100),2)</f>
        <v>100</v>
      </c>
      <c r="O130" s="120"/>
      <c r="P130" s="2">
        <v>724955281023.48999</v>
      </c>
      <c r="Q130" s="2">
        <f>D130-P130</f>
        <v>-310336855</v>
      </c>
      <c r="R130" s="3"/>
      <c r="S130" s="3"/>
      <c r="T130" s="4"/>
    </row>
    <row r="131" spans="1:20" s="49" customFormat="1" ht="22.15" customHeight="1">
      <c r="A131" s="1" t="s">
        <v>225</v>
      </c>
      <c r="B131" s="59" t="s">
        <v>226</v>
      </c>
      <c r="C131" s="154" t="s">
        <v>227</v>
      </c>
      <c r="D131" s="61">
        <f>71972025340.64</f>
        <v>71972025340.639999</v>
      </c>
      <c r="E131" s="61">
        <f>L131*N131/100</f>
        <v>187942573561.39001</v>
      </c>
      <c r="F131" s="61">
        <f>E131-D131</f>
        <v>115970548220.75002</v>
      </c>
      <c r="G131" s="144"/>
      <c r="H131" s="63"/>
      <c r="I131" s="61">
        <f>D131+F131+H131</f>
        <v>187942573561.39001</v>
      </c>
      <c r="J131" s="76"/>
      <c r="K131" s="63">
        <f>72282362195.64-310336855</f>
        <v>71972025340.639999</v>
      </c>
      <c r="L131" s="61">
        <v>187942573561.39001</v>
      </c>
      <c r="M131" s="64"/>
      <c r="N131" s="65">
        <f>ROUND(IF(J131=0,D131/K131*100,M131/J131*100),2)</f>
        <v>100</v>
      </c>
      <c r="O131" s="120"/>
      <c r="P131" s="77">
        <v>72282362195.639999</v>
      </c>
      <c r="Q131" s="77"/>
      <c r="R131" s="78"/>
      <c r="S131" s="78"/>
      <c r="T131" s="4"/>
    </row>
    <row r="132" spans="1:20" s="49" customFormat="1" ht="22.15" customHeight="1">
      <c r="A132" s="1" t="s">
        <v>228</v>
      </c>
      <c r="B132" s="59" t="s">
        <v>229</v>
      </c>
      <c r="C132" s="154" t="s">
        <v>230</v>
      </c>
      <c r="D132" s="61">
        <v>641873529526.84998</v>
      </c>
      <c r="E132" s="61">
        <f>L132*N132/100</f>
        <v>750770700210</v>
      </c>
      <c r="F132" s="61">
        <f>E132-D132</f>
        <v>108897170683.15002</v>
      </c>
      <c r="G132" s="129"/>
      <c r="H132" s="63"/>
      <c r="I132" s="61">
        <f t="shared" si="20"/>
        <v>750770700210</v>
      </c>
      <c r="J132" s="76"/>
      <c r="K132" s="63">
        <f>686017326619.85-44143797093</f>
        <v>641873529526.84998</v>
      </c>
      <c r="L132" s="61">
        <v>750770700210</v>
      </c>
      <c r="M132" s="64"/>
      <c r="N132" s="65">
        <f>ROUND(IF(J132=0,D132/K132*100,M132/J132*100),2)</f>
        <v>100</v>
      </c>
      <c r="O132" s="120"/>
      <c r="P132" s="2">
        <v>641873529526.84998</v>
      </c>
      <c r="Q132" s="2"/>
      <c r="R132" s="3"/>
      <c r="S132" s="3"/>
      <c r="T132" s="4"/>
    </row>
    <row r="133" spans="1:20" s="49" customFormat="1" ht="22.15" customHeight="1">
      <c r="A133" s="1" t="s">
        <v>231</v>
      </c>
      <c r="B133" s="59" t="s">
        <v>232</v>
      </c>
      <c r="C133" s="154" t="s">
        <v>233</v>
      </c>
      <c r="D133" s="61">
        <v>10499389301</v>
      </c>
      <c r="E133" s="86">
        <f>L133*N133/100</f>
        <v>18899357396</v>
      </c>
      <c r="F133" s="61">
        <f>E133-D133</f>
        <v>8399968095</v>
      </c>
      <c r="G133" s="129"/>
      <c r="H133" s="63"/>
      <c r="I133" s="61">
        <f>D133+F133+H133</f>
        <v>18899357396</v>
      </c>
      <c r="J133" s="76"/>
      <c r="K133" s="63">
        <v>10499389301</v>
      </c>
      <c r="L133" s="61">
        <v>18899357396</v>
      </c>
      <c r="M133" s="64"/>
      <c r="N133" s="65">
        <f>ROUND(IF(J133=0,D133/K133*100,M133/J133*100),2)</f>
        <v>100</v>
      </c>
      <c r="O133" s="120"/>
      <c r="P133" s="2">
        <v>10499389301</v>
      </c>
      <c r="Q133" s="2"/>
      <c r="R133" s="3"/>
      <c r="S133" s="3"/>
      <c r="T133" s="4"/>
    </row>
    <row r="134" spans="1:20" s="49" customFormat="1" ht="22.15" customHeight="1">
      <c r="A134" s="1" t="s">
        <v>234</v>
      </c>
      <c r="B134" s="59" t="s">
        <v>229</v>
      </c>
      <c r="C134" s="154" t="s">
        <v>235</v>
      </c>
      <c r="D134" s="61">
        <v>300000000</v>
      </c>
      <c r="E134" s="61">
        <f>IF(L134&lt;0,0,L134*N134/100)</f>
        <v>7358313034</v>
      </c>
      <c r="F134" s="61">
        <f>E134-D134</f>
        <v>7058313034</v>
      </c>
      <c r="G134" s="129"/>
      <c r="H134" s="63"/>
      <c r="I134" s="61">
        <f t="shared" si="20"/>
        <v>7358313034</v>
      </c>
      <c r="J134" s="76"/>
      <c r="K134" s="63">
        <v>300000000</v>
      </c>
      <c r="L134" s="61">
        <v>7358313034</v>
      </c>
      <c r="M134" s="64"/>
      <c r="N134" s="65">
        <f>ROUND(IF(J134=0,D134/K134*100,M134/J134*100),2)</f>
        <v>100</v>
      </c>
      <c r="O134" s="120"/>
      <c r="P134" s="2">
        <v>300000000</v>
      </c>
      <c r="Q134" s="2"/>
      <c r="R134" s="3"/>
      <c r="S134" s="3"/>
      <c r="T134" s="4"/>
    </row>
    <row r="135" spans="1:20" s="49" customFormat="1" ht="22.15" customHeight="1">
      <c r="A135" s="1"/>
      <c r="B135" s="50" t="s">
        <v>236</v>
      </c>
      <c r="C135" s="51"/>
      <c r="D135" s="80">
        <f>D136</f>
        <v>625000</v>
      </c>
      <c r="E135" s="80">
        <f>E136</f>
        <v>5208984</v>
      </c>
      <c r="F135" s="40">
        <f>SUM(F136)</f>
        <v>4583984</v>
      </c>
      <c r="G135" s="123"/>
      <c r="H135" s="123"/>
      <c r="I135" s="40">
        <f t="shared" si="20"/>
        <v>5208984</v>
      </c>
      <c r="J135" s="95"/>
      <c r="K135" s="82"/>
      <c r="L135" s="82"/>
      <c r="M135" s="56"/>
      <c r="N135" s="57"/>
      <c r="O135" s="109"/>
      <c r="P135" s="2"/>
      <c r="Q135" s="2"/>
      <c r="R135" s="3"/>
      <c r="S135" s="3"/>
      <c r="T135" s="4"/>
    </row>
    <row r="136" spans="1:20" s="49" customFormat="1" ht="22.15" customHeight="1">
      <c r="A136" s="1" t="s">
        <v>237</v>
      </c>
      <c r="B136" s="59" t="s">
        <v>238</v>
      </c>
      <c r="C136" s="60" t="s">
        <v>239</v>
      </c>
      <c r="D136" s="63">
        <v>625000</v>
      </c>
      <c r="E136" s="61">
        <f>L136*N136/100</f>
        <v>5208984</v>
      </c>
      <c r="F136" s="61">
        <f>E136-D136</f>
        <v>4583984</v>
      </c>
      <c r="G136" s="129"/>
      <c r="H136" s="155"/>
      <c r="I136" s="61">
        <f t="shared" si="20"/>
        <v>5208984</v>
      </c>
      <c r="J136" s="76"/>
      <c r="K136" s="63">
        <v>625000</v>
      </c>
      <c r="L136" s="63">
        <v>5208984</v>
      </c>
      <c r="M136" s="64"/>
      <c r="N136" s="65">
        <f>ROUND(IF(J136=0,D136/K136*100,M136/J136*100),2)</f>
        <v>100</v>
      </c>
      <c r="O136" s="120"/>
      <c r="P136" s="2">
        <v>625000</v>
      </c>
      <c r="Q136" s="2">
        <f>D136-P136</f>
        <v>0</v>
      </c>
      <c r="R136" s="3"/>
      <c r="S136" s="3"/>
      <c r="T136" s="4"/>
    </row>
    <row r="137" spans="1:20" s="49" customFormat="1" ht="22.15" customHeight="1">
      <c r="A137" s="1"/>
      <c r="B137" s="50" t="s">
        <v>240</v>
      </c>
      <c r="C137" s="51"/>
      <c r="D137" s="80">
        <f>D138</f>
        <v>1103810984.3399999</v>
      </c>
      <c r="E137" s="80">
        <f>E138</f>
        <v>3075847556</v>
      </c>
      <c r="F137" s="40">
        <f>SUM(F138)</f>
        <v>1972036571.6600001</v>
      </c>
      <c r="G137" s="123"/>
      <c r="H137" s="123"/>
      <c r="I137" s="40">
        <f t="shared" si="20"/>
        <v>3075847556</v>
      </c>
      <c r="J137" s="95"/>
      <c r="K137" s="82"/>
      <c r="L137" s="82"/>
      <c r="M137" s="56"/>
      <c r="N137" s="57"/>
      <c r="O137" s="109"/>
      <c r="P137" s="2"/>
      <c r="Q137" s="2"/>
      <c r="R137" s="3"/>
      <c r="S137" s="3"/>
      <c r="T137" s="4"/>
    </row>
    <row r="138" spans="1:20" s="49" customFormat="1" ht="22.15" customHeight="1">
      <c r="A138" s="1" t="s">
        <v>241</v>
      </c>
      <c r="B138" s="59" t="s">
        <v>138</v>
      </c>
      <c r="C138" s="60" t="s">
        <v>242</v>
      </c>
      <c r="D138" s="63">
        <v>1103810984.3399999</v>
      </c>
      <c r="E138" s="61">
        <f>L138*N138/100</f>
        <v>3075847556</v>
      </c>
      <c r="F138" s="61">
        <f>E138-D138</f>
        <v>1972036571.6600001</v>
      </c>
      <c r="G138" s="129"/>
      <c r="H138" s="129"/>
      <c r="I138" s="61">
        <f t="shared" si="20"/>
        <v>3075847556</v>
      </c>
      <c r="J138" s="76"/>
      <c r="K138" s="63">
        <v>1103810984.3399999</v>
      </c>
      <c r="L138" s="63">
        <v>3075847556</v>
      </c>
      <c r="M138" s="64"/>
      <c r="N138" s="65">
        <f>ROUND(IF(J138=0,D138/K138*100,M138/J138*100),2)</f>
        <v>100</v>
      </c>
      <c r="O138" s="120"/>
      <c r="P138" s="2">
        <v>544736984.34000003</v>
      </c>
      <c r="Q138" s="2">
        <f>D138-P138</f>
        <v>559073999.99999988</v>
      </c>
      <c r="R138" s="3"/>
      <c r="S138" s="3"/>
      <c r="T138" s="4"/>
    </row>
    <row r="139" spans="1:20" s="49" customFormat="1" ht="22.15" customHeight="1">
      <c r="A139" s="1"/>
      <c r="B139" s="50" t="s">
        <v>243</v>
      </c>
      <c r="C139" s="51"/>
      <c r="D139" s="80">
        <f>SUM(D140:D144)</f>
        <v>18006032956.919998</v>
      </c>
      <c r="E139" s="80">
        <f>SUM(E140:E144)</f>
        <v>41755837797.899994</v>
      </c>
      <c r="F139" s="80">
        <f>SUM(F140:F144)</f>
        <v>24915233840.98</v>
      </c>
      <c r="G139" s="123"/>
      <c r="H139" s="123"/>
      <c r="I139" s="40">
        <f t="shared" si="20"/>
        <v>42921266797.899994</v>
      </c>
      <c r="J139" s="95"/>
      <c r="K139" s="82"/>
      <c r="L139" s="82"/>
      <c r="M139" s="56"/>
      <c r="N139" s="57"/>
      <c r="O139" s="109"/>
      <c r="P139" s="2"/>
      <c r="Q139" s="2"/>
      <c r="R139" s="3"/>
      <c r="S139" s="3"/>
      <c r="T139" s="4"/>
    </row>
    <row r="140" spans="1:20" s="49" customFormat="1" ht="22.15" customHeight="1">
      <c r="A140" s="1" t="s">
        <v>244</v>
      </c>
      <c r="B140" s="59" t="s">
        <v>245</v>
      </c>
      <c r="C140" s="60" t="s">
        <v>246</v>
      </c>
      <c r="D140" s="63">
        <v>16630546732.92</v>
      </c>
      <c r="E140" s="61">
        <f>L140*N140/100</f>
        <v>39721789784.129997</v>
      </c>
      <c r="F140" s="61">
        <f>E140-D140</f>
        <v>23091243051.209999</v>
      </c>
      <c r="G140" s="129"/>
      <c r="H140" s="129"/>
      <c r="I140" s="61">
        <f t="shared" si="20"/>
        <v>39721789784.129997</v>
      </c>
      <c r="J140" s="76"/>
      <c r="K140" s="63">
        <f>16070185001.92+560361731</f>
        <v>16630546732.92</v>
      </c>
      <c r="L140" s="63">
        <v>39721789784.129997</v>
      </c>
      <c r="M140" s="64"/>
      <c r="N140" s="193">
        <f>ROUND(IF(J140=0,D140/K140*100,M140/J140*100),2)</f>
        <v>100</v>
      </c>
      <c r="O140" s="120"/>
      <c r="P140" s="2">
        <v>16070185001.92</v>
      </c>
      <c r="Q140" s="2">
        <f>D140-P140</f>
        <v>560361731</v>
      </c>
      <c r="R140" s="3"/>
      <c r="S140" s="3"/>
      <c r="T140" s="4"/>
    </row>
    <row r="141" spans="1:20" s="49" customFormat="1" ht="22.15" customHeight="1">
      <c r="A141" s="1" t="s">
        <v>247</v>
      </c>
      <c r="B141" s="59" t="s">
        <v>245</v>
      </c>
      <c r="C141" s="60" t="s">
        <v>248</v>
      </c>
      <c r="D141" s="63">
        <v>1000000</v>
      </c>
      <c r="E141" s="61">
        <f>L141*N141/100</f>
        <v>498642274</v>
      </c>
      <c r="F141" s="61">
        <f>E141-D141</f>
        <v>497642274</v>
      </c>
      <c r="G141" s="129"/>
      <c r="H141" s="129"/>
      <c r="I141" s="61">
        <f>D141+F141+H141</f>
        <v>498642274</v>
      </c>
      <c r="J141" s="76"/>
      <c r="K141" s="63">
        <v>1000000</v>
      </c>
      <c r="L141" s="63">
        <v>498642274</v>
      </c>
      <c r="M141" s="64"/>
      <c r="N141" s="65">
        <f>ROUND(IF(J141=0,D141/K141*100,M141/J141*100),2)</f>
        <v>100</v>
      </c>
      <c r="O141" s="120"/>
      <c r="P141" s="2">
        <v>1000000</v>
      </c>
      <c r="Q141" s="2">
        <f>D141-P141</f>
        <v>0</v>
      </c>
      <c r="R141" s="3"/>
      <c r="S141" s="3"/>
      <c r="T141" s="4"/>
    </row>
    <row r="142" spans="1:20" s="49" customFormat="1" ht="22.15" customHeight="1">
      <c r="A142" s="1" t="s">
        <v>249</v>
      </c>
      <c r="B142" s="59" t="s">
        <v>245</v>
      </c>
      <c r="C142" s="60" t="s">
        <v>250</v>
      </c>
      <c r="D142" s="63">
        <v>930000</v>
      </c>
      <c r="E142" s="61">
        <f>L142*N142/100</f>
        <v>292848126</v>
      </c>
      <c r="F142" s="61">
        <f>E142-D142</f>
        <v>291918126</v>
      </c>
      <c r="G142" s="129"/>
      <c r="H142" s="129"/>
      <c r="I142" s="61">
        <f>D142+F142+H142</f>
        <v>292848126</v>
      </c>
      <c r="J142" s="76"/>
      <c r="K142" s="63">
        <v>930000</v>
      </c>
      <c r="L142" s="63">
        <v>292848126</v>
      </c>
      <c r="M142" s="64"/>
      <c r="N142" s="65">
        <f>ROUND(IF(J142=0,D142/K142*100,M142/J142*100),2)</f>
        <v>100</v>
      </c>
      <c r="O142" s="120"/>
      <c r="P142" s="2">
        <v>930000</v>
      </c>
      <c r="Q142" s="2">
        <f>D142-P142</f>
        <v>0</v>
      </c>
      <c r="R142" s="3"/>
      <c r="S142" s="3"/>
      <c r="T142" s="4"/>
    </row>
    <row r="143" spans="1:20" s="49" customFormat="1" ht="22.15" customHeight="1">
      <c r="A143" s="1" t="s">
        <v>251</v>
      </c>
      <c r="B143" s="59" t="s">
        <v>252</v>
      </c>
      <c r="C143" s="60" t="s">
        <v>253</v>
      </c>
      <c r="D143" s="63">
        <v>208127224</v>
      </c>
      <c r="E143" s="61">
        <f>L143*N143/100</f>
        <v>1242557613.77</v>
      </c>
      <c r="F143" s="61">
        <f>E143-D143</f>
        <v>1034430389.77</v>
      </c>
      <c r="G143" s="129"/>
      <c r="H143" s="129"/>
      <c r="I143" s="61">
        <f t="shared" si="20"/>
        <v>1242557613.77</v>
      </c>
      <c r="J143" s="76"/>
      <c r="K143" s="63">
        <v>208127224</v>
      </c>
      <c r="L143" s="63">
        <v>1242557613.77</v>
      </c>
      <c r="M143" s="64"/>
      <c r="N143" s="65">
        <f>ROUND(IF(J143=0,D143/K143*100,M143/J143*100),2)</f>
        <v>100</v>
      </c>
      <c r="O143" s="120"/>
      <c r="P143" s="2">
        <v>208000000</v>
      </c>
      <c r="Q143" s="2">
        <f>D143-P143</f>
        <v>127224</v>
      </c>
      <c r="R143" s="3"/>
      <c r="S143" s="3"/>
      <c r="T143" s="4"/>
    </row>
    <row r="144" spans="1:20" s="96" customFormat="1" ht="22.15" customHeight="1">
      <c r="A144" s="1" t="s">
        <v>254</v>
      </c>
      <c r="B144" s="59" t="s">
        <v>245</v>
      </c>
      <c r="C144" s="60" t="s">
        <v>201</v>
      </c>
      <c r="D144" s="63">
        <v>1165429000</v>
      </c>
      <c r="E144" s="61"/>
      <c r="F144" s="61"/>
      <c r="G144" s="63"/>
      <c r="H144" s="144">
        <v>0</v>
      </c>
      <c r="I144" s="61">
        <f>D144+F144+H144</f>
        <v>1165429000</v>
      </c>
      <c r="J144" s="76"/>
      <c r="K144" s="63">
        <v>35929555951.910004</v>
      </c>
      <c r="L144" s="63">
        <v>56299135624</v>
      </c>
      <c r="M144" s="64"/>
      <c r="N144" s="65">
        <f>ROUND(IF(J144=0,D144/K144*100,M144/J144*100),2)</f>
        <v>3.24</v>
      </c>
      <c r="O144" s="120"/>
      <c r="P144" s="2">
        <v>1165429000</v>
      </c>
      <c r="Q144" s="2">
        <f>D144-P144</f>
        <v>0</v>
      </c>
      <c r="R144" s="3"/>
      <c r="S144" s="3"/>
      <c r="T144" s="99" t="s">
        <v>255</v>
      </c>
    </row>
    <row r="145" spans="1:20" s="49" customFormat="1" ht="22.15" customHeight="1">
      <c r="A145" s="1"/>
      <c r="B145" s="50" t="s">
        <v>256</v>
      </c>
      <c r="C145" s="51"/>
      <c r="D145" s="80">
        <f>D146</f>
        <v>2824027052</v>
      </c>
      <c r="E145" s="80">
        <f>E146</f>
        <v>3706784908</v>
      </c>
      <c r="F145" s="40">
        <f>SUM(F146)</f>
        <v>882757856</v>
      </c>
      <c r="G145" s="123"/>
      <c r="H145" s="123"/>
      <c r="I145" s="40">
        <f t="shared" si="20"/>
        <v>3706784908</v>
      </c>
      <c r="J145" s="95"/>
      <c r="K145" s="82"/>
      <c r="L145" s="82"/>
      <c r="M145" s="56"/>
      <c r="N145" s="57"/>
      <c r="O145" s="109"/>
      <c r="P145" s="2"/>
      <c r="Q145" s="2"/>
      <c r="R145" s="3"/>
      <c r="S145" s="3"/>
      <c r="T145" s="4"/>
    </row>
    <row r="146" spans="1:20" s="96" customFormat="1" ht="22.15" customHeight="1">
      <c r="A146" s="121" t="s">
        <v>257</v>
      </c>
      <c r="B146" s="59"/>
      <c r="C146" s="60" t="s">
        <v>258</v>
      </c>
      <c r="D146" s="63">
        <f>D147+D150+D148+D149</f>
        <v>2824027052</v>
      </c>
      <c r="E146" s="61">
        <f>SUM(E147:E150)</f>
        <v>3706784908</v>
      </c>
      <c r="F146" s="61">
        <f>E146-D146</f>
        <v>882757856</v>
      </c>
      <c r="G146" s="129"/>
      <c r="H146" s="129"/>
      <c r="I146" s="61">
        <f t="shared" si="20"/>
        <v>3706784908</v>
      </c>
      <c r="J146" s="76"/>
      <c r="K146" s="63">
        <f>K147+K150+K148+K149</f>
        <v>2824027052</v>
      </c>
      <c r="L146" s="63">
        <f>SUM(L147:L150)</f>
        <v>3706784908</v>
      </c>
      <c r="M146" s="76"/>
      <c r="N146" s="65">
        <f>ROUND(IF(J146=0,D146/K146*100,M146/J146*100),2)</f>
        <v>100</v>
      </c>
      <c r="O146" s="120"/>
      <c r="P146" s="2">
        <v>2754459700</v>
      </c>
      <c r="Q146" s="2">
        <f>D146-P146</f>
        <v>69567352</v>
      </c>
      <c r="R146" s="3"/>
      <c r="S146" s="3"/>
      <c r="T146" s="99"/>
    </row>
    <row r="147" spans="1:20" s="96" customFormat="1">
      <c r="A147" s="121"/>
      <c r="B147" s="59" t="s">
        <v>259</v>
      </c>
      <c r="C147" s="60" t="s">
        <v>260</v>
      </c>
      <c r="D147" s="63">
        <f>1884324276+39740000</f>
        <v>1924064276</v>
      </c>
      <c r="E147" s="61">
        <f>L147*N147/100</f>
        <v>2351846189</v>
      </c>
      <c r="F147" s="61">
        <f>E147-D147</f>
        <v>427781913</v>
      </c>
      <c r="G147" s="144"/>
      <c r="H147" s="144"/>
      <c r="I147" s="61">
        <f t="shared" si="20"/>
        <v>2351846189</v>
      </c>
      <c r="J147" s="76"/>
      <c r="K147" s="63">
        <f>D147</f>
        <v>1924064276</v>
      </c>
      <c r="L147" s="63">
        <v>2351846189</v>
      </c>
      <c r="M147" s="76"/>
      <c r="N147" s="65">
        <f>ROUND(IF(J147=0,D147/K147*100,M147/J147*100),2)</f>
        <v>100</v>
      </c>
      <c r="O147" s="120"/>
      <c r="P147" s="2">
        <v>1884324276</v>
      </c>
      <c r="Q147" s="2"/>
      <c r="R147" s="3"/>
      <c r="S147" s="3"/>
      <c r="T147" s="99"/>
    </row>
    <row r="148" spans="1:20" s="96" customFormat="1">
      <c r="A148" s="121"/>
      <c r="B148" s="59" t="s">
        <v>259</v>
      </c>
      <c r="C148" s="60" t="s">
        <v>261</v>
      </c>
      <c r="D148" s="63">
        <f>286468081+15935596</f>
        <v>302403677</v>
      </c>
      <c r="E148" s="61">
        <f>L148*N148/100</f>
        <v>540944923</v>
      </c>
      <c r="F148" s="61">
        <f>E148-D148</f>
        <v>238541246</v>
      </c>
      <c r="G148" s="144"/>
      <c r="H148" s="144"/>
      <c r="I148" s="61">
        <f t="shared" si="20"/>
        <v>540944923</v>
      </c>
      <c r="J148" s="76"/>
      <c r="K148" s="63">
        <f t="shared" ref="K148:K150" si="27">D148</f>
        <v>302403677</v>
      </c>
      <c r="L148" s="63">
        <v>540944923</v>
      </c>
      <c r="M148" s="76"/>
      <c r="N148" s="65">
        <f>ROUND(IF(J148=0,D148/K148*100,M148/J148*100),2)</f>
        <v>100</v>
      </c>
      <c r="O148" s="120"/>
      <c r="P148" s="2">
        <v>286468081</v>
      </c>
      <c r="Q148" s="2"/>
      <c r="R148" s="3"/>
      <c r="S148" s="3"/>
      <c r="T148" s="99"/>
    </row>
    <row r="149" spans="1:20" s="96" customFormat="1">
      <c r="A149" s="121"/>
      <c r="B149" s="59" t="s">
        <v>259</v>
      </c>
      <c r="C149" s="60" t="s">
        <v>262</v>
      </c>
      <c r="D149" s="63">
        <f>107126592+3000000</f>
        <v>110126592</v>
      </c>
      <c r="E149" s="61">
        <f>L149*N149/100</f>
        <v>291019704</v>
      </c>
      <c r="F149" s="61">
        <f>E149-D149</f>
        <v>180893112</v>
      </c>
      <c r="G149" s="144"/>
      <c r="H149" s="144"/>
      <c r="I149" s="61">
        <f t="shared" si="20"/>
        <v>291019704</v>
      </c>
      <c r="J149" s="76"/>
      <c r="K149" s="63">
        <f t="shared" si="27"/>
        <v>110126592</v>
      </c>
      <c r="L149" s="63">
        <v>291019704</v>
      </c>
      <c r="M149" s="76"/>
      <c r="N149" s="65">
        <f>ROUND(IF(J149=0,D149/K149*100,M149/J149*100),2)</f>
        <v>100</v>
      </c>
      <c r="O149" s="120"/>
      <c r="P149" s="2">
        <v>107126592</v>
      </c>
      <c r="Q149" s="2"/>
      <c r="R149" s="3"/>
      <c r="S149" s="3"/>
      <c r="T149" s="4"/>
    </row>
    <row r="150" spans="1:20" s="96" customFormat="1" ht="22.15" customHeight="1">
      <c r="A150" s="121"/>
      <c r="B150" s="59" t="s">
        <v>263</v>
      </c>
      <c r="C150" s="60" t="s">
        <v>264</v>
      </c>
      <c r="D150" s="63">
        <f>476540751+11495128-603372</f>
        <v>487432507</v>
      </c>
      <c r="E150" s="61">
        <f>L150*N150/100</f>
        <v>522974092</v>
      </c>
      <c r="F150" s="61">
        <f>E150-D150</f>
        <v>35541585</v>
      </c>
      <c r="G150" s="144"/>
      <c r="H150" s="144"/>
      <c r="I150" s="61">
        <f t="shared" si="20"/>
        <v>522974092</v>
      </c>
      <c r="J150" s="76"/>
      <c r="K150" s="63">
        <f t="shared" si="27"/>
        <v>487432507</v>
      </c>
      <c r="L150" s="63">
        <v>522974092</v>
      </c>
      <c r="M150" s="76"/>
      <c r="N150" s="65">
        <f>ROUND(IF(J150=0,D150/K150*100,M150/J150*100),2)</f>
        <v>100</v>
      </c>
      <c r="O150" s="120"/>
      <c r="P150" s="2">
        <v>476540751</v>
      </c>
      <c r="Q150" s="2"/>
      <c r="R150" s="3"/>
      <c r="S150" s="3"/>
      <c r="T150" s="4"/>
    </row>
    <row r="151" spans="1:20" s="49" customFormat="1" ht="22.15" customHeight="1">
      <c r="A151" s="1"/>
      <c r="B151" s="50" t="s">
        <v>265</v>
      </c>
      <c r="C151" s="51"/>
      <c r="D151" s="80">
        <f>D152</f>
        <v>84104525501.5</v>
      </c>
      <c r="E151" s="80">
        <f>E152</f>
        <v>109608350121.5</v>
      </c>
      <c r="F151" s="40">
        <f>SUM(F152)</f>
        <v>25503824620</v>
      </c>
      <c r="G151" s="123"/>
      <c r="H151" s="123"/>
      <c r="I151" s="40">
        <f t="shared" si="20"/>
        <v>109608350121.5</v>
      </c>
      <c r="J151" s="95"/>
      <c r="K151" s="82"/>
      <c r="L151" s="82"/>
      <c r="M151" s="56"/>
      <c r="N151" s="57"/>
      <c r="O151" s="109"/>
      <c r="P151" s="2"/>
      <c r="Q151" s="2"/>
      <c r="R151" s="3"/>
      <c r="S151" s="3"/>
      <c r="T151" s="4"/>
    </row>
    <row r="152" spans="1:20" s="49" customFormat="1" ht="22.15" customHeight="1">
      <c r="A152" s="1" t="s">
        <v>266</v>
      </c>
      <c r="B152" s="59"/>
      <c r="C152" s="156" t="s">
        <v>267</v>
      </c>
      <c r="D152" s="63">
        <f>SUM(D153:D155)</f>
        <v>84104525501.5</v>
      </c>
      <c r="E152" s="63">
        <f>SUM(E153:E155)</f>
        <v>109608350121.5</v>
      </c>
      <c r="F152" s="63">
        <f>SUM(F153:F155)</f>
        <v>25503824620</v>
      </c>
      <c r="G152" s="129"/>
      <c r="H152" s="129"/>
      <c r="I152" s="61">
        <f t="shared" si="20"/>
        <v>109608350121.5</v>
      </c>
      <c r="J152" s="76"/>
      <c r="K152" s="63">
        <f>K153+K154+K155</f>
        <v>84104525501.5</v>
      </c>
      <c r="L152" s="63">
        <f>L153+L154+L155</f>
        <v>109608350121.5</v>
      </c>
      <c r="M152" s="64"/>
      <c r="N152" s="65">
        <f>ROUND(IF(J152=0,D152/K152*100,M152/J152*100),2)</f>
        <v>100</v>
      </c>
      <c r="O152" s="120"/>
      <c r="P152" s="2">
        <v>84104525501.5</v>
      </c>
      <c r="Q152" s="2">
        <f>D152-P152</f>
        <v>0</v>
      </c>
      <c r="R152" s="3"/>
      <c r="S152" s="3"/>
      <c r="T152" s="4"/>
    </row>
    <row r="153" spans="1:20" s="49" customFormat="1" ht="22.15" customHeight="1">
      <c r="A153" s="1"/>
      <c r="B153" s="59" t="s">
        <v>268</v>
      </c>
      <c r="C153" s="156" t="s">
        <v>269</v>
      </c>
      <c r="D153" s="63">
        <v>53799904501.5</v>
      </c>
      <c r="E153" s="61">
        <f>L153*N153/100</f>
        <v>89568908106.5</v>
      </c>
      <c r="F153" s="61">
        <f>E153-D153</f>
        <v>35769003605</v>
      </c>
      <c r="G153" s="129"/>
      <c r="H153" s="129"/>
      <c r="I153" s="61">
        <f t="shared" si="20"/>
        <v>89568908106.5</v>
      </c>
      <c r="J153" s="76"/>
      <c r="K153" s="63">
        <v>53799904501.5</v>
      </c>
      <c r="L153" s="63">
        <v>89568908106.5</v>
      </c>
      <c r="M153" s="64"/>
      <c r="N153" s="65">
        <f>ROUND(IF(J153=0,D153/K153*100,M153/J153*100),2)</f>
        <v>100</v>
      </c>
      <c r="O153" s="120"/>
      <c r="P153" s="2">
        <v>53799904501.5</v>
      </c>
      <c r="Q153" s="2"/>
      <c r="R153" s="3"/>
      <c r="S153" s="3"/>
      <c r="T153" s="4"/>
    </row>
    <row r="154" spans="1:20" s="49" customFormat="1" ht="22.15" customHeight="1">
      <c r="A154" s="1"/>
      <c r="B154" s="59" t="s">
        <v>270</v>
      </c>
      <c r="C154" s="156" t="s">
        <v>269</v>
      </c>
      <c r="D154" s="63">
        <v>10370733000</v>
      </c>
      <c r="E154" s="61">
        <f>L154*N154/100</f>
        <v>3359540361</v>
      </c>
      <c r="F154" s="61">
        <f>E154-D154</f>
        <v>-7011192639</v>
      </c>
      <c r="G154" s="129"/>
      <c r="H154" s="129"/>
      <c r="I154" s="61">
        <f t="shared" si="20"/>
        <v>3359540361</v>
      </c>
      <c r="J154" s="76"/>
      <c r="K154" s="63">
        <v>10370733000</v>
      </c>
      <c r="L154" s="63">
        <v>3359540361</v>
      </c>
      <c r="M154" s="64"/>
      <c r="N154" s="65">
        <f>ROUND(IF(J154=0,D154/K154*100,M154/J154*100),2)</f>
        <v>100</v>
      </c>
      <c r="O154" s="120"/>
      <c r="P154" s="2">
        <v>10370733000</v>
      </c>
      <c r="Q154" s="2"/>
      <c r="R154" s="3"/>
      <c r="S154" s="3"/>
      <c r="T154" s="4"/>
    </row>
    <row r="155" spans="1:20" s="49" customFormat="1" ht="22.15" customHeight="1">
      <c r="A155" s="1"/>
      <c r="B155" s="59" t="s">
        <v>271</v>
      </c>
      <c r="C155" s="156" t="s">
        <v>269</v>
      </c>
      <c r="D155" s="63">
        <v>19933888000</v>
      </c>
      <c r="E155" s="61">
        <f>L155*N155/100</f>
        <v>16679901654</v>
      </c>
      <c r="F155" s="61">
        <f>E155-D155</f>
        <v>-3253986346</v>
      </c>
      <c r="G155" s="129"/>
      <c r="H155" s="129"/>
      <c r="I155" s="61">
        <f t="shared" si="20"/>
        <v>16679901654</v>
      </c>
      <c r="J155" s="76"/>
      <c r="K155" s="63">
        <v>19933888000</v>
      </c>
      <c r="L155" s="63">
        <v>16679901654</v>
      </c>
      <c r="M155" s="64"/>
      <c r="N155" s="65">
        <f>ROUND(IF(J155=0,D155/K155*100,M155/J155*100),2)</f>
        <v>100</v>
      </c>
      <c r="O155" s="120"/>
      <c r="P155" s="2">
        <v>19933888000</v>
      </c>
      <c r="Q155" s="2"/>
      <c r="R155" s="3"/>
      <c r="S155" s="3"/>
      <c r="T155" s="4"/>
    </row>
    <row r="156" spans="1:20" s="49" customFormat="1" ht="22.15" customHeight="1">
      <c r="A156" s="1"/>
      <c r="B156" s="50" t="s">
        <v>272</v>
      </c>
      <c r="C156" s="51"/>
      <c r="D156" s="80">
        <f>SUM(D157:D158)</f>
        <v>59767405893</v>
      </c>
      <c r="E156" s="80">
        <f>SUM(E157:E158)</f>
        <v>98364594264</v>
      </c>
      <c r="F156" s="40">
        <f>SUM(F157:F158)</f>
        <v>38597188371</v>
      </c>
      <c r="G156" s="123"/>
      <c r="H156" s="123"/>
      <c r="I156" s="40">
        <f>D156+F156+H156</f>
        <v>98364594264</v>
      </c>
      <c r="J156" s="95"/>
      <c r="K156" s="82"/>
      <c r="L156" s="82"/>
      <c r="M156" s="56"/>
      <c r="N156" s="57"/>
      <c r="O156" s="109"/>
      <c r="P156" s="2"/>
      <c r="Q156" s="2"/>
      <c r="R156" s="3"/>
      <c r="S156" s="3"/>
      <c r="T156" s="4"/>
    </row>
    <row r="157" spans="1:20" s="49" customFormat="1" ht="22.15" customHeight="1">
      <c r="A157" s="1" t="s">
        <v>273</v>
      </c>
      <c r="B157" s="59" t="s">
        <v>91</v>
      </c>
      <c r="C157" s="60" t="s">
        <v>274</v>
      </c>
      <c r="D157" s="63">
        <v>14296937752</v>
      </c>
      <c r="E157" s="61">
        <f>L157*N157/100</f>
        <v>32459622975</v>
      </c>
      <c r="F157" s="61">
        <f>E157-D157</f>
        <v>18162685223</v>
      </c>
      <c r="G157" s="129"/>
      <c r="H157" s="129"/>
      <c r="I157" s="61">
        <f>D157+F157+H157</f>
        <v>32459622975</v>
      </c>
      <c r="J157" s="76"/>
      <c r="K157" s="63">
        <v>14296937752</v>
      </c>
      <c r="L157" s="63">
        <v>32459622975</v>
      </c>
      <c r="M157" s="64"/>
      <c r="N157" s="65">
        <f>ROUND(IF(J157=0,D157/K157*100,M157/J157*100),2)</f>
        <v>100</v>
      </c>
      <c r="O157" s="120"/>
      <c r="P157" s="2">
        <v>14296937752</v>
      </c>
      <c r="Q157" s="2">
        <f>D157-P157</f>
        <v>0</v>
      </c>
      <c r="R157" s="3"/>
      <c r="S157" s="3"/>
      <c r="T157" s="4"/>
    </row>
    <row r="158" spans="1:20" s="49" customFormat="1" ht="22.15" customHeight="1">
      <c r="A158" s="1" t="s">
        <v>275</v>
      </c>
      <c r="B158" s="59" t="s">
        <v>91</v>
      </c>
      <c r="C158" s="60" t="s">
        <v>276</v>
      </c>
      <c r="D158" s="63">
        <v>45470468141</v>
      </c>
      <c r="E158" s="61">
        <f>L158*N158/100</f>
        <v>65904971289</v>
      </c>
      <c r="F158" s="61">
        <f>E158-D158</f>
        <v>20434503148</v>
      </c>
      <c r="G158" s="129"/>
      <c r="H158" s="129"/>
      <c r="I158" s="61">
        <f>D158+F158+H158</f>
        <v>65904971289</v>
      </c>
      <c r="J158" s="76"/>
      <c r="K158" s="63">
        <v>45470468141</v>
      </c>
      <c r="L158" s="63">
        <v>65904971289</v>
      </c>
      <c r="M158" s="64"/>
      <c r="N158" s="65">
        <f>ROUND(IF(J158=0,D158/K158*100,M158/J158*100),2)</f>
        <v>100</v>
      </c>
      <c r="O158" s="120"/>
      <c r="P158" s="2">
        <v>45470468141</v>
      </c>
      <c r="Q158" s="2">
        <f>D158-P158</f>
        <v>0</v>
      </c>
      <c r="R158" s="3"/>
      <c r="S158" s="3"/>
      <c r="T158" s="4"/>
    </row>
    <row r="159" spans="1:20" s="49" customFormat="1" ht="22.15" customHeight="1">
      <c r="A159" s="1"/>
      <c r="B159" s="45" t="s">
        <v>93</v>
      </c>
      <c r="C159" s="51"/>
      <c r="D159" s="80">
        <f>D160</f>
        <v>100000000</v>
      </c>
      <c r="E159" s="40">
        <f>E160</f>
        <v>19802526431.689999</v>
      </c>
      <c r="F159" s="40">
        <f>F160</f>
        <v>19702526431.689999</v>
      </c>
      <c r="G159" s="123"/>
      <c r="H159" s="123"/>
      <c r="I159" s="40">
        <f t="shared" si="20"/>
        <v>19802526431.689999</v>
      </c>
      <c r="J159" s="81"/>
      <c r="K159" s="68"/>
      <c r="L159" s="68"/>
      <c r="M159" s="56"/>
      <c r="N159" s="57"/>
      <c r="O159" s="109"/>
      <c r="P159" s="102"/>
      <c r="Q159" s="102"/>
      <c r="R159" s="103"/>
      <c r="S159" s="103"/>
      <c r="T159" s="157"/>
    </row>
    <row r="160" spans="1:20" s="49" customFormat="1" ht="22.15" customHeight="1">
      <c r="A160" s="1"/>
      <c r="B160" s="50" t="s">
        <v>50</v>
      </c>
      <c r="C160" s="51"/>
      <c r="D160" s="80">
        <f>D161</f>
        <v>100000000</v>
      </c>
      <c r="E160" s="80">
        <f>E161</f>
        <v>19802526431.689999</v>
      </c>
      <c r="F160" s="40">
        <f>SUM(F161)</f>
        <v>19702526431.689999</v>
      </c>
      <c r="G160" s="123"/>
      <c r="H160" s="123"/>
      <c r="I160" s="40">
        <f t="shared" si="20"/>
        <v>19802526431.689999</v>
      </c>
      <c r="J160" s="95"/>
      <c r="K160" s="82"/>
      <c r="L160" s="82"/>
      <c r="M160" s="42">
        <f>M161</f>
        <v>50000000</v>
      </c>
      <c r="N160" s="57"/>
      <c r="O160" s="109"/>
      <c r="P160" s="102"/>
      <c r="Q160" s="102"/>
      <c r="R160" s="103"/>
      <c r="S160" s="103"/>
      <c r="T160" s="104"/>
    </row>
    <row r="161" spans="1:20" s="161" customFormat="1" ht="19.5">
      <c r="A161" s="158" t="s">
        <v>277</v>
      </c>
      <c r="B161" s="59" t="s">
        <v>278</v>
      </c>
      <c r="C161" s="60" t="s">
        <v>279</v>
      </c>
      <c r="D161" s="63">
        <v>100000000</v>
      </c>
      <c r="E161" s="61">
        <f>L161*N161/100</f>
        <v>19802526431.689999</v>
      </c>
      <c r="F161" s="61">
        <f>E161-D161</f>
        <v>19702526431.689999</v>
      </c>
      <c r="G161" s="129"/>
      <c r="H161" s="129"/>
      <c r="I161" s="61">
        <f t="shared" si="20"/>
        <v>19802526431.689999</v>
      </c>
      <c r="J161" s="159"/>
      <c r="K161" s="63">
        <v>200000000</v>
      </c>
      <c r="L161" s="61">
        <v>39605052863.379997</v>
      </c>
      <c r="M161" s="76">
        <v>50000000</v>
      </c>
      <c r="N161" s="65">
        <f>ROUND(IF(J161=0,D161/K161*100,M161/J161*100),2)</f>
        <v>50</v>
      </c>
      <c r="O161" s="120"/>
      <c r="P161" s="102">
        <v>100000000</v>
      </c>
      <c r="Q161" s="102">
        <f>D161-P161</f>
        <v>0</v>
      </c>
      <c r="R161" s="103">
        <v>50000000</v>
      </c>
      <c r="S161" s="103">
        <f>M161-R161</f>
        <v>0</v>
      </c>
      <c r="T161" s="160"/>
    </row>
    <row r="162" spans="1:20" s="167" customFormat="1">
      <c r="A162" s="100"/>
      <c r="B162" s="162"/>
      <c r="C162" s="73"/>
      <c r="D162" s="118"/>
      <c r="E162" s="118"/>
      <c r="F162" s="69"/>
      <c r="G162" s="123"/>
      <c r="H162" s="123"/>
      <c r="I162" s="53"/>
      <c r="J162" s="163"/>
      <c r="K162" s="164"/>
      <c r="L162" s="165"/>
      <c r="M162" s="166"/>
      <c r="N162" s="71"/>
      <c r="O162" s="109"/>
      <c r="P162" s="2"/>
      <c r="Q162" s="2"/>
      <c r="R162" s="3"/>
      <c r="S162" s="3"/>
      <c r="T162" s="4"/>
    </row>
    <row r="163" spans="1:20" s="173" customFormat="1" ht="19.5">
      <c r="A163" s="100"/>
      <c r="B163" s="168" t="s">
        <v>280</v>
      </c>
      <c r="C163" s="169"/>
      <c r="D163" s="170">
        <f t="shared" ref="D163:I163" si="28">D87+D77+D11</f>
        <v>2880997724575.3398</v>
      </c>
      <c r="E163" s="170">
        <f t="shared" si="28"/>
        <v>6357092892962.2285</v>
      </c>
      <c r="F163" s="170">
        <f t="shared" si="28"/>
        <v>3514837133118.7983</v>
      </c>
      <c r="G163" s="170">
        <f t="shared" si="28"/>
        <v>3697084789.9099998</v>
      </c>
      <c r="H163" s="170">
        <f t="shared" si="28"/>
        <v>0</v>
      </c>
      <c r="I163" s="170">
        <f t="shared" si="28"/>
        <v>6395834857694.1387</v>
      </c>
      <c r="J163" s="170"/>
      <c r="K163" s="170"/>
      <c r="L163" s="170"/>
      <c r="M163" s="171"/>
      <c r="N163" s="170"/>
      <c r="O163" s="172"/>
      <c r="P163" s="2"/>
      <c r="Q163" s="2"/>
      <c r="R163" s="3"/>
      <c r="S163" s="3"/>
      <c r="T163" s="4"/>
    </row>
    <row r="165" spans="1:20" ht="139.35" customHeight="1">
      <c r="B165" s="318" t="s">
        <v>281</v>
      </c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</row>
  </sheetData>
  <autoFilter ref="B3:O7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1">
    <mergeCell ref="B1:O1"/>
    <mergeCell ref="B3:O3"/>
    <mergeCell ref="B5:B10"/>
    <mergeCell ref="C5:C10"/>
    <mergeCell ref="D5:I5"/>
    <mergeCell ref="J5:N5"/>
    <mergeCell ref="E6:F6"/>
    <mergeCell ref="G6:H6"/>
    <mergeCell ref="D7:D9"/>
    <mergeCell ref="E7:E9"/>
    <mergeCell ref="L7:L9"/>
    <mergeCell ref="M7:M9"/>
    <mergeCell ref="N7:N9"/>
    <mergeCell ref="O7:O9"/>
    <mergeCell ref="B165:O165"/>
    <mergeCell ref="F7:F9"/>
    <mergeCell ref="G7:G9"/>
    <mergeCell ref="H7:H9"/>
    <mergeCell ref="I7:I9"/>
    <mergeCell ref="J7:J9"/>
    <mergeCell ref="K7:K9"/>
  </mergeCells>
  <phoneticPr fontId="3" type="noConversion"/>
  <printOptions horizontalCentered="1"/>
  <pageMargins left="0.27559055118110237" right="0.27559055118110237" top="0.78740157480314965" bottom="0.78740157480314965" header="0.51181102362204722" footer="0.39370078740157483"/>
  <pageSetup paperSize="8" scale="56" fitToHeight="0" orientation="landscape" cellComments="asDisplayed" r:id="rId1"/>
  <headerFooter alignWithMargins="0"/>
  <rowBreaks count="2" manualBreakCount="2">
    <brk id="66" max="14" man="1"/>
    <brk id="128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0">
    <pageSetUpPr fitToPage="1"/>
  </sheetPr>
  <dimension ref="A1:U161"/>
  <sheetViews>
    <sheetView view="pageBreakPreview" zoomScale="75" zoomScaleNormal="75" zoomScaleSheetLayoutView="75" workbookViewId="0">
      <pane xSplit="4" ySplit="9" topLeftCell="J10" activePane="bottomRight" state="frozen"/>
      <selection pane="topRight" activeCell="C1" sqref="C1"/>
      <selection pane="bottomLeft" activeCell="A7" sqref="A7"/>
      <selection pane="bottomRight" activeCell="J23" sqref="J23"/>
    </sheetView>
  </sheetViews>
  <sheetFormatPr defaultRowHeight="16.5"/>
  <cols>
    <col min="1" max="1" width="6.5" style="1" customWidth="1"/>
    <col min="2" max="2" width="8.875" style="1" customWidth="1"/>
    <col min="3" max="3" width="37.375" style="174" customWidth="1"/>
    <col min="4" max="4" width="37.625" style="175" customWidth="1"/>
    <col min="5" max="5" width="26" style="176" customWidth="1"/>
    <col min="6" max="7" width="26.125" style="110" customWidth="1"/>
    <col min="8" max="8" width="24.125" style="110" customWidth="1"/>
    <col min="9" max="9" width="23.5" style="110" customWidth="1"/>
    <col min="10" max="10" width="27.125" style="110" customWidth="1"/>
    <col min="11" max="11" width="21.5" customWidth="1"/>
    <col min="12" max="12" width="21.375" customWidth="1"/>
    <col min="13" max="14" width="22.875" customWidth="1"/>
    <col min="15" max="15" width="25.125" style="177" customWidth="1"/>
    <col min="16" max="16" width="10.5" style="15" customWidth="1"/>
    <col min="17" max="17" width="26.625" style="2" customWidth="1"/>
    <col min="18" max="18" width="21.875" style="2" customWidth="1"/>
    <col min="19" max="19" width="18.625" style="3" customWidth="1"/>
    <col min="20" max="20" width="22.875" style="3" customWidth="1"/>
    <col min="21" max="21" width="8.875" style="4" customWidth="1"/>
  </cols>
  <sheetData>
    <row r="1" spans="1:21" ht="40.5" customHeight="1">
      <c r="C1" s="344" t="s">
        <v>0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21" s="15" customFormat="1" ht="24" customHeight="1">
      <c r="A2" s="5"/>
      <c r="B2" s="5"/>
      <c r="C2" s="6"/>
      <c r="D2" s="7"/>
      <c r="E2" s="6"/>
      <c r="F2" s="8"/>
      <c r="G2" s="8"/>
      <c r="H2" s="8"/>
      <c r="I2" s="8"/>
      <c r="J2" s="8"/>
      <c r="K2" s="9" t="s">
        <v>1</v>
      </c>
      <c r="L2" s="9"/>
      <c r="M2" s="9"/>
      <c r="N2" s="10"/>
      <c r="O2" s="11" t="s">
        <v>2</v>
      </c>
      <c r="P2" s="12"/>
      <c r="Q2" s="13"/>
      <c r="R2" s="13"/>
      <c r="S2" s="14"/>
      <c r="T2" s="14"/>
    </row>
    <row r="3" spans="1:21" s="15" customFormat="1" ht="22.5" hidden="1" customHeight="1">
      <c r="A3" s="5"/>
      <c r="B3" s="5"/>
      <c r="C3" s="333" t="s">
        <v>3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13"/>
      <c r="R3" s="13"/>
      <c r="S3" s="14"/>
      <c r="T3" s="14"/>
    </row>
    <row r="4" spans="1:21" ht="20.100000000000001" hidden="1" customHeight="1">
      <c r="C4" s="16"/>
      <c r="D4" s="17"/>
      <c r="E4" s="18"/>
      <c r="F4" s="19"/>
      <c r="G4" s="19"/>
      <c r="H4" s="19"/>
      <c r="I4" s="19"/>
      <c r="J4" s="19"/>
      <c r="K4" s="20"/>
      <c r="L4" s="20"/>
      <c r="M4" s="20"/>
      <c r="N4" s="20"/>
      <c r="O4" s="21"/>
      <c r="P4" s="22"/>
    </row>
    <row r="5" spans="1:21" ht="34.5" customHeight="1">
      <c r="A5" s="348" t="s">
        <v>282</v>
      </c>
      <c r="B5" s="346" t="s">
        <v>283</v>
      </c>
      <c r="C5" s="320" t="s">
        <v>4</v>
      </c>
      <c r="D5" s="337" t="s">
        <v>5</v>
      </c>
      <c r="E5" s="339" t="s">
        <v>6</v>
      </c>
      <c r="F5" s="340"/>
      <c r="G5" s="340"/>
      <c r="H5" s="341"/>
      <c r="I5" s="341"/>
      <c r="J5" s="342"/>
      <c r="K5" s="343" t="s">
        <v>7</v>
      </c>
      <c r="L5" s="340"/>
      <c r="M5" s="340"/>
      <c r="N5" s="340"/>
      <c r="O5" s="340"/>
      <c r="P5" s="23"/>
    </row>
    <row r="6" spans="1:21" ht="34.5" customHeight="1">
      <c r="A6" s="349"/>
      <c r="B6" s="347"/>
      <c r="C6" s="323"/>
      <c r="D6" s="338"/>
      <c r="E6" s="24"/>
      <c r="F6" s="343" t="s">
        <v>8</v>
      </c>
      <c r="G6" s="342"/>
      <c r="H6" s="343" t="s">
        <v>9</v>
      </c>
      <c r="I6" s="342"/>
      <c r="J6" s="19"/>
      <c r="K6" s="25"/>
      <c r="L6" s="19"/>
      <c r="M6" s="19"/>
      <c r="N6" s="19"/>
      <c r="O6" s="26"/>
      <c r="P6" s="27"/>
    </row>
    <row r="7" spans="1:21" ht="23.25" customHeight="1">
      <c r="A7" s="349"/>
      <c r="B7" s="350" t="s">
        <v>284</v>
      </c>
      <c r="C7" s="335"/>
      <c r="D7" s="335"/>
      <c r="E7" s="330" t="s">
        <v>285</v>
      </c>
      <c r="F7" s="328" t="s">
        <v>286</v>
      </c>
      <c r="G7" s="324" t="s">
        <v>287</v>
      </c>
      <c r="H7" s="328" t="s">
        <v>286</v>
      </c>
      <c r="I7" s="324" t="s">
        <v>288</v>
      </c>
      <c r="J7" s="324" t="s">
        <v>289</v>
      </c>
      <c r="K7" s="320" t="s">
        <v>290</v>
      </c>
      <c r="L7" s="320" t="s">
        <v>291</v>
      </c>
      <c r="M7" s="320" t="s">
        <v>292</v>
      </c>
      <c r="N7" s="324" t="s">
        <v>293</v>
      </c>
      <c r="O7" s="326" t="s">
        <v>294</v>
      </c>
      <c r="P7" s="328" t="s">
        <v>295</v>
      </c>
    </row>
    <row r="8" spans="1:21" ht="26.1" customHeight="1">
      <c r="A8" s="349"/>
      <c r="B8" s="351"/>
      <c r="C8" s="335"/>
      <c r="D8" s="335"/>
      <c r="E8" s="331"/>
      <c r="F8" s="329"/>
      <c r="G8" s="325"/>
      <c r="H8" s="329"/>
      <c r="I8" s="332"/>
      <c r="J8" s="332"/>
      <c r="K8" s="321"/>
      <c r="L8" s="322"/>
      <c r="M8" s="323"/>
      <c r="N8" s="325"/>
      <c r="O8" s="327"/>
      <c r="P8" s="329"/>
      <c r="Q8" s="28" t="s">
        <v>296</v>
      </c>
      <c r="R8" s="28" t="s">
        <v>297</v>
      </c>
      <c r="S8" s="29" t="s">
        <v>298</v>
      </c>
      <c r="T8" s="29" t="s">
        <v>299</v>
      </c>
      <c r="U8" s="30" t="s">
        <v>300</v>
      </c>
    </row>
    <row r="9" spans="1:21" ht="26.1" customHeight="1">
      <c r="A9" s="349"/>
      <c r="B9" s="183"/>
      <c r="C9" s="335"/>
      <c r="D9" s="335"/>
      <c r="E9" s="331"/>
      <c r="F9" s="329"/>
      <c r="G9" s="325"/>
      <c r="H9" s="329"/>
      <c r="I9" s="332"/>
      <c r="J9" s="332"/>
      <c r="K9" s="321"/>
      <c r="L9" s="322"/>
      <c r="M9" s="323"/>
      <c r="N9" s="325"/>
      <c r="O9" s="327"/>
      <c r="P9" s="329"/>
    </row>
    <row r="10" spans="1:21" ht="19.5" customHeight="1">
      <c r="B10" s="184"/>
      <c r="C10" s="336"/>
      <c r="D10" s="336"/>
      <c r="E10" s="31" t="s">
        <v>301</v>
      </c>
      <c r="F10" s="31" t="s">
        <v>302</v>
      </c>
      <c r="G10" s="31" t="s">
        <v>303</v>
      </c>
      <c r="H10" s="31" t="s">
        <v>304</v>
      </c>
      <c r="I10" s="31" t="s">
        <v>305</v>
      </c>
      <c r="J10" s="31" t="s">
        <v>306</v>
      </c>
      <c r="K10" s="32"/>
      <c r="L10" s="33"/>
      <c r="M10" s="31" t="s">
        <v>307</v>
      </c>
      <c r="N10" s="34" t="s">
        <v>308</v>
      </c>
      <c r="O10" s="35" t="s">
        <v>309</v>
      </c>
      <c r="P10" s="34" t="s">
        <v>310</v>
      </c>
    </row>
    <row r="11" spans="1:21" ht="19.5" customHeight="1">
      <c r="B11" s="184"/>
      <c r="C11" s="36" t="s">
        <v>311</v>
      </c>
      <c r="D11" s="37"/>
      <c r="E11" s="38">
        <f>E12+E43</f>
        <v>1322022309069.5</v>
      </c>
      <c r="F11" s="38">
        <f>F12+F43-0.01</f>
        <v>3644848771719.9438</v>
      </c>
      <c r="G11" s="38">
        <f>G12+G43</f>
        <v>2322826462650.4443</v>
      </c>
      <c r="H11" s="39"/>
      <c r="I11" s="39"/>
      <c r="J11" s="40">
        <f>E11+G11+I11</f>
        <v>3644848771719.9443</v>
      </c>
      <c r="K11" s="41"/>
      <c r="L11" s="41"/>
      <c r="M11" s="41"/>
      <c r="N11" s="42">
        <f>N12+N43</f>
        <v>102687870176</v>
      </c>
      <c r="O11" s="43"/>
      <c r="P11" s="44"/>
    </row>
    <row r="12" spans="1:21" s="49" customFormat="1" ht="22.15" customHeight="1">
      <c r="A12" s="1"/>
      <c r="B12" s="184"/>
      <c r="C12" s="45" t="s">
        <v>312</v>
      </c>
      <c r="D12" s="46"/>
      <c r="E12" s="38">
        <f>E13+E21+E15+E29+E41+E37+E39</f>
        <v>1223306255720.5</v>
      </c>
      <c r="F12" s="38">
        <f>F13+F21+F15+F29+F41+F37+F39</f>
        <v>3288249588886.8066</v>
      </c>
      <c r="G12" s="38">
        <f>G13+G21+G15+G29+G41+G37+G39</f>
        <v>2064943333166.2974</v>
      </c>
      <c r="H12" s="39"/>
      <c r="I12" s="39"/>
      <c r="J12" s="40">
        <f t="shared" ref="J12:J80" si="0">E12+G12+I12</f>
        <v>3288249588886.7974</v>
      </c>
      <c r="K12" s="47"/>
      <c r="L12" s="47"/>
      <c r="M12" s="47"/>
      <c r="N12" s="42">
        <f>N13+N21+N15+N29+N41+N37+N39</f>
        <v>86926356722</v>
      </c>
      <c r="O12" s="41"/>
      <c r="P12" s="48"/>
      <c r="Q12" s="2"/>
      <c r="R12" s="2"/>
      <c r="S12" s="3"/>
      <c r="T12" s="3"/>
      <c r="U12" s="4"/>
    </row>
    <row r="13" spans="1:21" s="49" customFormat="1" ht="22.15" customHeight="1">
      <c r="A13" s="1"/>
      <c r="B13" s="184"/>
      <c r="C13" s="50" t="s">
        <v>34</v>
      </c>
      <c r="D13" s="51"/>
      <c r="E13" s="52">
        <f>SUM(E14)</f>
        <v>80000000000</v>
      </c>
      <c r="F13" s="52">
        <f>F14</f>
        <v>1018093153562.97</v>
      </c>
      <c r="G13" s="40">
        <f>F13-E13</f>
        <v>938093153562.96997</v>
      </c>
      <c r="H13" s="53"/>
      <c r="I13" s="53"/>
      <c r="J13" s="40">
        <f t="shared" si="0"/>
        <v>1018093153562.97</v>
      </c>
      <c r="K13" s="54"/>
      <c r="L13" s="55"/>
      <c r="M13" s="55"/>
      <c r="N13" s="56">
        <f>N14</f>
        <v>0</v>
      </c>
      <c r="O13" s="57"/>
      <c r="P13" s="58"/>
      <c r="Q13" s="2"/>
      <c r="R13" s="2"/>
      <c r="S13" s="3"/>
      <c r="T13" s="3"/>
      <c r="U13" s="4"/>
    </row>
    <row r="14" spans="1:21" s="49" customFormat="1" ht="22.15" customHeight="1">
      <c r="A14" s="1" t="s">
        <v>35</v>
      </c>
      <c r="B14" s="184" t="s">
        <v>420</v>
      </c>
      <c r="C14" s="59" t="s">
        <v>36</v>
      </c>
      <c r="D14" s="60" t="s">
        <v>37</v>
      </c>
      <c r="E14" s="61">
        <v>80000000000</v>
      </c>
      <c r="F14" s="61">
        <f>M14*O14/100</f>
        <v>1018093153562.97</v>
      </c>
      <c r="G14" s="61">
        <f>F14-E14</f>
        <v>938093153562.96997</v>
      </c>
      <c r="H14" s="62"/>
      <c r="I14" s="62"/>
      <c r="J14" s="61">
        <f t="shared" si="0"/>
        <v>1018093153562.97</v>
      </c>
      <c r="K14" s="61"/>
      <c r="L14" s="63">
        <v>80000000000</v>
      </c>
      <c r="M14" s="63">
        <v>1018093153562.97</v>
      </c>
      <c r="N14" s="64"/>
      <c r="O14" s="65">
        <f>ROUND(IF(K14=0,E14/L14*100,N14/K14*100),2)</f>
        <v>100</v>
      </c>
      <c r="P14" s="66"/>
      <c r="Q14" s="2">
        <v>80000000000</v>
      </c>
      <c r="R14" s="2">
        <f>E14-Q14</f>
        <v>0</v>
      </c>
      <c r="S14" s="3">
        <v>0</v>
      </c>
      <c r="T14" s="3">
        <v>0</v>
      </c>
      <c r="U14" s="4"/>
    </row>
    <row r="15" spans="1:21" s="49" customFormat="1" ht="20.65" customHeight="1">
      <c r="A15" s="1"/>
      <c r="B15" s="184"/>
      <c r="C15" s="50" t="s">
        <v>38</v>
      </c>
      <c r="D15" s="67"/>
      <c r="E15" s="52">
        <f>SUM(E16:E20)</f>
        <v>193464074730</v>
      </c>
      <c r="F15" s="52">
        <f>SUM(F17:F20)</f>
        <v>525829512043.50995</v>
      </c>
      <c r="G15" s="52">
        <f>SUM(G17:G20)</f>
        <v>332365437313.50995</v>
      </c>
      <c r="H15" s="53"/>
      <c r="I15" s="53"/>
      <c r="J15" s="40">
        <f t="shared" si="0"/>
        <v>525829512043.50995</v>
      </c>
      <c r="K15" s="68"/>
      <c r="L15" s="69"/>
      <c r="M15" s="52"/>
      <c r="N15" s="70">
        <f>SUM(N16:N20)</f>
        <v>19644899973</v>
      </c>
      <c r="O15" s="71"/>
      <c r="P15" s="58"/>
      <c r="Q15" s="2"/>
      <c r="R15" s="2"/>
      <c r="S15" s="3"/>
      <c r="T15" s="3"/>
      <c r="U15" s="4"/>
    </row>
    <row r="16" spans="1:21" hidden="1">
      <c r="B16" s="184"/>
      <c r="C16" s="72" t="s">
        <v>39</v>
      </c>
      <c r="D16" s="73" t="s">
        <v>40</v>
      </c>
      <c r="E16" s="69"/>
      <c r="F16" s="69" t="e">
        <f>M16*O16/100</f>
        <v>#DIV/0!</v>
      </c>
      <c r="G16" s="69" t="e">
        <f>F16-E16</f>
        <v>#DIV/0!</v>
      </c>
      <c r="H16" s="53"/>
      <c r="I16" s="53"/>
      <c r="J16" s="69" t="e">
        <f t="shared" si="0"/>
        <v>#DIV/0!</v>
      </c>
      <c r="K16" s="69"/>
      <c r="L16" s="69"/>
      <c r="M16" s="69"/>
      <c r="N16" s="74"/>
      <c r="O16" s="71" t="e">
        <f>IF(K16=0,E16/L16*100,N16/K16*100)</f>
        <v>#DIV/0!</v>
      </c>
      <c r="P16" s="58"/>
      <c r="Q16" s="2">
        <v>12000000000</v>
      </c>
      <c r="R16" s="2">
        <f>E16-Q16</f>
        <v>-12000000000</v>
      </c>
      <c r="T16" s="3">
        <f>N16-S16</f>
        <v>0</v>
      </c>
      <c r="U16" s="4" t="s">
        <v>41</v>
      </c>
    </row>
    <row r="17" spans="1:21" s="4" customFormat="1">
      <c r="A17" s="1" t="s">
        <v>42</v>
      </c>
      <c r="B17" s="189" t="s">
        <v>415</v>
      </c>
      <c r="C17" s="72" t="s">
        <v>39</v>
      </c>
      <c r="D17" s="60" t="s">
        <v>43</v>
      </c>
      <c r="E17" s="61">
        <v>90000000000</v>
      </c>
      <c r="F17" s="61">
        <f>M17*O17/100</f>
        <v>285952802875.06</v>
      </c>
      <c r="G17" s="190">
        <f>F17-E17</f>
        <v>195952802875.06</v>
      </c>
      <c r="H17" s="75"/>
      <c r="I17" s="75"/>
      <c r="J17" s="190">
        <f t="shared" si="0"/>
        <v>285952802875.06</v>
      </c>
      <c r="K17" s="76">
        <v>9000000000</v>
      </c>
      <c r="L17" s="61">
        <v>90000000000</v>
      </c>
      <c r="M17" s="190">
        <v>285952802875.06</v>
      </c>
      <c r="N17" s="64">
        <v>9000000000</v>
      </c>
      <c r="O17" s="65">
        <f>ROUND(IF(K17=0,E17/L17*100,N17/K17*100),2)</f>
        <v>100</v>
      </c>
      <c r="P17" s="66"/>
      <c r="Q17" s="77">
        <v>90000000000</v>
      </c>
      <c r="R17" s="77">
        <f>E17-Q17</f>
        <v>0</v>
      </c>
      <c r="S17" s="78">
        <v>9000000000</v>
      </c>
      <c r="T17" s="78">
        <f>N17-S17</f>
        <v>0</v>
      </c>
    </row>
    <row r="18" spans="1:21">
      <c r="A18" s="1" t="s">
        <v>44</v>
      </c>
      <c r="B18" s="184" t="s">
        <v>420</v>
      </c>
      <c r="C18" s="72" t="s">
        <v>39</v>
      </c>
      <c r="D18" s="60" t="s">
        <v>45</v>
      </c>
      <c r="E18" s="61">
        <v>58949075000</v>
      </c>
      <c r="F18" s="61">
        <f>M18*O18/100</f>
        <v>144674717020.28</v>
      </c>
      <c r="G18" s="61">
        <f>F18-E18</f>
        <v>85725642020.279999</v>
      </c>
      <c r="H18" s="75"/>
      <c r="I18" s="75"/>
      <c r="J18" s="61">
        <f t="shared" si="0"/>
        <v>144674717020.28</v>
      </c>
      <c r="K18" s="76">
        <v>6259400000</v>
      </c>
      <c r="L18" s="61">
        <v>62594000000</v>
      </c>
      <c r="M18" s="61">
        <v>144674717020.28</v>
      </c>
      <c r="N18" s="64">
        <v>6259400000</v>
      </c>
      <c r="O18" s="65">
        <f>ROUND(IF(K18=0,E18/L18*100,N18/K18*100),2)</f>
        <v>100</v>
      </c>
      <c r="P18" s="66"/>
      <c r="Q18" s="2">
        <v>58949075000</v>
      </c>
      <c r="R18" s="2">
        <f>E18-Q18</f>
        <v>0</v>
      </c>
      <c r="S18" s="3">
        <v>6259400000</v>
      </c>
      <c r="T18" s="3">
        <f>N18-S18</f>
        <v>0</v>
      </c>
    </row>
    <row r="19" spans="1:21">
      <c r="A19" s="1" t="s">
        <v>46</v>
      </c>
      <c r="B19" s="189" t="s">
        <v>415</v>
      </c>
      <c r="C19" s="72" t="s">
        <v>39</v>
      </c>
      <c r="D19" s="60" t="s">
        <v>47</v>
      </c>
      <c r="E19" s="61">
        <v>660000000</v>
      </c>
      <c r="F19" s="61">
        <f>M19*O19/100</f>
        <v>991413275.05999994</v>
      </c>
      <c r="G19" s="190">
        <f>F19-E19</f>
        <v>331413275.05999994</v>
      </c>
      <c r="H19" s="75"/>
      <c r="I19" s="75"/>
      <c r="J19" s="190">
        <f t="shared" si="0"/>
        <v>991413275.05999994</v>
      </c>
      <c r="K19" s="76"/>
      <c r="L19" s="61">
        <v>660000000</v>
      </c>
      <c r="M19" s="190">
        <v>991413275.05999994</v>
      </c>
      <c r="N19" s="64"/>
      <c r="O19" s="65">
        <f>ROUND(IF(K19=0,E19/L19*100,N19/K19*100),2)</f>
        <v>100</v>
      </c>
      <c r="P19" s="66"/>
      <c r="Q19" s="2">
        <v>660000000</v>
      </c>
      <c r="R19" s="2">
        <f>E19-Q19</f>
        <v>0</v>
      </c>
      <c r="S19" s="3">
        <v>0</v>
      </c>
      <c r="T19" s="3">
        <f>N19-S19</f>
        <v>0</v>
      </c>
    </row>
    <row r="20" spans="1:21">
      <c r="A20" s="1" t="s">
        <v>48</v>
      </c>
      <c r="B20" s="189" t="s">
        <v>415</v>
      </c>
      <c r="C20" s="72" t="s">
        <v>39</v>
      </c>
      <c r="D20" s="60" t="s">
        <v>49</v>
      </c>
      <c r="E20" s="61">
        <v>43854999730</v>
      </c>
      <c r="F20" s="61">
        <f>M20*O20/100</f>
        <v>94210578873.110001</v>
      </c>
      <c r="G20" s="190">
        <f>F20-E20</f>
        <v>50355579143.110001</v>
      </c>
      <c r="H20" s="62"/>
      <c r="I20" s="62"/>
      <c r="J20" s="190">
        <f t="shared" si="0"/>
        <v>94210578873.110001</v>
      </c>
      <c r="K20" s="76">
        <v>4385499973</v>
      </c>
      <c r="L20" s="61">
        <v>43854999730</v>
      </c>
      <c r="M20" s="190">
        <v>94210578873.110001</v>
      </c>
      <c r="N20" s="64">
        <v>4385499973</v>
      </c>
      <c r="O20" s="65">
        <f>ROUND(IF(K20=0,E20/L20*100,N20/K20*100),2)</f>
        <v>100</v>
      </c>
      <c r="P20" s="66"/>
      <c r="Q20" s="2">
        <v>43854999730</v>
      </c>
      <c r="R20" s="2">
        <f>E20-Q20</f>
        <v>0</v>
      </c>
      <c r="S20" s="3">
        <v>4385499973</v>
      </c>
      <c r="T20" s="3">
        <f>N20-S20</f>
        <v>0</v>
      </c>
    </row>
    <row r="21" spans="1:21" s="49" customFormat="1" ht="22.15" customHeight="1">
      <c r="A21" s="1"/>
      <c r="B21" s="184"/>
      <c r="C21" s="50" t="s">
        <v>50</v>
      </c>
      <c r="D21" s="79"/>
      <c r="E21" s="52">
        <f>SUM(E22:E28)</f>
        <v>605710511151</v>
      </c>
      <c r="F21" s="80">
        <f>F22+F23+F24+F25+F26+F28</f>
        <v>1043841652081.5046</v>
      </c>
      <c r="G21" s="80">
        <f>F21-E21-0.01</f>
        <v>438131140930.49463</v>
      </c>
      <c r="H21" s="53"/>
      <c r="I21" s="53"/>
      <c r="J21" s="40">
        <f>J22+J23+J24+J25+J26+J28</f>
        <v>1043841652081.5046</v>
      </c>
      <c r="K21" s="81"/>
      <c r="L21" s="82"/>
      <c r="M21" s="82"/>
      <c r="N21" s="56">
        <f>SUM(N22:N28)</f>
        <v>49398038095</v>
      </c>
      <c r="O21" s="71"/>
      <c r="P21" s="58"/>
      <c r="Q21" s="2"/>
      <c r="R21" s="2"/>
      <c r="S21" s="3"/>
      <c r="T21" s="3"/>
      <c r="U21" s="4"/>
    </row>
    <row r="22" spans="1:21" s="49" customFormat="1">
      <c r="A22" s="1" t="s">
        <v>51</v>
      </c>
      <c r="B22" s="189" t="s">
        <v>416</v>
      </c>
      <c r="C22" s="72" t="s">
        <v>52</v>
      </c>
      <c r="D22" s="60" t="s">
        <v>53</v>
      </c>
      <c r="E22" s="61">
        <v>47028862170</v>
      </c>
      <c r="F22" s="61">
        <f t="shared" ref="F22:F28" si="1">M22*O22/100</f>
        <v>384401835580.32092</v>
      </c>
      <c r="G22" s="191">
        <f>F22-E22</f>
        <v>337372973410.32092</v>
      </c>
      <c r="H22" s="75"/>
      <c r="I22" s="75"/>
      <c r="J22" s="190">
        <f>E22+G22+I22</f>
        <v>384401835580.32092</v>
      </c>
      <c r="K22" s="76">
        <v>5636749865</v>
      </c>
      <c r="L22" s="61">
        <v>56367498650</v>
      </c>
      <c r="M22" s="190">
        <v>460747735323.40997</v>
      </c>
      <c r="N22" s="64">
        <v>4702886217</v>
      </c>
      <c r="O22" s="65">
        <f>ROUND(IF(K22=0,E22/L22*100,N22/K22*100),2)</f>
        <v>83.43</v>
      </c>
      <c r="P22" s="66"/>
      <c r="Q22" s="2">
        <v>47022573760</v>
      </c>
      <c r="R22" s="2">
        <f t="shared" ref="R22:R28" si="2">E22-Q22</f>
        <v>6288410</v>
      </c>
      <c r="S22" s="3">
        <v>4702257376</v>
      </c>
      <c r="T22" s="3">
        <f t="shared" ref="T22:T28" si="3">N22-S22</f>
        <v>628841</v>
      </c>
      <c r="U22" s="4"/>
    </row>
    <row r="23" spans="1:21" s="49" customFormat="1" ht="22.15" customHeight="1">
      <c r="A23" s="1" t="s">
        <v>54</v>
      </c>
      <c r="B23" s="189" t="s">
        <v>415</v>
      </c>
      <c r="C23" s="72" t="s">
        <v>52</v>
      </c>
      <c r="D23" s="60" t="s">
        <v>55</v>
      </c>
      <c r="E23" s="61">
        <v>130100000000</v>
      </c>
      <c r="F23" s="61">
        <f t="shared" si="1"/>
        <v>260417391435.79001</v>
      </c>
      <c r="G23" s="191">
        <f t="shared" ref="G23:G28" si="4">F23-E23</f>
        <v>130317391435.79001</v>
      </c>
      <c r="H23" s="75"/>
      <c r="I23" s="75"/>
      <c r="J23" s="190">
        <f t="shared" ref="J23:J28" si="5">E23+G23+I23</f>
        <v>260417391435.79001</v>
      </c>
      <c r="K23" s="76">
        <v>13010000000</v>
      </c>
      <c r="L23" s="61">
        <v>130100000000</v>
      </c>
      <c r="M23" s="190">
        <v>260417391435.79001</v>
      </c>
      <c r="N23" s="64">
        <v>13010000000</v>
      </c>
      <c r="O23" s="65">
        <f t="shared" ref="O23:O28" si="6">ROUND(IF(K23=0,E23/L23*100,N23/K23*100),2)</f>
        <v>100</v>
      </c>
      <c r="P23" s="66"/>
      <c r="Q23" s="77">
        <v>130100000000</v>
      </c>
      <c r="R23" s="77">
        <f t="shared" si="2"/>
        <v>0</v>
      </c>
      <c r="S23" s="78">
        <v>13010000000</v>
      </c>
      <c r="T23" s="78">
        <f t="shared" si="3"/>
        <v>0</v>
      </c>
      <c r="U23" s="4"/>
    </row>
    <row r="24" spans="1:21" s="49" customFormat="1">
      <c r="A24" s="1" t="s">
        <v>56</v>
      </c>
      <c r="B24" s="189" t="s">
        <v>416</v>
      </c>
      <c r="C24" s="72" t="s">
        <v>52</v>
      </c>
      <c r="D24" s="60" t="s">
        <v>57</v>
      </c>
      <c r="E24" s="61">
        <v>310325665070</v>
      </c>
      <c r="F24" s="61">
        <f t="shared" si="1"/>
        <v>242972693671.53281</v>
      </c>
      <c r="G24" s="191">
        <f>F24-E24</f>
        <v>-67352971398.467194</v>
      </c>
      <c r="H24" s="83"/>
      <c r="I24" s="83"/>
      <c r="J24" s="190">
        <f>E24+G24+I24</f>
        <v>242972693671.53281</v>
      </c>
      <c r="K24" s="76">
        <v>33000000000</v>
      </c>
      <c r="L24" s="61">
        <v>330000000000</v>
      </c>
      <c r="M24" s="190">
        <v>258371643632</v>
      </c>
      <c r="N24" s="64">
        <v>31032566507</v>
      </c>
      <c r="O24" s="65">
        <f t="shared" si="6"/>
        <v>94.04</v>
      </c>
      <c r="P24" s="66"/>
      <c r="Q24" s="2">
        <v>310325665070</v>
      </c>
      <c r="R24" s="2">
        <f t="shared" si="2"/>
        <v>0</v>
      </c>
      <c r="S24" s="3">
        <v>31032566507</v>
      </c>
      <c r="T24" s="3">
        <f t="shared" si="3"/>
        <v>0</v>
      </c>
      <c r="U24" s="4"/>
    </row>
    <row r="25" spans="1:21" s="4" customFormat="1">
      <c r="A25" s="1" t="s">
        <v>58</v>
      </c>
      <c r="B25" s="189" t="s">
        <v>416</v>
      </c>
      <c r="C25" s="72" t="s">
        <v>52</v>
      </c>
      <c r="D25" s="60" t="s">
        <v>59</v>
      </c>
      <c r="E25" s="61">
        <v>115893071000</v>
      </c>
      <c r="F25" s="61">
        <f>M25*O25/100</f>
        <v>156037460797.86087</v>
      </c>
      <c r="G25" s="191">
        <f>F25-E25</f>
        <v>40144389797.86087</v>
      </c>
      <c r="H25" s="75"/>
      <c r="I25" s="75"/>
      <c r="J25" s="190">
        <f t="shared" si="5"/>
        <v>156037460797.86087</v>
      </c>
      <c r="K25" s="76">
        <v>137500000</v>
      </c>
      <c r="L25" s="61">
        <v>153856482390.09</v>
      </c>
      <c r="M25" s="190">
        <v>185119777907.06</v>
      </c>
      <c r="N25" s="64">
        <v>115893071</v>
      </c>
      <c r="O25" s="65">
        <f t="shared" si="6"/>
        <v>84.29</v>
      </c>
      <c r="P25" s="66"/>
      <c r="Q25" s="77">
        <v>115893071000</v>
      </c>
      <c r="R25" s="77">
        <f t="shared" si="2"/>
        <v>0</v>
      </c>
      <c r="S25" s="78">
        <v>115893071</v>
      </c>
      <c r="T25" s="78">
        <f t="shared" si="3"/>
        <v>0</v>
      </c>
    </row>
    <row r="26" spans="1:21" s="4" customFormat="1">
      <c r="A26" s="1" t="s">
        <v>60</v>
      </c>
      <c r="B26" s="184" t="s">
        <v>420</v>
      </c>
      <c r="C26" s="72" t="s">
        <v>52</v>
      </c>
      <c r="D26" s="60" t="s">
        <v>61</v>
      </c>
      <c r="E26" s="61">
        <v>2346923000</v>
      </c>
      <c r="F26" s="61">
        <v>0</v>
      </c>
      <c r="G26" s="186">
        <f>F26-E26</f>
        <v>-2346923000</v>
      </c>
      <c r="H26" s="75"/>
      <c r="I26" s="75"/>
      <c r="J26" s="61">
        <f t="shared" si="5"/>
        <v>0</v>
      </c>
      <c r="K26" s="76">
        <v>262400000</v>
      </c>
      <c r="L26" s="61">
        <v>2624000000</v>
      </c>
      <c r="M26" s="84">
        <v>-537536459.10000002</v>
      </c>
      <c r="N26" s="64">
        <v>234692300</v>
      </c>
      <c r="O26" s="65">
        <f t="shared" si="6"/>
        <v>89.44</v>
      </c>
      <c r="P26" s="66"/>
      <c r="Q26" s="77">
        <v>2346923000</v>
      </c>
      <c r="R26" s="77">
        <f t="shared" si="2"/>
        <v>0</v>
      </c>
      <c r="S26" s="78">
        <v>234692300</v>
      </c>
      <c r="T26" s="78">
        <f t="shared" si="3"/>
        <v>0</v>
      </c>
    </row>
    <row r="27" spans="1:21" s="4" customFormat="1" hidden="1">
      <c r="A27" s="1" t="s">
        <v>62</v>
      </c>
      <c r="B27" s="184" t="s">
        <v>417</v>
      </c>
      <c r="C27" s="72" t="s">
        <v>52</v>
      </c>
      <c r="D27" s="60" t="s">
        <v>63</v>
      </c>
      <c r="E27" s="61"/>
      <c r="F27" s="61" t="e">
        <f t="shared" si="1"/>
        <v>#DIV/0!</v>
      </c>
      <c r="G27" s="186" t="e">
        <f t="shared" si="4"/>
        <v>#DIV/0!</v>
      </c>
      <c r="H27" s="75"/>
      <c r="I27" s="75"/>
      <c r="J27" s="61" t="e">
        <f t="shared" si="5"/>
        <v>#DIV/0!</v>
      </c>
      <c r="K27" s="76"/>
      <c r="L27" s="61"/>
      <c r="M27" s="61"/>
      <c r="N27" s="64"/>
      <c r="O27" s="65" t="e">
        <f t="shared" si="6"/>
        <v>#DIV/0!</v>
      </c>
      <c r="P27" s="66"/>
      <c r="Q27" s="77">
        <v>268684240</v>
      </c>
      <c r="R27" s="77">
        <f t="shared" si="2"/>
        <v>-268684240</v>
      </c>
      <c r="S27" s="78">
        <v>26868424</v>
      </c>
      <c r="T27" s="78">
        <f t="shared" si="3"/>
        <v>-26868424</v>
      </c>
      <c r="U27" s="4" t="s">
        <v>64</v>
      </c>
    </row>
    <row r="28" spans="1:21">
      <c r="A28" s="1" t="s">
        <v>65</v>
      </c>
      <c r="B28" s="184" t="s">
        <v>420</v>
      </c>
      <c r="C28" s="72" t="s">
        <v>52</v>
      </c>
      <c r="D28" s="60" t="s">
        <v>66</v>
      </c>
      <c r="E28" s="61">
        <v>15989911</v>
      </c>
      <c r="F28" s="61">
        <f t="shared" si="1"/>
        <v>12270596</v>
      </c>
      <c r="G28" s="186">
        <f t="shared" si="4"/>
        <v>-3719315</v>
      </c>
      <c r="H28" s="62"/>
      <c r="I28" s="62"/>
      <c r="J28" s="61">
        <f t="shared" si="5"/>
        <v>12270596</v>
      </c>
      <c r="K28" s="76">
        <v>302000000</v>
      </c>
      <c r="L28" s="61">
        <v>15989911</v>
      </c>
      <c r="M28" s="61">
        <v>12270596</v>
      </c>
      <c r="N28" s="64">
        <v>302000000</v>
      </c>
      <c r="O28" s="65">
        <f t="shared" si="6"/>
        <v>100</v>
      </c>
      <c r="P28" s="66"/>
      <c r="Q28" s="2">
        <v>3020000000</v>
      </c>
      <c r="R28" s="2">
        <f t="shared" si="2"/>
        <v>-3004010089</v>
      </c>
      <c r="S28" s="3">
        <v>302000000</v>
      </c>
      <c r="T28" s="3">
        <f t="shared" si="3"/>
        <v>0</v>
      </c>
    </row>
    <row r="29" spans="1:21" ht="20.65" customHeight="1">
      <c r="B29" s="184"/>
      <c r="C29" s="50" t="s">
        <v>67</v>
      </c>
      <c r="D29" s="73"/>
      <c r="E29" s="52">
        <f>E30+E31+E34+E35+E36</f>
        <v>334941240539.5</v>
      </c>
      <c r="F29" s="52">
        <f>F30+F31+F34+F35+F36</f>
        <v>694783985567.71997</v>
      </c>
      <c r="G29" s="52">
        <f>G30+G31+G34+G35+G36</f>
        <v>359842745028.22003</v>
      </c>
      <c r="H29" s="53"/>
      <c r="I29" s="53"/>
      <c r="J29" s="40">
        <f t="shared" si="0"/>
        <v>694783985567.71997</v>
      </c>
      <c r="K29" s="85"/>
      <c r="L29" s="52"/>
      <c r="M29" s="52"/>
      <c r="N29" s="70">
        <f>SUM(N30:N36)</f>
        <v>16964376344</v>
      </c>
      <c r="O29" s="71"/>
      <c r="P29" s="58"/>
    </row>
    <row r="30" spans="1:21" s="4" customFormat="1" ht="20.65" customHeight="1">
      <c r="A30" s="1" t="s">
        <v>68</v>
      </c>
      <c r="B30" s="189" t="s">
        <v>415</v>
      </c>
      <c r="C30" s="72" t="s">
        <v>69</v>
      </c>
      <c r="D30" s="60" t="s">
        <v>70</v>
      </c>
      <c r="E30" s="61">
        <v>69479000000</v>
      </c>
      <c r="F30" s="86">
        <f t="shared" ref="F30:F36" si="7">M30*O30/100</f>
        <v>163007316803.73001</v>
      </c>
      <c r="G30" s="190">
        <f t="shared" ref="G30:G36" si="8">F30-E30</f>
        <v>93528316803.730011</v>
      </c>
      <c r="H30" s="75"/>
      <c r="I30" s="75"/>
      <c r="J30" s="190">
        <f t="shared" si="0"/>
        <v>163007316803.73001</v>
      </c>
      <c r="K30" s="64">
        <v>6947900000</v>
      </c>
      <c r="L30" s="61">
        <v>69479000000</v>
      </c>
      <c r="M30" s="190">
        <v>163007316803.73001</v>
      </c>
      <c r="N30" s="64">
        <v>6947900000</v>
      </c>
      <c r="O30" s="65">
        <f t="shared" ref="O30:O42" si="9">ROUND(IF(K30=0,E30/L30*100,N30/K30*100),2)</f>
        <v>100</v>
      </c>
      <c r="P30" s="66"/>
      <c r="Q30" s="77">
        <v>67311000000</v>
      </c>
      <c r="R30" s="77">
        <f>E30-Q30</f>
        <v>2168000000</v>
      </c>
      <c r="S30" s="78">
        <v>6731100000</v>
      </c>
      <c r="T30" s="78">
        <f>N30-S30</f>
        <v>216800000</v>
      </c>
    </row>
    <row r="31" spans="1:21" s="4" customFormat="1" ht="20.65" customHeight="1">
      <c r="A31" s="1" t="s">
        <v>71</v>
      </c>
      <c r="B31" s="189" t="s">
        <v>419</v>
      </c>
      <c r="C31" s="59"/>
      <c r="D31" s="60" t="s">
        <v>72</v>
      </c>
      <c r="E31" s="61">
        <f>SUM(E32:E33)</f>
        <v>165297477099.5</v>
      </c>
      <c r="F31" s="86">
        <f t="shared" si="7"/>
        <v>402464783982.38</v>
      </c>
      <c r="G31" s="190">
        <f t="shared" si="8"/>
        <v>237167306882.88</v>
      </c>
      <c r="H31" s="75"/>
      <c r="I31" s="75"/>
      <c r="J31" s="190">
        <f t="shared" si="0"/>
        <v>402464783982.38</v>
      </c>
      <c r="K31" s="64"/>
      <c r="L31" s="61">
        <f>165217601099.5+79876000</f>
        <v>165297477099.5</v>
      </c>
      <c r="M31" s="190">
        <v>402464783982.38</v>
      </c>
      <c r="N31" s="64"/>
      <c r="O31" s="65">
        <f t="shared" si="9"/>
        <v>100</v>
      </c>
      <c r="P31" s="66"/>
      <c r="Q31" s="77">
        <v>162493051099.5</v>
      </c>
      <c r="R31" s="77">
        <f>E31-Q31</f>
        <v>2804426000</v>
      </c>
      <c r="S31" s="78">
        <v>0</v>
      </c>
      <c r="T31" s="78">
        <f>N31-S31</f>
        <v>0</v>
      </c>
    </row>
    <row r="32" spans="1:21" s="4" customFormat="1" ht="20.65" customHeight="1">
      <c r="A32" s="1"/>
      <c r="B32" s="184"/>
      <c r="C32" s="59" t="s">
        <v>69</v>
      </c>
      <c r="D32" s="87" t="s">
        <v>73</v>
      </c>
      <c r="E32" s="61">
        <v>165217601099.5</v>
      </c>
      <c r="F32" s="86">
        <f t="shared" si="7"/>
        <v>402270302628.82599</v>
      </c>
      <c r="G32" s="190">
        <f t="shared" si="8"/>
        <v>237052701529.32599</v>
      </c>
      <c r="H32" s="75"/>
      <c r="I32" s="75"/>
      <c r="J32" s="190">
        <f t="shared" si="0"/>
        <v>402270302628.82599</v>
      </c>
      <c r="K32" s="64"/>
      <c r="L32" s="61">
        <f>165217601099.5+79876000</f>
        <v>165297477099.5</v>
      </c>
      <c r="M32" s="190">
        <v>402464783982.38</v>
      </c>
      <c r="N32" s="64"/>
      <c r="O32" s="65">
        <f>IF(K32=0,E32/L32*100,N32/K32*100)</f>
        <v>99.951677423393519</v>
      </c>
      <c r="P32" s="66"/>
      <c r="Q32" s="77"/>
      <c r="R32" s="77"/>
      <c r="S32" s="78"/>
      <c r="T32" s="78"/>
    </row>
    <row r="33" spans="1:21" s="4" customFormat="1" ht="20.65" customHeight="1">
      <c r="A33" s="1"/>
      <c r="B33" s="184"/>
      <c r="C33" s="88" t="s">
        <v>74</v>
      </c>
      <c r="D33" s="87" t="s">
        <v>73</v>
      </c>
      <c r="E33" s="61">
        <v>79876000</v>
      </c>
      <c r="F33" s="86">
        <f t="shared" si="7"/>
        <v>194481353.55402726</v>
      </c>
      <c r="G33" s="190">
        <f t="shared" si="8"/>
        <v>114605353.55402726</v>
      </c>
      <c r="H33" s="75"/>
      <c r="I33" s="75"/>
      <c r="J33" s="190">
        <f t="shared" si="0"/>
        <v>194481353.55402726</v>
      </c>
      <c r="K33" s="64"/>
      <c r="L33" s="61">
        <f>165217601099.5+79876000</f>
        <v>165297477099.5</v>
      </c>
      <c r="M33" s="190">
        <v>402464783982.38</v>
      </c>
      <c r="N33" s="64"/>
      <c r="O33" s="65">
        <f>IF(K33=0,E33/L33*100,N33/K33*100)</f>
        <v>4.8322576606489302E-2</v>
      </c>
      <c r="P33" s="66"/>
      <c r="Q33" s="77"/>
      <c r="R33" s="77"/>
      <c r="S33" s="78"/>
      <c r="T33" s="78"/>
    </row>
    <row r="34" spans="1:21" s="4" customFormat="1" ht="20.65" customHeight="1">
      <c r="A34" s="1" t="s">
        <v>75</v>
      </c>
      <c r="B34" s="189" t="s">
        <v>415</v>
      </c>
      <c r="C34" s="72" t="s">
        <v>69</v>
      </c>
      <c r="D34" s="60" t="s">
        <v>76</v>
      </c>
      <c r="E34" s="61">
        <v>65000000000</v>
      </c>
      <c r="F34" s="86">
        <f t="shared" si="7"/>
        <v>91381378894</v>
      </c>
      <c r="G34" s="190">
        <f t="shared" si="8"/>
        <v>26381378894</v>
      </c>
      <c r="H34" s="75"/>
      <c r="I34" s="75"/>
      <c r="J34" s="190">
        <f t="shared" si="0"/>
        <v>91381378894</v>
      </c>
      <c r="K34" s="64">
        <v>6500000000</v>
      </c>
      <c r="L34" s="61">
        <v>65000000000</v>
      </c>
      <c r="M34" s="190">
        <v>91381378894</v>
      </c>
      <c r="N34" s="64">
        <v>6500000000</v>
      </c>
      <c r="O34" s="65">
        <f t="shared" si="9"/>
        <v>100</v>
      </c>
      <c r="P34" s="66"/>
      <c r="Q34" s="77">
        <v>65000000000</v>
      </c>
      <c r="R34" s="77">
        <f>E34-Q34</f>
        <v>0</v>
      </c>
      <c r="S34" s="78">
        <v>6500000000</v>
      </c>
      <c r="T34" s="78">
        <f>N34-S34</f>
        <v>0</v>
      </c>
    </row>
    <row r="35" spans="1:21" s="4" customFormat="1">
      <c r="A35" s="1" t="s">
        <v>77</v>
      </c>
      <c r="B35" s="189" t="s">
        <v>418</v>
      </c>
      <c r="C35" s="72" t="s">
        <v>69</v>
      </c>
      <c r="D35" s="60" t="s">
        <v>78</v>
      </c>
      <c r="E35" s="61">
        <v>24832463440</v>
      </c>
      <c r="F35" s="86">
        <f t="shared" si="7"/>
        <v>36723154435.400002</v>
      </c>
      <c r="G35" s="190">
        <f t="shared" si="8"/>
        <v>11890690995.400002</v>
      </c>
      <c r="H35" s="75"/>
      <c r="I35" s="75"/>
      <c r="J35" s="190">
        <f t="shared" si="0"/>
        <v>36723154435.400002</v>
      </c>
      <c r="K35" s="64">
        <v>2483246344</v>
      </c>
      <c r="L35" s="61">
        <v>24832463440</v>
      </c>
      <c r="M35" s="190">
        <v>36723154435.400002</v>
      </c>
      <c r="N35" s="64">
        <v>2483246344</v>
      </c>
      <c r="O35" s="65">
        <f t="shared" si="9"/>
        <v>100</v>
      </c>
      <c r="P35" s="66"/>
      <c r="Q35" s="77">
        <v>23850463440</v>
      </c>
      <c r="R35" s="77">
        <f>E35-Q35</f>
        <v>982000000</v>
      </c>
      <c r="S35" s="78">
        <v>2385046344</v>
      </c>
      <c r="T35" s="78">
        <f>N35-S35</f>
        <v>98200000</v>
      </c>
    </row>
    <row r="36" spans="1:21" s="4" customFormat="1">
      <c r="A36" s="1" t="s">
        <v>79</v>
      </c>
      <c r="B36" s="184" t="s">
        <v>420</v>
      </c>
      <c r="C36" s="72" t="s">
        <v>69</v>
      </c>
      <c r="D36" s="60" t="s">
        <v>80</v>
      </c>
      <c r="E36" s="61">
        <v>10332300000</v>
      </c>
      <c r="F36" s="86">
        <f t="shared" si="7"/>
        <v>1207351452.21</v>
      </c>
      <c r="G36" s="61">
        <f t="shared" si="8"/>
        <v>-9124948547.7900009</v>
      </c>
      <c r="H36" s="75"/>
      <c r="I36" s="75"/>
      <c r="J36" s="61">
        <f t="shared" si="0"/>
        <v>1207351452.2099991</v>
      </c>
      <c r="K36" s="64">
        <v>1033230000</v>
      </c>
      <c r="L36" s="89">
        <v>10332300000</v>
      </c>
      <c r="M36" s="61">
        <v>1207351452.21</v>
      </c>
      <c r="N36" s="64">
        <v>1033230000</v>
      </c>
      <c r="O36" s="65">
        <f t="shared" si="9"/>
        <v>100</v>
      </c>
      <c r="P36" s="66"/>
      <c r="Q36" s="77">
        <v>10332300000</v>
      </c>
      <c r="R36" s="77">
        <f>E36-Q36</f>
        <v>0</v>
      </c>
      <c r="S36" s="78">
        <v>1033230000</v>
      </c>
      <c r="T36" s="78">
        <f>N36-S36</f>
        <v>0</v>
      </c>
    </row>
    <row r="37" spans="1:21" s="4" customFormat="1" ht="20.65" customHeight="1">
      <c r="A37" s="1"/>
      <c r="B37" s="184"/>
      <c r="C37" s="50" t="s">
        <v>81</v>
      </c>
      <c r="D37" s="73"/>
      <c r="E37" s="52">
        <f>E38</f>
        <v>588614730</v>
      </c>
      <c r="F37" s="52">
        <f>F38</f>
        <v>0</v>
      </c>
      <c r="G37" s="40">
        <f>G38</f>
        <v>-588614730</v>
      </c>
      <c r="H37" s="53"/>
      <c r="I37" s="53"/>
      <c r="J37" s="40">
        <f t="shared" si="0"/>
        <v>0</v>
      </c>
      <c r="K37" s="85"/>
      <c r="L37" s="52"/>
      <c r="M37" s="52"/>
      <c r="N37" s="70">
        <f>SUM(N38)</f>
        <v>58861473</v>
      </c>
      <c r="O37" s="71"/>
      <c r="P37" s="58"/>
      <c r="Q37" s="77"/>
      <c r="R37" s="77"/>
      <c r="S37" s="78"/>
      <c r="T37" s="78"/>
    </row>
    <row r="38" spans="1:21" s="4" customFormat="1">
      <c r="A38" s="1" t="s">
        <v>313</v>
      </c>
      <c r="B38" s="184" t="s">
        <v>420</v>
      </c>
      <c r="C38" s="72" t="s">
        <v>314</v>
      </c>
      <c r="D38" s="60" t="s">
        <v>315</v>
      </c>
      <c r="E38" s="61">
        <v>588614730</v>
      </c>
      <c r="F38" s="61">
        <v>0</v>
      </c>
      <c r="G38" s="61">
        <f>F38-E38</f>
        <v>-588614730</v>
      </c>
      <c r="H38" s="62"/>
      <c r="I38" s="62"/>
      <c r="J38" s="61">
        <f t="shared" si="0"/>
        <v>0</v>
      </c>
      <c r="K38" s="76"/>
      <c r="L38" s="61"/>
      <c r="M38" s="61"/>
      <c r="N38" s="76">
        <v>58861473</v>
      </c>
      <c r="O38" s="65"/>
      <c r="P38" s="66"/>
      <c r="Q38" s="77">
        <v>588614730</v>
      </c>
      <c r="R38" s="77">
        <f>E38-Q38</f>
        <v>0</v>
      </c>
      <c r="S38" s="78">
        <v>58861473</v>
      </c>
      <c r="T38" s="78">
        <f>N38-S38</f>
        <v>0</v>
      </c>
    </row>
    <row r="39" spans="1:21">
      <c r="B39" s="184"/>
      <c r="C39" s="50" t="s">
        <v>316</v>
      </c>
      <c r="D39" s="73"/>
      <c r="E39" s="52">
        <f>E40</f>
        <v>5095275200</v>
      </c>
      <c r="F39" s="52">
        <f>F40</f>
        <v>5701285631.1027498</v>
      </c>
      <c r="G39" s="40">
        <f>G40</f>
        <v>606010431.10274982</v>
      </c>
      <c r="H39" s="90"/>
      <c r="I39" s="90"/>
      <c r="J39" s="40">
        <f t="shared" si="0"/>
        <v>5701285631.1027498</v>
      </c>
      <c r="K39" s="85"/>
      <c r="L39" s="52"/>
      <c r="M39" s="52"/>
      <c r="N39" s="91">
        <f>SUM(N40)</f>
        <v>509526900</v>
      </c>
      <c r="O39" s="71"/>
      <c r="P39" s="58"/>
    </row>
    <row r="40" spans="1:21" s="4" customFormat="1">
      <c r="A40" s="1" t="s">
        <v>86</v>
      </c>
      <c r="B40" s="184" t="s">
        <v>420</v>
      </c>
      <c r="C40" s="92" t="s">
        <v>87</v>
      </c>
      <c r="D40" s="60" t="s">
        <v>88</v>
      </c>
      <c r="E40" s="61">
        <v>5095275200</v>
      </c>
      <c r="F40" s="61">
        <f>M40*O40/100</f>
        <v>5701285631.1027498</v>
      </c>
      <c r="G40" s="61">
        <f>F40-E40</f>
        <v>606010431.10274982</v>
      </c>
      <c r="H40" s="62"/>
      <c r="I40" s="62"/>
      <c r="J40" s="61">
        <f t="shared" si="0"/>
        <v>5701285631.1027498</v>
      </c>
      <c r="K40" s="76">
        <v>1000000000</v>
      </c>
      <c r="L40" s="61">
        <v>10000000000</v>
      </c>
      <c r="M40" s="61">
        <v>11189961984.5</v>
      </c>
      <c r="N40" s="64">
        <v>509526900</v>
      </c>
      <c r="O40" s="65">
        <f>ROUND(IF(K40=0,E40/L40*100,N40/K40*100),2)</f>
        <v>50.95</v>
      </c>
      <c r="P40" s="66"/>
      <c r="Q40" s="77">
        <v>5095269000</v>
      </c>
      <c r="R40" s="77">
        <f>E40-Q40</f>
        <v>6200</v>
      </c>
      <c r="S40" s="78">
        <v>509526900</v>
      </c>
      <c r="T40" s="78">
        <f>N40-S40</f>
        <v>0</v>
      </c>
    </row>
    <row r="41" spans="1:21" s="4" customFormat="1" ht="21.6" customHeight="1">
      <c r="A41" s="1"/>
      <c r="B41" s="184"/>
      <c r="C41" s="50" t="s">
        <v>89</v>
      </c>
      <c r="D41" s="73"/>
      <c r="E41" s="52">
        <f>E42</f>
        <v>3506539370</v>
      </c>
      <c r="F41" s="52">
        <f>F42</f>
        <v>0</v>
      </c>
      <c r="G41" s="40">
        <f>G42</f>
        <v>-3506539370</v>
      </c>
      <c r="H41" s="53"/>
      <c r="I41" s="53"/>
      <c r="J41" s="40">
        <f t="shared" si="0"/>
        <v>0</v>
      </c>
      <c r="K41" s="85"/>
      <c r="L41" s="52"/>
      <c r="M41" s="52"/>
      <c r="N41" s="70">
        <f>SUM(N42)</f>
        <v>350653937</v>
      </c>
      <c r="O41" s="71"/>
      <c r="P41" s="58"/>
      <c r="Q41" s="77"/>
      <c r="R41" s="77"/>
      <c r="S41" s="78"/>
      <c r="T41" s="78"/>
    </row>
    <row r="42" spans="1:21" s="4" customFormat="1">
      <c r="A42" s="1" t="s">
        <v>90</v>
      </c>
      <c r="B42" s="184" t="s">
        <v>420</v>
      </c>
      <c r="C42" s="72" t="s">
        <v>91</v>
      </c>
      <c r="D42" s="60" t="s">
        <v>92</v>
      </c>
      <c r="E42" s="61">
        <v>3506539370</v>
      </c>
      <c r="F42" s="61">
        <v>0</v>
      </c>
      <c r="G42" s="61">
        <f>F42-E42</f>
        <v>-3506539370</v>
      </c>
      <c r="H42" s="62"/>
      <c r="I42" s="62"/>
      <c r="J42" s="61">
        <f t="shared" si="0"/>
        <v>0</v>
      </c>
      <c r="K42" s="76">
        <v>861060127</v>
      </c>
      <c r="L42" s="61">
        <v>8610601270</v>
      </c>
      <c r="M42" s="61">
        <v>-6191410175.8999996</v>
      </c>
      <c r="N42" s="64">
        <v>350653937</v>
      </c>
      <c r="O42" s="65">
        <f t="shared" si="9"/>
        <v>40.72</v>
      </c>
      <c r="P42" s="66"/>
      <c r="Q42" s="77">
        <v>3506539370</v>
      </c>
      <c r="R42" s="77">
        <f>E42-Q42</f>
        <v>0</v>
      </c>
      <c r="S42" s="78">
        <v>350653937</v>
      </c>
      <c r="T42" s="78">
        <f>N42-S42</f>
        <v>0</v>
      </c>
    </row>
    <row r="43" spans="1:21" s="30" customFormat="1" ht="19.5">
      <c r="A43" s="1"/>
      <c r="B43" s="184"/>
      <c r="C43" s="45" t="s">
        <v>93</v>
      </c>
      <c r="D43" s="93"/>
      <c r="E43" s="38">
        <f>E55+E46+E65+E71+E61+E63+E44</f>
        <v>98716053349</v>
      </c>
      <c r="F43" s="38">
        <f>F55+F46+F65+F71+F61+F63+F44</f>
        <v>356599182833.14716</v>
      </c>
      <c r="G43" s="38">
        <f>G55+G46+G65+G71+G61+G63+G44</f>
        <v>257883129484.14709</v>
      </c>
      <c r="H43" s="39"/>
      <c r="I43" s="39"/>
      <c r="J43" s="40">
        <f>E43+G43+I43</f>
        <v>356599182833.14709</v>
      </c>
      <c r="K43" s="94"/>
      <c r="L43" s="69"/>
      <c r="M43" s="69"/>
      <c r="N43" s="42">
        <f>N55+N46+N65+N71+N61+N63+N44</f>
        <v>15761513454</v>
      </c>
      <c r="O43" s="43"/>
      <c r="P43" s="58"/>
      <c r="Q43" s="28"/>
      <c r="R43" s="28"/>
      <c r="S43" s="29"/>
      <c r="T43" s="29"/>
    </row>
    <row r="44" spans="1:21" s="49" customFormat="1" ht="22.15" customHeight="1">
      <c r="A44" s="1"/>
      <c r="B44" s="184"/>
      <c r="C44" s="50" t="s">
        <v>34</v>
      </c>
      <c r="D44" s="51"/>
      <c r="E44" s="52">
        <f>SUM(E45)</f>
        <v>1646556</v>
      </c>
      <c r="F44" s="52">
        <f>F45</f>
        <v>44.7</v>
      </c>
      <c r="G44" s="40">
        <f>F44-E44</f>
        <v>-1646511.3</v>
      </c>
      <c r="H44" s="53"/>
      <c r="I44" s="53"/>
      <c r="J44" s="40">
        <f>E44+G44+I44</f>
        <v>44.699999999953434</v>
      </c>
      <c r="K44" s="95"/>
      <c r="L44" s="82"/>
      <c r="M44" s="82"/>
      <c r="N44" s="56">
        <f>N45</f>
        <v>2</v>
      </c>
      <c r="O44" s="57"/>
      <c r="P44" s="58"/>
      <c r="Q44" s="96"/>
      <c r="R44" s="96"/>
      <c r="S44" s="96"/>
      <c r="T44" s="96"/>
    </row>
    <row r="45" spans="1:21" s="49" customFormat="1" ht="22.15" customHeight="1">
      <c r="A45" s="1" t="s">
        <v>317</v>
      </c>
      <c r="B45" s="184" t="s">
        <v>420</v>
      </c>
      <c r="C45" s="59" t="s">
        <v>318</v>
      </c>
      <c r="D45" s="97" t="s">
        <v>319</v>
      </c>
      <c r="E45" s="61">
        <v>1646556</v>
      </c>
      <c r="F45" s="61">
        <f>IF(M45&lt;0,0,M45*O45/100)</f>
        <v>44.7</v>
      </c>
      <c r="G45" s="61">
        <v>-1646511.3</v>
      </c>
      <c r="H45" s="62"/>
      <c r="I45" s="62"/>
      <c r="J45" s="61">
        <f>E45+G45+I45</f>
        <v>44.699999999953434</v>
      </c>
      <c r="K45" s="76">
        <v>2</v>
      </c>
      <c r="L45" s="63"/>
      <c r="M45" s="63">
        <v>44.7</v>
      </c>
      <c r="N45" s="64">
        <v>2</v>
      </c>
      <c r="O45" s="65">
        <f>ROUND(IF(K45=0,E45/L45*100,N45/K45*100),2)</f>
        <v>100</v>
      </c>
      <c r="P45" s="66"/>
      <c r="Q45" s="98">
        <v>1646556</v>
      </c>
      <c r="R45" s="2">
        <f>E45-Q45</f>
        <v>0</v>
      </c>
      <c r="S45" s="99">
        <v>2</v>
      </c>
      <c r="T45" s="96"/>
      <c r="U45" s="4"/>
    </row>
    <row r="46" spans="1:21" s="49" customFormat="1" ht="20.65" customHeight="1">
      <c r="A46" s="1"/>
      <c r="B46" s="184"/>
      <c r="C46" s="50" t="s">
        <v>320</v>
      </c>
      <c r="D46" s="67"/>
      <c r="E46" s="52">
        <f>SUM(E47:E54)</f>
        <v>44464362670</v>
      </c>
      <c r="F46" s="52">
        <v>124846140374.99001</v>
      </c>
      <c r="G46" s="40">
        <f t="shared" ref="G46:G54" si="10">F46-E46</f>
        <v>80381777704.990005</v>
      </c>
      <c r="H46" s="53"/>
      <c r="I46" s="53"/>
      <c r="J46" s="40">
        <f>E46+G46+I46</f>
        <v>124846140374.99001</v>
      </c>
      <c r="K46" s="81"/>
      <c r="L46" s="52"/>
      <c r="M46" s="69"/>
      <c r="N46" s="70">
        <f>SUM(N47:N54)</f>
        <v>7370531944</v>
      </c>
      <c r="O46" s="71"/>
      <c r="P46" s="58"/>
      <c r="Q46" s="2"/>
      <c r="R46" s="2"/>
      <c r="S46" s="3"/>
      <c r="T46" s="3"/>
      <c r="U46" s="4"/>
    </row>
    <row r="47" spans="1:21" s="105" customFormat="1">
      <c r="A47" s="100" t="s">
        <v>321</v>
      </c>
      <c r="B47" s="184" t="s">
        <v>420</v>
      </c>
      <c r="C47" s="72" t="s">
        <v>322</v>
      </c>
      <c r="D47" s="60" t="s">
        <v>323</v>
      </c>
      <c r="E47" s="61">
        <v>8952962580</v>
      </c>
      <c r="F47" s="61">
        <f t="shared" ref="F47:F54" si="11">M47*O47/100</f>
        <v>25131255136.771652</v>
      </c>
      <c r="G47" s="61">
        <f t="shared" si="10"/>
        <v>16178292556.771652</v>
      </c>
      <c r="H47" s="75"/>
      <c r="I47" s="75"/>
      <c r="J47" s="61">
        <f t="shared" si="0"/>
        <v>25131255136.771652</v>
      </c>
      <c r="K47" s="76">
        <v>13599823983</v>
      </c>
      <c r="L47" s="101">
        <v>135998239830</v>
      </c>
      <c r="M47" s="61">
        <v>299009208146</v>
      </c>
      <c r="N47" s="64">
        <v>1143043883</v>
      </c>
      <c r="O47" s="65">
        <f>IF(K47=0,E47/L47*100,N47/K47*100)</f>
        <v>8.4048432128888084</v>
      </c>
      <c r="P47" s="66"/>
      <c r="Q47" s="102">
        <v>8952962580</v>
      </c>
      <c r="R47" s="102">
        <f t="shared" ref="R47:R54" si="12">E47-Q47</f>
        <v>0</v>
      </c>
      <c r="S47" s="103">
        <v>1143043883</v>
      </c>
      <c r="T47" s="103">
        <f t="shared" ref="T47:T54" si="13">N47-S47</f>
        <v>0</v>
      </c>
      <c r="U47" s="104"/>
    </row>
    <row r="48" spans="1:21" ht="20.65" customHeight="1">
      <c r="A48" s="100" t="s">
        <v>99</v>
      </c>
      <c r="B48" s="184" t="s">
        <v>420</v>
      </c>
      <c r="C48" s="72" t="s">
        <v>322</v>
      </c>
      <c r="D48" s="60" t="s">
        <v>324</v>
      </c>
      <c r="E48" s="61">
        <v>522913360</v>
      </c>
      <c r="F48" s="61">
        <f t="shared" si="11"/>
        <v>758537643.24809384</v>
      </c>
      <c r="G48" s="61">
        <f t="shared" si="10"/>
        <v>235624283.24809384</v>
      </c>
      <c r="H48" s="75"/>
      <c r="I48" s="75"/>
      <c r="J48" s="61">
        <f t="shared" si="0"/>
        <v>758537643.24809384</v>
      </c>
      <c r="K48" s="76">
        <v>150000000</v>
      </c>
      <c r="L48" s="101">
        <v>1500000000</v>
      </c>
      <c r="M48" s="61">
        <v>2100729858</v>
      </c>
      <c r="N48" s="64">
        <v>54162436</v>
      </c>
      <c r="O48" s="65">
        <f t="shared" ref="O48:O54" si="14">IF(K48=0,E48/L48*100,N48/K48*100)</f>
        <v>36.108290666666662</v>
      </c>
      <c r="P48" s="66"/>
      <c r="Q48" s="2">
        <v>522913360</v>
      </c>
      <c r="R48" s="102">
        <f t="shared" si="12"/>
        <v>0</v>
      </c>
      <c r="S48" s="3">
        <v>54162436</v>
      </c>
      <c r="T48" s="103">
        <f t="shared" si="13"/>
        <v>0</v>
      </c>
    </row>
    <row r="49" spans="1:21" s="105" customFormat="1">
      <c r="A49" s="100" t="s">
        <v>101</v>
      </c>
      <c r="B49" s="184" t="s">
        <v>420</v>
      </c>
      <c r="C49" s="72" t="s">
        <v>322</v>
      </c>
      <c r="D49" s="60" t="s">
        <v>325</v>
      </c>
      <c r="E49" s="61">
        <v>7841660130</v>
      </c>
      <c r="F49" s="61">
        <f t="shared" si="11"/>
        <v>22032012823.113861</v>
      </c>
      <c r="G49" s="61">
        <f t="shared" si="10"/>
        <v>14190352693.113861</v>
      </c>
      <c r="H49" s="75"/>
      <c r="I49" s="75"/>
      <c r="J49" s="61">
        <f t="shared" si="0"/>
        <v>22032012823.113861</v>
      </c>
      <c r="K49" s="76">
        <v>12216393291</v>
      </c>
      <c r="L49" s="101">
        <v>122163932910</v>
      </c>
      <c r="M49" s="61">
        <v>191782643179</v>
      </c>
      <c r="N49" s="64">
        <v>1403420712</v>
      </c>
      <c r="O49" s="65">
        <f t="shared" si="14"/>
        <v>11.488011875271903</v>
      </c>
      <c r="P49" s="66"/>
      <c r="Q49" s="102">
        <v>7841660130</v>
      </c>
      <c r="R49" s="102">
        <f t="shared" si="12"/>
        <v>0</v>
      </c>
      <c r="S49" s="103">
        <v>1375902659</v>
      </c>
      <c r="T49" s="103">
        <f t="shared" si="13"/>
        <v>27518053</v>
      </c>
      <c r="U49" s="104"/>
    </row>
    <row r="50" spans="1:21" s="105" customFormat="1">
      <c r="A50" s="100" t="s">
        <v>103</v>
      </c>
      <c r="B50" s="184" t="s">
        <v>420</v>
      </c>
      <c r="C50" s="72" t="s">
        <v>322</v>
      </c>
      <c r="D50" s="60" t="s">
        <v>326</v>
      </c>
      <c r="E50" s="61">
        <v>800878870</v>
      </c>
      <c r="F50" s="61">
        <f t="shared" si="11"/>
        <v>2792939526.6642613</v>
      </c>
      <c r="G50" s="61">
        <f t="shared" si="10"/>
        <v>1992060656.6642613</v>
      </c>
      <c r="H50" s="75"/>
      <c r="I50" s="75"/>
      <c r="J50" s="61">
        <f t="shared" si="0"/>
        <v>2792939526.6642613</v>
      </c>
      <c r="K50" s="76">
        <v>11046519863</v>
      </c>
      <c r="L50" s="101">
        <v>110465198630</v>
      </c>
      <c r="M50" s="61">
        <v>164303927292</v>
      </c>
      <c r="N50" s="64">
        <v>187775560</v>
      </c>
      <c r="O50" s="65">
        <f t="shared" si="14"/>
        <v>1.6998616969761564</v>
      </c>
      <c r="P50" s="66"/>
      <c r="Q50" s="102">
        <v>800878870</v>
      </c>
      <c r="R50" s="102">
        <f t="shared" si="12"/>
        <v>0</v>
      </c>
      <c r="S50" s="103">
        <v>178833867</v>
      </c>
      <c r="T50" s="103">
        <f t="shared" si="13"/>
        <v>8941693</v>
      </c>
      <c r="U50" s="104"/>
    </row>
    <row r="51" spans="1:21" s="105" customFormat="1">
      <c r="A51" s="100" t="s">
        <v>105</v>
      </c>
      <c r="B51" s="184" t="s">
        <v>420</v>
      </c>
      <c r="C51" s="72" t="s">
        <v>322</v>
      </c>
      <c r="D51" s="60" t="s">
        <v>327</v>
      </c>
      <c r="E51" s="61">
        <v>7181110400</v>
      </c>
      <c r="F51" s="61">
        <f t="shared" si="11"/>
        <v>17707451583.344803</v>
      </c>
      <c r="G51" s="61">
        <f t="shared" si="10"/>
        <v>10526341183.344803</v>
      </c>
      <c r="H51" s="75"/>
      <c r="I51" s="75"/>
      <c r="J51" s="61">
        <f t="shared" si="0"/>
        <v>17707451583.344803</v>
      </c>
      <c r="K51" s="76">
        <v>9413000718</v>
      </c>
      <c r="L51" s="61">
        <v>94130007180</v>
      </c>
      <c r="M51" s="61">
        <v>145226545286.76001</v>
      </c>
      <c r="N51" s="64">
        <v>1147725811</v>
      </c>
      <c r="O51" s="65">
        <f t="shared" si="14"/>
        <v>12.192985482358061</v>
      </c>
      <c r="P51" s="66"/>
      <c r="Q51" s="102">
        <v>7181110400</v>
      </c>
      <c r="R51" s="102">
        <f t="shared" si="12"/>
        <v>0</v>
      </c>
      <c r="S51" s="103">
        <v>1093072201</v>
      </c>
      <c r="T51" s="103">
        <f t="shared" si="13"/>
        <v>54653610</v>
      </c>
      <c r="U51" s="104"/>
    </row>
    <row r="52" spans="1:21" s="105" customFormat="1">
      <c r="A52" s="100" t="s">
        <v>107</v>
      </c>
      <c r="B52" s="184" t="s">
        <v>420</v>
      </c>
      <c r="C52" s="72" t="s">
        <v>322</v>
      </c>
      <c r="D52" s="60" t="s">
        <v>328</v>
      </c>
      <c r="E52" s="61">
        <v>1278748590</v>
      </c>
      <c r="F52" s="61">
        <f t="shared" si="11"/>
        <v>1672749677.2937505</v>
      </c>
      <c r="G52" s="61">
        <f t="shared" si="10"/>
        <v>394001087.29375052</v>
      </c>
      <c r="H52" s="75"/>
      <c r="I52" s="75"/>
      <c r="J52" s="61">
        <f t="shared" si="0"/>
        <v>1672749677.2937505</v>
      </c>
      <c r="K52" s="76">
        <v>6147961724</v>
      </c>
      <c r="L52" s="101">
        <v>61479617240</v>
      </c>
      <c r="M52" s="61">
        <v>75823242927.460007</v>
      </c>
      <c r="N52" s="64">
        <v>135631247</v>
      </c>
      <c r="O52" s="65">
        <f t="shared" si="14"/>
        <v>2.2061172969007248</v>
      </c>
      <c r="P52" s="66"/>
      <c r="Q52" s="102">
        <v>1278748590</v>
      </c>
      <c r="R52" s="102">
        <f t="shared" si="12"/>
        <v>0</v>
      </c>
      <c r="S52" s="103">
        <v>131680823</v>
      </c>
      <c r="T52" s="103">
        <f t="shared" si="13"/>
        <v>3950424</v>
      </c>
      <c r="U52" s="104"/>
    </row>
    <row r="53" spans="1:21">
      <c r="A53" s="100" t="s">
        <v>109</v>
      </c>
      <c r="B53" s="184" t="s">
        <v>420</v>
      </c>
      <c r="C53" s="72" t="s">
        <v>322</v>
      </c>
      <c r="D53" s="60" t="s">
        <v>329</v>
      </c>
      <c r="E53" s="61">
        <v>1040632960</v>
      </c>
      <c r="F53" s="61">
        <f t="shared" si="11"/>
        <v>2366205060.1036816</v>
      </c>
      <c r="G53" s="61">
        <f t="shared" si="10"/>
        <v>1325572100.1036816</v>
      </c>
      <c r="H53" s="62"/>
      <c r="I53" s="62"/>
      <c r="J53" s="61">
        <f t="shared" si="0"/>
        <v>2366205060.1036816</v>
      </c>
      <c r="K53" s="76">
        <v>562275000</v>
      </c>
      <c r="L53" s="101">
        <v>5622750000</v>
      </c>
      <c r="M53" s="61">
        <v>11253162902</v>
      </c>
      <c r="N53" s="64">
        <v>118229689</v>
      </c>
      <c r="O53" s="65">
        <f t="shared" si="14"/>
        <v>21.027022186652438</v>
      </c>
      <c r="P53" s="66"/>
      <c r="Q53" s="2">
        <v>1094858560</v>
      </c>
      <c r="R53" s="102">
        <f t="shared" si="12"/>
        <v>-54225600</v>
      </c>
      <c r="S53" s="3">
        <v>124391689</v>
      </c>
      <c r="T53" s="103">
        <f t="shared" si="13"/>
        <v>-6162000</v>
      </c>
    </row>
    <row r="54" spans="1:21" s="105" customFormat="1">
      <c r="A54" s="100" t="s">
        <v>111</v>
      </c>
      <c r="B54" s="184" t="s">
        <v>420</v>
      </c>
      <c r="C54" s="72" t="s">
        <v>322</v>
      </c>
      <c r="D54" s="60" t="s">
        <v>330</v>
      </c>
      <c r="E54" s="61">
        <v>16845455780</v>
      </c>
      <c r="F54" s="61">
        <f t="shared" si="11"/>
        <v>52384988924.471581</v>
      </c>
      <c r="G54" s="61">
        <f t="shared" si="10"/>
        <v>35539533144.471581</v>
      </c>
      <c r="H54" s="75"/>
      <c r="I54" s="75"/>
      <c r="J54" s="61">
        <f t="shared" si="0"/>
        <v>52384988924.471581</v>
      </c>
      <c r="K54" s="76">
        <v>12202703627</v>
      </c>
      <c r="L54" s="101">
        <v>122027036270</v>
      </c>
      <c r="M54" s="61">
        <v>200984100368</v>
      </c>
      <c r="N54" s="64">
        <v>3180542606</v>
      </c>
      <c r="O54" s="65">
        <f t="shared" si="14"/>
        <v>26.064245295302047</v>
      </c>
      <c r="P54" s="66"/>
      <c r="Q54" s="102">
        <v>16845455780</v>
      </c>
      <c r="R54" s="102">
        <f t="shared" si="12"/>
        <v>0</v>
      </c>
      <c r="S54" s="103">
        <v>3087905443</v>
      </c>
      <c r="T54" s="103">
        <f t="shared" si="13"/>
        <v>92637163</v>
      </c>
      <c r="U54" s="104"/>
    </row>
    <row r="55" spans="1:21" s="49" customFormat="1" ht="22.15" customHeight="1">
      <c r="A55" s="1"/>
      <c r="B55" s="184"/>
      <c r="C55" s="50" t="s">
        <v>331</v>
      </c>
      <c r="D55" s="79"/>
      <c r="E55" s="52">
        <f>SUM(E56:E60)</f>
        <v>20366878627</v>
      </c>
      <c r="F55" s="80">
        <f>SUM(F56:F60)</f>
        <v>70599173829.742889</v>
      </c>
      <c r="G55" s="40">
        <f>SUM(G56:G60)</f>
        <v>50232295202.742882</v>
      </c>
      <c r="H55" s="53"/>
      <c r="I55" s="53"/>
      <c r="J55" s="40">
        <f t="shared" si="0"/>
        <v>70599173829.742889</v>
      </c>
      <c r="K55" s="81"/>
      <c r="L55" s="82"/>
      <c r="M55" s="82"/>
      <c r="N55" s="56">
        <f>SUM(N56:N60)</f>
        <v>3853868183</v>
      </c>
      <c r="O55" s="71"/>
      <c r="P55" s="58"/>
      <c r="Q55" s="2"/>
      <c r="R55" s="2"/>
      <c r="S55" s="3"/>
      <c r="T55" s="3"/>
      <c r="U55" s="4"/>
    </row>
    <row r="56" spans="1:21" ht="18.600000000000001" customHeight="1">
      <c r="A56" s="1" t="s">
        <v>332</v>
      </c>
      <c r="B56" s="184" t="s">
        <v>420</v>
      </c>
      <c r="C56" s="72" t="s">
        <v>333</v>
      </c>
      <c r="D56" s="60" t="s">
        <v>334</v>
      </c>
      <c r="E56" s="61">
        <v>3178345330</v>
      </c>
      <c r="F56" s="61">
        <f>M56*O56/100</f>
        <v>4609284976.5934</v>
      </c>
      <c r="G56" s="61">
        <f>F56-E56</f>
        <v>1430939646.5934</v>
      </c>
      <c r="H56" s="75"/>
      <c r="I56" s="75"/>
      <c r="J56" s="61">
        <f t="shared" si="0"/>
        <v>4609284976.5934</v>
      </c>
      <c r="K56" s="76">
        <v>941867101</v>
      </c>
      <c r="L56" s="61">
        <v>9418671010</v>
      </c>
      <c r="M56" s="61">
        <v>13102003913</v>
      </c>
      <c r="N56" s="76">
        <v>331301773</v>
      </c>
      <c r="O56" s="65">
        <f>ROUND(IF(K56=0,E56/L56*100,N56/K56*100),2)</f>
        <v>35.18</v>
      </c>
      <c r="P56" s="66"/>
      <c r="Q56" s="2">
        <v>3639794820</v>
      </c>
      <c r="R56" s="2">
        <f>E56-Q56</f>
        <v>-461449490</v>
      </c>
      <c r="S56" s="3">
        <v>363979482</v>
      </c>
      <c r="T56" s="3">
        <f>N56-S56</f>
        <v>-32677709</v>
      </c>
    </row>
    <row r="57" spans="1:21">
      <c r="A57" s="1" t="s">
        <v>115</v>
      </c>
      <c r="B57" s="184" t="s">
        <v>420</v>
      </c>
      <c r="C57" s="72" t="s">
        <v>333</v>
      </c>
      <c r="D57" s="60" t="s">
        <v>335</v>
      </c>
      <c r="E57" s="61">
        <v>404762410</v>
      </c>
      <c r="F57" s="61">
        <f>M57*O57/100</f>
        <v>720118628.49317598</v>
      </c>
      <c r="G57" s="61">
        <f>F57-E57</f>
        <v>315356218.49317598</v>
      </c>
      <c r="H57" s="75"/>
      <c r="I57" s="75"/>
      <c r="J57" s="61">
        <f t="shared" si="0"/>
        <v>720118628.49317598</v>
      </c>
      <c r="K57" s="76">
        <v>350000000</v>
      </c>
      <c r="L57" s="106">
        <v>3500000000</v>
      </c>
      <c r="M57" s="61">
        <v>6229399900.46</v>
      </c>
      <c r="N57" s="107">
        <v>40476241</v>
      </c>
      <c r="O57" s="65">
        <f>ROUND(IF(K57=0,E57/L57*100,N57/K57*100),2)</f>
        <v>11.56</v>
      </c>
      <c r="P57" s="66"/>
      <c r="Q57" s="2">
        <v>404762410</v>
      </c>
      <c r="R57" s="2">
        <f>E57-Q57</f>
        <v>0</v>
      </c>
      <c r="S57" s="3">
        <v>40476241</v>
      </c>
      <c r="T57" s="3">
        <f>N57-S57</f>
        <v>0</v>
      </c>
    </row>
    <row r="58" spans="1:21">
      <c r="A58" s="1" t="s">
        <v>116</v>
      </c>
      <c r="B58" s="184" t="s">
        <v>420</v>
      </c>
      <c r="C58" s="72" t="s">
        <v>333</v>
      </c>
      <c r="D58" s="60" t="s">
        <v>336</v>
      </c>
      <c r="E58" s="61">
        <v>13875833250</v>
      </c>
      <c r="F58" s="61">
        <f>M58*O58/100</f>
        <v>60802171737.190002</v>
      </c>
      <c r="G58" s="61">
        <f>F58-E58</f>
        <v>46926338487.190002</v>
      </c>
      <c r="H58" s="75"/>
      <c r="I58" s="75"/>
      <c r="J58" s="61">
        <f t="shared" si="0"/>
        <v>60802171737.190002</v>
      </c>
      <c r="K58" s="107">
        <v>15773128996</v>
      </c>
      <c r="L58" s="101">
        <v>157731289960</v>
      </c>
      <c r="M58" s="61">
        <v>304010858685.95001</v>
      </c>
      <c r="N58" s="76">
        <v>3154709357</v>
      </c>
      <c r="O58" s="65">
        <f>ROUND(IF(K58=0,E58/L58*100,N58/K58*100),2)</f>
        <v>20</v>
      </c>
      <c r="P58" s="66"/>
      <c r="Q58" s="2">
        <v>13875833250</v>
      </c>
      <c r="R58" s="2">
        <f>E58-Q58</f>
        <v>0</v>
      </c>
      <c r="S58" s="3">
        <v>3154709357</v>
      </c>
      <c r="T58" s="3">
        <f>N58-S58</f>
        <v>0</v>
      </c>
    </row>
    <row r="59" spans="1:21">
      <c r="A59" s="1" t="s">
        <v>117</v>
      </c>
      <c r="B59" s="184" t="s">
        <v>420</v>
      </c>
      <c r="C59" s="72" t="s">
        <v>333</v>
      </c>
      <c r="D59" s="60" t="s">
        <v>337</v>
      </c>
      <c r="E59" s="61">
        <v>694986897</v>
      </c>
      <c r="F59" s="61">
        <f>M59*O59/100</f>
        <v>2340799566.2208004</v>
      </c>
      <c r="G59" s="61">
        <f>F59-E59</f>
        <v>1645812669.2208004</v>
      </c>
      <c r="H59" s="75"/>
      <c r="I59" s="75"/>
      <c r="J59" s="61">
        <f t="shared" si="0"/>
        <v>2340799566.2208004</v>
      </c>
      <c r="K59" s="76">
        <v>200000000</v>
      </c>
      <c r="L59" s="101">
        <v>2000000000</v>
      </c>
      <c r="M59" s="61">
        <v>6020575016</v>
      </c>
      <c r="N59" s="76">
        <v>77768272</v>
      </c>
      <c r="O59" s="65">
        <f>ROUND(IF(K59=0,E59/L59*100,N59/K59*100),2)</f>
        <v>38.880000000000003</v>
      </c>
      <c r="P59" s="66"/>
      <c r="Q59" s="2">
        <v>694986897</v>
      </c>
      <c r="R59" s="2">
        <f>E59-Q59</f>
        <v>0</v>
      </c>
      <c r="S59" s="3">
        <v>77768272</v>
      </c>
      <c r="T59" s="3">
        <f>N59-S59</f>
        <v>0</v>
      </c>
    </row>
    <row r="60" spans="1:21" ht="16.350000000000001" customHeight="1">
      <c r="A60" s="1" t="s">
        <v>118</v>
      </c>
      <c r="B60" s="184" t="s">
        <v>420</v>
      </c>
      <c r="C60" s="72" t="s">
        <v>333</v>
      </c>
      <c r="D60" s="60" t="s">
        <v>338</v>
      </c>
      <c r="E60" s="61">
        <v>2212950740</v>
      </c>
      <c r="F60" s="61">
        <f>M60*O60/100</f>
        <v>2126798921.2454998</v>
      </c>
      <c r="G60" s="61">
        <f>F60-E60</f>
        <v>-86151818.754500151</v>
      </c>
      <c r="H60" s="75"/>
      <c r="I60" s="75"/>
      <c r="J60" s="61">
        <f t="shared" si="0"/>
        <v>2126798921.2454998</v>
      </c>
      <c r="K60" s="76">
        <v>743565179</v>
      </c>
      <c r="L60" s="106">
        <v>7435651790</v>
      </c>
      <c r="M60" s="61">
        <v>6335415315</v>
      </c>
      <c r="N60" s="76">
        <v>249612540</v>
      </c>
      <c r="O60" s="65">
        <f>ROUND(IF(K60=0,E60/L60*100,N60/K60*100),2)</f>
        <v>33.57</v>
      </c>
      <c r="P60" s="66"/>
      <c r="Q60" s="2">
        <v>2212950740</v>
      </c>
      <c r="R60" s="2">
        <f>E60-Q60</f>
        <v>0</v>
      </c>
      <c r="S60" s="3">
        <v>249612540</v>
      </c>
      <c r="T60" s="3">
        <f>N60-S60</f>
        <v>0</v>
      </c>
    </row>
    <row r="61" spans="1:21" ht="20.65" customHeight="1">
      <c r="B61" s="184"/>
      <c r="C61" s="50" t="s">
        <v>339</v>
      </c>
      <c r="D61" s="73"/>
      <c r="E61" s="52">
        <f>SUM(E62:E62)</f>
        <v>378000000</v>
      </c>
      <c r="F61" s="52">
        <f>SUM(F62:F62)</f>
        <v>396038255.13340002</v>
      </c>
      <c r="G61" s="40">
        <f>SUM(G62:G62)</f>
        <v>18038255.133400023</v>
      </c>
      <c r="H61" s="53"/>
      <c r="I61" s="53"/>
      <c r="J61" s="40">
        <f>E61+G61+I61</f>
        <v>396038255.13340002</v>
      </c>
      <c r="K61" s="85"/>
      <c r="L61" s="52"/>
      <c r="M61" s="52"/>
      <c r="N61" s="70">
        <f>SUM(N62:N62)</f>
        <v>10800</v>
      </c>
      <c r="O61" s="71"/>
      <c r="P61" s="58"/>
    </row>
    <row r="62" spans="1:21" ht="20.65" customHeight="1">
      <c r="A62" s="1" t="s">
        <v>340</v>
      </c>
      <c r="B62" s="184" t="s">
        <v>420</v>
      </c>
      <c r="C62" s="108" t="s">
        <v>341</v>
      </c>
      <c r="D62" s="60" t="s">
        <v>342</v>
      </c>
      <c r="E62" s="61">
        <v>378000000</v>
      </c>
      <c r="F62" s="61">
        <f>M62*O62/100</f>
        <v>396038255.13340002</v>
      </c>
      <c r="G62" s="61">
        <f>F62-E62</f>
        <v>18038255.133400023</v>
      </c>
      <c r="H62" s="62"/>
      <c r="I62" s="62"/>
      <c r="J62" s="61">
        <f>E62+G62+I62</f>
        <v>396038255.13340002</v>
      </c>
      <c r="K62" s="76">
        <v>10800</v>
      </c>
      <c r="L62" s="101"/>
      <c r="M62" s="61">
        <f>13285416.14*29.81</f>
        <v>396038255.13340002</v>
      </c>
      <c r="N62" s="64">
        <v>10800</v>
      </c>
      <c r="O62" s="65">
        <f>ROUND(IF(K62=0,E62/L62*100,N62/K62*100),2)</f>
        <v>100</v>
      </c>
      <c r="P62" s="66"/>
      <c r="Q62" s="2">
        <v>14035000</v>
      </c>
      <c r="R62" s="2">
        <f>E62-Q62</f>
        <v>363965000</v>
      </c>
      <c r="S62" s="3">
        <v>10025</v>
      </c>
      <c r="T62" s="3">
        <f>N62-S62</f>
        <v>775</v>
      </c>
    </row>
    <row r="63" spans="1:21" s="49" customFormat="1" ht="22.15" customHeight="1">
      <c r="A63" s="1"/>
      <c r="B63" s="184"/>
      <c r="C63" s="50" t="s">
        <v>343</v>
      </c>
      <c r="D63" s="79"/>
      <c r="E63" s="52">
        <f>E64</f>
        <v>8</v>
      </c>
      <c r="F63" s="80">
        <f>F64</f>
        <v>15470024.350740001</v>
      </c>
      <c r="G63" s="80">
        <f>G64</f>
        <v>15470016.350740001</v>
      </c>
      <c r="H63" s="80"/>
      <c r="I63" s="80"/>
      <c r="J63" s="40">
        <f>J64</f>
        <v>15470024.350740001</v>
      </c>
      <c r="K63" s="81"/>
      <c r="L63" s="82"/>
      <c r="M63" s="82"/>
      <c r="N63" s="188">
        <f>N64</f>
        <v>2</v>
      </c>
      <c r="O63" s="71"/>
      <c r="P63" s="109"/>
      <c r="Q63" s="96"/>
      <c r="R63" s="96"/>
      <c r="S63" s="96"/>
      <c r="T63" s="96"/>
    </row>
    <row r="64" spans="1:21" s="49" customFormat="1" ht="22.15" customHeight="1">
      <c r="A64" s="1" t="s">
        <v>344</v>
      </c>
      <c r="B64" s="184" t="s">
        <v>420</v>
      </c>
      <c r="C64" s="59" t="s">
        <v>345</v>
      </c>
      <c r="D64" s="60" t="s">
        <v>346</v>
      </c>
      <c r="E64" s="61">
        <v>8</v>
      </c>
      <c r="F64" s="61">
        <f>M64*O64/100</f>
        <v>15470024.350740001</v>
      </c>
      <c r="G64" s="61">
        <f>F64-E64</f>
        <v>15470016.350740001</v>
      </c>
      <c r="H64" s="62"/>
      <c r="I64" s="62"/>
      <c r="J64" s="61">
        <f>E64+G64+I64</f>
        <v>15470024.350740001</v>
      </c>
      <c r="K64" s="76">
        <v>2</v>
      </c>
      <c r="L64" s="63"/>
      <c r="M64" s="63">
        <f>4031802.02*3.837</f>
        <v>15470024.350740001</v>
      </c>
      <c r="N64" s="64">
        <v>2</v>
      </c>
      <c r="O64" s="65">
        <f>ROUND(IF(K64=0,E64/L64*100,N64/K64*100),2)</f>
        <v>100</v>
      </c>
      <c r="P64" s="66"/>
      <c r="Q64" s="96"/>
      <c r="R64" s="96"/>
      <c r="S64" s="96"/>
      <c r="T64" s="96"/>
    </row>
    <row r="65" spans="1:21" ht="20.65" customHeight="1">
      <c r="B65" s="184"/>
      <c r="C65" s="50" t="s">
        <v>347</v>
      </c>
      <c r="D65" s="73"/>
      <c r="E65" s="52">
        <f>SUM(E66:E70)</f>
        <v>18551173958</v>
      </c>
      <c r="F65" s="52">
        <f>SUM(F66:F70)</f>
        <v>137314065332.77998</v>
      </c>
      <c r="G65" s="40">
        <f>SUM(G66:G70)</f>
        <v>118762891374.77998</v>
      </c>
      <c r="H65" s="53"/>
      <c r="I65" s="53"/>
      <c r="J65" s="40">
        <f t="shared" si="0"/>
        <v>137314065332.77998</v>
      </c>
      <c r="K65" s="85"/>
      <c r="L65" s="52"/>
      <c r="M65" s="52"/>
      <c r="N65" s="70">
        <f>SUM(N66:N70)</f>
        <v>3347337727</v>
      </c>
      <c r="O65" s="71"/>
      <c r="P65" s="58"/>
    </row>
    <row r="66" spans="1:21" ht="20.65" customHeight="1">
      <c r="A66" s="1" t="s">
        <v>348</v>
      </c>
      <c r="B66" s="184" t="s">
        <v>420</v>
      </c>
      <c r="C66" s="72" t="s">
        <v>349</v>
      </c>
      <c r="D66" s="60" t="s">
        <v>350</v>
      </c>
      <c r="E66" s="61">
        <v>12623674028</v>
      </c>
      <c r="F66" s="86">
        <f>ROUND(M66*O66/100,2)</f>
        <v>128773211490.75999</v>
      </c>
      <c r="G66" s="61">
        <f>F66-E66</f>
        <v>116149537462.75999</v>
      </c>
      <c r="H66" s="75"/>
      <c r="I66" s="75"/>
      <c r="J66" s="61">
        <f t="shared" si="0"/>
        <v>128773211490.75999</v>
      </c>
      <c r="K66" s="76">
        <v>7757446545</v>
      </c>
      <c r="L66" s="61"/>
      <c r="M66" s="61">
        <v>364884531000</v>
      </c>
      <c r="N66" s="64">
        <v>2737718976</v>
      </c>
      <c r="O66" s="65">
        <f>IF(K66=0,E66/L66*100,N66/K66*100)</f>
        <v>35.291496501056457</v>
      </c>
      <c r="P66" s="66"/>
      <c r="Q66" s="2">
        <v>12623674028</v>
      </c>
      <c r="R66" s="2">
        <f>E66-Q66</f>
        <v>0</v>
      </c>
      <c r="S66" s="3">
        <v>2737718976</v>
      </c>
      <c r="T66" s="3">
        <f>N66-S66</f>
        <v>0</v>
      </c>
    </row>
    <row r="67" spans="1:21" ht="20.65" customHeight="1">
      <c r="A67" s="1" t="s">
        <v>129</v>
      </c>
      <c r="B67" s="184" t="s">
        <v>420</v>
      </c>
      <c r="C67" s="72" t="s">
        <v>349</v>
      </c>
      <c r="D67" s="60" t="s">
        <v>351</v>
      </c>
      <c r="E67" s="61">
        <v>5007388710</v>
      </c>
      <c r="F67" s="86">
        <f>ROUND(M67*O67/100,2)</f>
        <v>5291524746.1999998</v>
      </c>
      <c r="G67" s="61">
        <f>F67-E67</f>
        <v>284136036.19999981</v>
      </c>
      <c r="H67" s="75"/>
      <c r="I67" s="75"/>
      <c r="J67" s="61">
        <f t="shared" si="0"/>
        <v>5291524746.1999998</v>
      </c>
      <c r="K67" s="76">
        <v>2323024791</v>
      </c>
      <c r="L67" s="61"/>
      <c r="M67" s="61">
        <v>26283528958</v>
      </c>
      <c r="N67" s="64">
        <v>467682372</v>
      </c>
      <c r="O67" s="65">
        <f>IF(K67=0,E67/L67*100,N67/K67*100)</f>
        <v>20.132474427820256</v>
      </c>
      <c r="P67" s="66"/>
      <c r="Q67" s="2">
        <v>5007388710</v>
      </c>
      <c r="R67" s="2">
        <f>E67-Q67</f>
        <v>0</v>
      </c>
      <c r="S67" s="3">
        <v>1000842140</v>
      </c>
      <c r="T67" s="3">
        <f>N67-S67</f>
        <v>-533159768</v>
      </c>
    </row>
    <row r="68" spans="1:21" s="110" customFormat="1" ht="20.65" customHeight="1">
      <c r="A68" s="1" t="s">
        <v>131</v>
      </c>
      <c r="B68" s="184" t="s">
        <v>420</v>
      </c>
      <c r="C68" s="72" t="s">
        <v>349</v>
      </c>
      <c r="D68" s="60" t="s">
        <v>352</v>
      </c>
      <c r="E68" s="61">
        <v>315000000</v>
      </c>
      <c r="F68" s="86">
        <f>ROUND(M68*O68/100,2)</f>
        <v>720628146.45000005</v>
      </c>
      <c r="G68" s="61">
        <f>F68-E68</f>
        <v>405628146.45000005</v>
      </c>
      <c r="H68" s="62"/>
      <c r="I68" s="62"/>
      <c r="J68" s="61">
        <f t="shared" si="0"/>
        <v>720628146.45000005</v>
      </c>
      <c r="K68" s="76">
        <v>70000000</v>
      </c>
      <c r="L68" s="101"/>
      <c r="M68" s="61">
        <v>1601395881</v>
      </c>
      <c r="N68" s="64">
        <v>31500000</v>
      </c>
      <c r="O68" s="65">
        <f>IF(K68=0,E68/L68*100,N68/K68*100)</f>
        <v>45</v>
      </c>
      <c r="P68" s="66"/>
      <c r="Q68" s="2">
        <v>315000000</v>
      </c>
      <c r="R68" s="2">
        <f>E68-Q68</f>
        <v>0</v>
      </c>
      <c r="S68" s="3">
        <v>31500000</v>
      </c>
      <c r="T68" s="3">
        <f>N68-S68</f>
        <v>0</v>
      </c>
      <c r="U68" s="99"/>
    </row>
    <row r="69" spans="1:21" ht="20.65" customHeight="1">
      <c r="A69" s="1" t="s">
        <v>133</v>
      </c>
      <c r="B69" s="184" t="s">
        <v>420</v>
      </c>
      <c r="C69" s="72" t="s">
        <v>349</v>
      </c>
      <c r="D69" s="60" t="s">
        <v>353</v>
      </c>
      <c r="E69" s="61">
        <v>605111220</v>
      </c>
      <c r="F69" s="86">
        <f>ROUND(M69*O69/100,2)</f>
        <v>2528700949.3699999</v>
      </c>
      <c r="G69" s="61">
        <f>F69-E69</f>
        <v>1923589729.3699999</v>
      </c>
      <c r="H69" s="62"/>
      <c r="I69" s="62"/>
      <c r="J69" s="61">
        <f t="shared" si="0"/>
        <v>2528700949.3699999</v>
      </c>
      <c r="K69" s="76">
        <v>417294487</v>
      </c>
      <c r="L69" s="101"/>
      <c r="M69" s="61">
        <v>9554939912</v>
      </c>
      <c r="N69" s="64">
        <v>110436379</v>
      </c>
      <c r="O69" s="65">
        <f>IF(K69=0,E69/L69*100,N69/K69*100)</f>
        <v>26.464854542878253</v>
      </c>
      <c r="P69" s="66"/>
      <c r="Q69" s="2">
        <v>605109820</v>
      </c>
      <c r="R69" s="2">
        <f>E69-Q69</f>
        <v>1400</v>
      </c>
      <c r="S69" s="3">
        <v>110436379</v>
      </c>
      <c r="T69" s="3">
        <f>N69-S69</f>
        <v>0</v>
      </c>
    </row>
    <row r="70" spans="1:21" ht="20.65" hidden="1" customHeight="1">
      <c r="B70" s="184"/>
      <c r="C70" s="72" t="s">
        <v>349</v>
      </c>
      <c r="D70" s="111" t="s">
        <v>354</v>
      </c>
      <c r="E70" s="69"/>
      <c r="F70" s="69"/>
      <c r="G70" s="69"/>
      <c r="H70" s="39"/>
      <c r="I70" s="39"/>
      <c r="J70" s="69"/>
      <c r="K70" s="94"/>
      <c r="L70" s="112"/>
      <c r="M70" s="69"/>
      <c r="N70" s="74"/>
      <c r="O70" s="71"/>
      <c r="P70" s="113"/>
    </row>
    <row r="71" spans="1:21" ht="20.65" customHeight="1">
      <c r="B71" s="184"/>
      <c r="C71" s="50" t="s">
        <v>355</v>
      </c>
      <c r="D71" s="73"/>
      <c r="E71" s="52">
        <f>SUM(E72:E74)</f>
        <v>14953991530</v>
      </c>
      <c r="F71" s="52">
        <f>SUM(F72:F74)-0.01</f>
        <v>23428294971.450081</v>
      </c>
      <c r="G71" s="40">
        <f>SUM(G72:G74)-0.01</f>
        <v>8474303441.450079</v>
      </c>
      <c r="H71" s="39"/>
      <c r="I71" s="39"/>
      <c r="J71" s="40">
        <f t="shared" si="0"/>
        <v>23428294971.450081</v>
      </c>
      <c r="K71" s="85"/>
      <c r="L71" s="114"/>
      <c r="M71" s="52"/>
      <c r="N71" s="70">
        <f>SUM(N72:N74)</f>
        <v>1189764796</v>
      </c>
      <c r="O71" s="71"/>
      <c r="P71" s="58"/>
    </row>
    <row r="72" spans="1:21">
      <c r="A72" s="1" t="s">
        <v>356</v>
      </c>
      <c r="B72" s="184" t="s">
        <v>420</v>
      </c>
      <c r="C72" s="72" t="s">
        <v>357</v>
      </c>
      <c r="D72" s="60" t="s">
        <v>358</v>
      </c>
      <c r="E72" s="86">
        <v>43200000</v>
      </c>
      <c r="F72" s="86">
        <f>M72*O72/100</f>
        <v>104366540.2124431</v>
      </c>
      <c r="G72" s="61">
        <f>F72-E72</f>
        <v>61166540.212443098</v>
      </c>
      <c r="H72" s="75"/>
      <c r="I72" s="75"/>
      <c r="J72" s="61">
        <f t="shared" si="0"/>
        <v>104366540.2124431</v>
      </c>
      <c r="K72" s="76">
        <v>94896</v>
      </c>
      <c r="L72" s="61">
        <v>189792000</v>
      </c>
      <c r="M72" s="187">
        <v>458517000</v>
      </c>
      <c r="N72" s="115">
        <v>21600</v>
      </c>
      <c r="O72" s="65">
        <f>IF(K72=0,E72/L72*100,N72/K72*100)</f>
        <v>22.761760242792111</v>
      </c>
      <c r="P72" s="66"/>
      <c r="Q72" s="2">
        <v>43200000</v>
      </c>
      <c r="R72" s="2">
        <f>E72-Q72</f>
        <v>0</v>
      </c>
      <c r="S72" s="3">
        <v>21600</v>
      </c>
      <c r="T72" s="3">
        <f>N72-S72</f>
        <v>0</v>
      </c>
    </row>
    <row r="73" spans="1:21" ht="20.65" customHeight="1">
      <c r="A73" s="1" t="s">
        <v>140</v>
      </c>
      <c r="B73" s="184" t="s">
        <v>420</v>
      </c>
      <c r="C73" s="72" t="s">
        <v>357</v>
      </c>
      <c r="D73" s="60" t="s">
        <v>359</v>
      </c>
      <c r="E73" s="86">
        <v>1110791530</v>
      </c>
      <c r="F73" s="86">
        <f>M73*O73/100</f>
        <v>11813238118.044226</v>
      </c>
      <c r="G73" s="61">
        <f>F73-E73</f>
        <v>10702446588.044226</v>
      </c>
      <c r="H73" s="75"/>
      <c r="I73" s="75"/>
      <c r="J73" s="61">
        <f t="shared" si="0"/>
        <v>11813238118.044226</v>
      </c>
      <c r="K73" s="76">
        <v>980000000</v>
      </c>
      <c r="L73" s="61">
        <v>9800000000</v>
      </c>
      <c r="M73" s="187">
        <v>49078601112.949997</v>
      </c>
      <c r="N73" s="115">
        <v>235886376</v>
      </c>
      <c r="O73" s="65">
        <f>IF(K73=0,E73/L73*100,N73/K73*100)</f>
        <v>24.070038367346939</v>
      </c>
      <c r="P73" s="66"/>
      <c r="Q73" s="2">
        <v>1110791530</v>
      </c>
      <c r="R73" s="2">
        <f>E73-Q73</f>
        <v>0</v>
      </c>
      <c r="S73" s="3">
        <v>235886376</v>
      </c>
      <c r="T73" s="3">
        <f>N73-S73</f>
        <v>0</v>
      </c>
    </row>
    <row r="74" spans="1:21" s="105" customFormat="1">
      <c r="A74" s="1" t="s">
        <v>142</v>
      </c>
      <c r="B74" s="184" t="s">
        <v>420</v>
      </c>
      <c r="C74" s="72" t="s">
        <v>357</v>
      </c>
      <c r="D74" s="60" t="s">
        <v>360</v>
      </c>
      <c r="E74" s="86">
        <v>13800000000</v>
      </c>
      <c r="F74" s="86">
        <f>M74*O74/100</f>
        <v>11510690313.203411</v>
      </c>
      <c r="G74" s="61">
        <f>F74-E74</f>
        <v>-2289309686.7965889</v>
      </c>
      <c r="H74" s="75"/>
      <c r="I74" s="75"/>
      <c r="J74" s="61">
        <f t="shared" si="0"/>
        <v>11510690313.203411</v>
      </c>
      <c r="K74" s="76">
        <v>2385797440</v>
      </c>
      <c r="L74" s="61">
        <v>23857974400</v>
      </c>
      <c r="M74" s="187">
        <v>28790668479.860001</v>
      </c>
      <c r="N74" s="115">
        <v>953856820</v>
      </c>
      <c r="O74" s="65">
        <f>IF(K74=0,E74/L74*100,N74/K74*100)</f>
        <v>39.980628866799357</v>
      </c>
      <c r="P74" s="66"/>
      <c r="Q74" s="102">
        <v>13800000000</v>
      </c>
      <c r="R74" s="2">
        <f>E74-Q74</f>
        <v>0</v>
      </c>
      <c r="S74" s="103">
        <v>930216938</v>
      </c>
      <c r="T74" s="3">
        <f>N74-S74</f>
        <v>23639882</v>
      </c>
      <c r="U74" s="104"/>
    </row>
    <row r="75" spans="1:21" ht="19.5" customHeight="1">
      <c r="B75" s="184"/>
      <c r="C75" s="36" t="s">
        <v>361</v>
      </c>
      <c r="D75" s="37"/>
      <c r="E75" s="38">
        <f>E76</f>
        <v>4897084789.9099998</v>
      </c>
      <c r="F75" s="116">
        <f>F76</f>
        <v>4897084789.9099998</v>
      </c>
      <c r="G75" s="116">
        <f>G76</f>
        <v>0</v>
      </c>
      <c r="H75" s="69"/>
      <c r="I75" s="69"/>
      <c r="J75" s="40">
        <f t="shared" si="0"/>
        <v>4897084789.9099998</v>
      </c>
      <c r="K75" s="117"/>
      <c r="L75" s="118"/>
      <c r="M75" s="118"/>
      <c r="N75" s="42">
        <f>N76</f>
        <v>181111216</v>
      </c>
      <c r="O75" s="43"/>
      <c r="P75" s="58"/>
    </row>
    <row r="76" spans="1:21" s="49" customFormat="1" ht="22.15" customHeight="1">
      <c r="A76" s="1"/>
      <c r="B76" s="184"/>
      <c r="C76" s="45" t="s">
        <v>362</v>
      </c>
      <c r="D76" s="46"/>
      <c r="E76" s="38">
        <f>E77+E81+E83</f>
        <v>4897084789.9099998</v>
      </c>
      <c r="F76" s="119">
        <f>F77+F81+F83</f>
        <v>4897084789.9099998</v>
      </c>
      <c r="G76" s="119">
        <f>G77+G81+G83</f>
        <v>0</v>
      </c>
      <c r="H76" s="53"/>
      <c r="I76" s="53"/>
      <c r="J76" s="40">
        <f t="shared" si="0"/>
        <v>4897084789.9099998</v>
      </c>
      <c r="K76" s="81"/>
      <c r="L76" s="68"/>
      <c r="M76" s="68"/>
      <c r="N76" s="42">
        <f>N77+N81+N83</f>
        <v>181111216</v>
      </c>
      <c r="O76" s="41"/>
      <c r="P76" s="58"/>
      <c r="Q76" s="2"/>
      <c r="R76" s="2"/>
      <c r="S76" s="3"/>
      <c r="T76" s="3"/>
      <c r="U76" s="4"/>
    </row>
    <row r="77" spans="1:21" s="49" customFormat="1" ht="22.15" customHeight="1">
      <c r="A77" s="1"/>
      <c r="B77" s="184"/>
      <c r="C77" s="50" t="s">
        <v>363</v>
      </c>
      <c r="D77" s="79"/>
      <c r="E77" s="52">
        <f>SUM(E78:E80)</f>
        <v>3608084789.9099998</v>
      </c>
      <c r="F77" s="80">
        <f>SUM(F78:F80)</f>
        <v>3608084789.9099998</v>
      </c>
      <c r="G77" s="80">
        <f>SUM(G78:G80)</f>
        <v>0</v>
      </c>
      <c r="H77" s="80"/>
      <c r="I77" s="80"/>
      <c r="J77" s="40">
        <f t="shared" si="0"/>
        <v>3608084789.9099998</v>
      </c>
      <c r="K77" s="81"/>
      <c r="L77" s="82"/>
      <c r="M77" s="82"/>
      <c r="N77" s="56">
        <f>SUM(N78:N80)</f>
        <v>782645</v>
      </c>
      <c r="O77" s="71"/>
      <c r="P77" s="58"/>
      <c r="Q77" s="2"/>
      <c r="R77" s="2"/>
      <c r="S77" s="3"/>
      <c r="T77" s="3"/>
      <c r="U77" s="4"/>
    </row>
    <row r="78" spans="1:21" s="49" customFormat="1">
      <c r="A78" s="1" t="s">
        <v>364</v>
      </c>
      <c r="B78" s="184" t="s">
        <v>420</v>
      </c>
      <c r="C78" s="72" t="s">
        <v>365</v>
      </c>
      <c r="D78" s="60" t="s">
        <v>366</v>
      </c>
      <c r="E78" s="61">
        <v>1325187294</v>
      </c>
      <c r="F78" s="61">
        <v>1325187294</v>
      </c>
      <c r="G78" s="61">
        <v>0</v>
      </c>
      <c r="H78" s="61"/>
      <c r="I78" s="61"/>
      <c r="J78" s="61">
        <f t="shared" si="0"/>
        <v>1325187294</v>
      </c>
      <c r="K78" s="76">
        <v>500000</v>
      </c>
      <c r="L78" s="61"/>
      <c r="M78" s="61"/>
      <c r="N78" s="64">
        <v>50000</v>
      </c>
      <c r="O78" s="65">
        <f t="shared" ref="O78:O84" si="15">ROUND(IF(K78=0,E78/L78*100,N78/K78*100),2)</f>
        <v>10</v>
      </c>
      <c r="P78" s="120"/>
      <c r="Q78" s="2">
        <v>1294367237</v>
      </c>
      <c r="R78" s="2">
        <f>E78-Q78</f>
        <v>30820057</v>
      </c>
      <c r="S78" s="3">
        <v>50000</v>
      </c>
      <c r="T78" s="3">
        <f>N78-S78</f>
        <v>0</v>
      </c>
      <c r="U78" s="4"/>
    </row>
    <row r="79" spans="1:21" s="49" customFormat="1" ht="22.15" customHeight="1">
      <c r="A79" s="1" t="s">
        <v>148</v>
      </c>
      <c r="B79" s="184" t="s">
        <v>420</v>
      </c>
      <c r="C79" s="72" t="s">
        <v>365</v>
      </c>
      <c r="D79" s="60" t="s">
        <v>367</v>
      </c>
      <c r="E79" s="61">
        <v>2270758565.9099998</v>
      </c>
      <c r="F79" s="61">
        <v>2270758565.9099998</v>
      </c>
      <c r="G79" s="61">
        <v>0</v>
      </c>
      <c r="H79" s="61"/>
      <c r="I79" s="61"/>
      <c r="J79" s="61">
        <f t="shared" si="0"/>
        <v>2270758565.9099998</v>
      </c>
      <c r="K79" s="76">
        <v>10614853</v>
      </c>
      <c r="L79" s="61"/>
      <c r="M79" s="61"/>
      <c r="N79" s="64">
        <v>115620</v>
      </c>
      <c r="O79" s="65">
        <f t="shared" si="15"/>
        <v>1.0900000000000001</v>
      </c>
      <c r="P79" s="120"/>
      <c r="Q79" s="2">
        <v>2270758565.9099998</v>
      </c>
      <c r="R79" s="2">
        <f>E79-Q79</f>
        <v>0</v>
      </c>
      <c r="S79" s="3">
        <v>115620</v>
      </c>
      <c r="T79" s="3">
        <f>N79-S79</f>
        <v>0</v>
      </c>
      <c r="U79" s="4"/>
    </row>
    <row r="80" spans="1:21" s="49" customFormat="1">
      <c r="A80" s="1" t="s">
        <v>150</v>
      </c>
      <c r="B80" s="184" t="s">
        <v>420</v>
      </c>
      <c r="C80" s="72" t="s">
        <v>365</v>
      </c>
      <c r="D80" s="60" t="s">
        <v>368</v>
      </c>
      <c r="E80" s="61">
        <v>12138930</v>
      </c>
      <c r="F80" s="61">
        <v>12138930</v>
      </c>
      <c r="G80" s="61">
        <v>0</v>
      </c>
      <c r="H80" s="61"/>
      <c r="I80" s="61"/>
      <c r="J80" s="61">
        <f t="shared" si="0"/>
        <v>12138930</v>
      </c>
      <c r="K80" s="76">
        <v>132164604</v>
      </c>
      <c r="L80" s="61">
        <v>1321646040</v>
      </c>
      <c r="M80" s="61"/>
      <c r="N80" s="64">
        <v>617025</v>
      </c>
      <c r="O80" s="65">
        <f t="shared" si="15"/>
        <v>0.47</v>
      </c>
      <c r="P80" s="120"/>
      <c r="Q80" s="2">
        <v>12138930</v>
      </c>
      <c r="R80" s="2">
        <f>E80-Q80</f>
        <v>0</v>
      </c>
      <c r="S80" s="3">
        <v>617025</v>
      </c>
      <c r="T80" s="3">
        <f>N80-S80</f>
        <v>0</v>
      </c>
      <c r="U80" s="4"/>
    </row>
    <row r="81" spans="1:21" s="49" customFormat="1" ht="22.15" customHeight="1">
      <c r="A81" s="1"/>
      <c r="B81" s="184"/>
      <c r="C81" s="50" t="s">
        <v>369</v>
      </c>
      <c r="D81" s="79"/>
      <c r="E81" s="52">
        <f>SUM(E82)</f>
        <v>89000000</v>
      </c>
      <c r="F81" s="80">
        <f>F82</f>
        <v>89000000</v>
      </c>
      <c r="G81" s="80">
        <v>0</v>
      </c>
      <c r="H81" s="80"/>
      <c r="I81" s="80"/>
      <c r="J81" s="40">
        <f t="shared" ref="J81:J157" si="16">E81+G81+I81</f>
        <v>89000000</v>
      </c>
      <c r="K81" s="81"/>
      <c r="L81" s="82"/>
      <c r="M81" s="82"/>
      <c r="N81" s="56">
        <f>N82</f>
        <v>8900000</v>
      </c>
      <c r="O81" s="71"/>
      <c r="P81" s="109"/>
      <c r="Q81" s="2"/>
      <c r="R81" s="2"/>
      <c r="S81" s="3"/>
      <c r="T81" s="3"/>
      <c r="U81" s="4"/>
    </row>
    <row r="82" spans="1:21" s="110" customFormat="1" ht="18.600000000000001" customHeight="1">
      <c r="A82" s="121" t="s">
        <v>370</v>
      </c>
      <c r="B82" s="184" t="s">
        <v>420</v>
      </c>
      <c r="C82" s="72" t="s">
        <v>371</v>
      </c>
      <c r="D82" s="60" t="s">
        <v>372</v>
      </c>
      <c r="E82" s="61">
        <v>89000000</v>
      </c>
      <c r="F82" s="61">
        <v>89000000</v>
      </c>
      <c r="G82" s="61">
        <v>0</v>
      </c>
      <c r="H82" s="61"/>
      <c r="I82" s="61"/>
      <c r="J82" s="61">
        <f>E82+G82+I82</f>
        <v>89000000</v>
      </c>
      <c r="K82" s="76">
        <v>168900000</v>
      </c>
      <c r="L82" s="61">
        <v>1689000000</v>
      </c>
      <c r="M82" s="61"/>
      <c r="N82" s="76">
        <v>8900000</v>
      </c>
      <c r="O82" s="65">
        <f t="shared" si="15"/>
        <v>5.27</v>
      </c>
      <c r="P82" s="120"/>
      <c r="Q82" s="2">
        <v>89000000</v>
      </c>
      <c r="R82" s="2">
        <f>E82-Q82</f>
        <v>0</v>
      </c>
      <c r="S82" s="3">
        <v>8900000</v>
      </c>
      <c r="T82" s="3">
        <f>N82-S82</f>
        <v>0</v>
      </c>
      <c r="U82" s="99"/>
    </row>
    <row r="83" spans="1:21" s="49" customFormat="1" ht="22.15" customHeight="1">
      <c r="A83" s="1"/>
      <c r="B83" s="184"/>
      <c r="C83" s="50" t="s">
        <v>347</v>
      </c>
      <c r="D83" s="79"/>
      <c r="E83" s="52">
        <f>SUM(E84)</f>
        <v>1200000000</v>
      </c>
      <c r="F83" s="80">
        <f>SUM(F84)</f>
        <v>1200000000</v>
      </c>
      <c r="G83" s="80">
        <f>SUM(G84)</f>
        <v>0</v>
      </c>
      <c r="H83" s="80"/>
      <c r="I83" s="80"/>
      <c r="J83" s="40">
        <f t="shared" si="16"/>
        <v>1200000000</v>
      </c>
      <c r="K83" s="81"/>
      <c r="L83" s="82"/>
      <c r="M83" s="82"/>
      <c r="N83" s="56">
        <f>N84</f>
        <v>171428571</v>
      </c>
      <c r="O83" s="71"/>
      <c r="P83" s="109"/>
      <c r="Q83" s="2"/>
      <c r="R83" s="2"/>
      <c r="S83" s="3"/>
      <c r="T83" s="3"/>
      <c r="U83" s="4"/>
    </row>
    <row r="84" spans="1:21" s="110" customFormat="1" ht="19.350000000000001" customHeight="1">
      <c r="A84" s="121" t="s">
        <v>373</v>
      </c>
      <c r="B84" s="184" t="s">
        <v>420</v>
      </c>
      <c r="C84" s="72" t="s">
        <v>349</v>
      </c>
      <c r="D84" s="60" t="s">
        <v>374</v>
      </c>
      <c r="E84" s="61">
        <v>1200000000</v>
      </c>
      <c r="F84" s="61">
        <v>1200000000</v>
      </c>
      <c r="G84" s="61">
        <v>0</v>
      </c>
      <c r="H84" s="61"/>
      <c r="I84" s="61"/>
      <c r="J84" s="61">
        <f t="shared" si="16"/>
        <v>1200000000</v>
      </c>
      <c r="K84" s="64">
        <v>1000000000</v>
      </c>
      <c r="L84" s="61"/>
      <c r="M84" s="61"/>
      <c r="N84" s="64">
        <v>171428571</v>
      </c>
      <c r="O84" s="65">
        <f t="shared" si="15"/>
        <v>17.14</v>
      </c>
      <c r="P84" s="120"/>
      <c r="Q84" s="2">
        <v>1200000000</v>
      </c>
      <c r="R84" s="2">
        <f>E84-Q84</f>
        <v>0</v>
      </c>
      <c r="S84" s="3">
        <v>160356000</v>
      </c>
      <c r="T84" s="3">
        <f>N84-S84</f>
        <v>11072571</v>
      </c>
      <c r="U84" s="99"/>
    </row>
    <row r="85" spans="1:21" ht="19.5" customHeight="1">
      <c r="B85" s="184"/>
      <c r="C85" s="36" t="s">
        <v>375</v>
      </c>
      <c r="D85" s="122"/>
      <c r="E85" s="38">
        <f>E86+E155</f>
        <v>1532804687038.72</v>
      </c>
      <c r="F85" s="38">
        <f>F86+F155</f>
        <v>2505419492934.0859</v>
      </c>
      <c r="G85" s="38">
        <f>G86+G155</f>
        <v>972614805895.36584</v>
      </c>
      <c r="H85" s="123"/>
      <c r="I85" s="123"/>
      <c r="J85" s="40">
        <f t="shared" si="16"/>
        <v>2505419492934.0859</v>
      </c>
      <c r="K85" s="124"/>
      <c r="L85" s="125"/>
      <c r="M85" s="126"/>
      <c r="N85" s="127"/>
      <c r="O85" s="128"/>
      <c r="P85" s="109"/>
    </row>
    <row r="86" spans="1:21" s="49" customFormat="1" ht="22.15" customHeight="1">
      <c r="A86" s="1"/>
      <c r="B86" s="184"/>
      <c r="C86" s="45" t="s">
        <v>376</v>
      </c>
      <c r="D86" s="46"/>
      <c r="E86" s="38">
        <f>E87+E93+E96+E99+E102+E120+E122+E125+E152+E131+E147+E133+E135+E91+E141</f>
        <v>1532704687038.72</v>
      </c>
      <c r="F86" s="38">
        <f>F87+F93+F96+F99+F102+F120+F122+F125+F152+F131+F147+F133+F135+F91+F141</f>
        <v>2488444516004.396</v>
      </c>
      <c r="G86" s="38">
        <f>G87+G93+G96+G99+G102+G120+G122+G125+G152+G131+G147+G133+G135+G91+G141</f>
        <v>955739828965.6759</v>
      </c>
      <c r="H86" s="123"/>
      <c r="I86" s="123"/>
      <c r="J86" s="40">
        <f t="shared" si="16"/>
        <v>2488444516004.396</v>
      </c>
      <c r="K86" s="81"/>
      <c r="L86" s="68"/>
      <c r="M86" s="68"/>
      <c r="N86" s="56"/>
      <c r="O86" s="41"/>
      <c r="P86" s="109"/>
      <c r="Q86" s="2"/>
      <c r="R86" s="2"/>
      <c r="S86" s="3"/>
      <c r="T86" s="3"/>
      <c r="U86" s="4"/>
    </row>
    <row r="87" spans="1:21" s="49" customFormat="1" ht="22.15" customHeight="1">
      <c r="A87" s="1"/>
      <c r="B87" s="184"/>
      <c r="C87" s="50" t="s">
        <v>377</v>
      </c>
      <c r="D87" s="51"/>
      <c r="E87" s="52">
        <f>SUM(E88:E90)</f>
        <v>99834356724.789993</v>
      </c>
      <c r="F87" s="52">
        <f>SUM(F88:F90)</f>
        <v>569848980378.62988</v>
      </c>
      <c r="G87" s="52">
        <f>SUM(G88:G90)</f>
        <v>470014623653.83997</v>
      </c>
      <c r="H87" s="123"/>
      <c r="I87" s="123"/>
      <c r="J87" s="40">
        <f t="shared" si="16"/>
        <v>569848980378.63</v>
      </c>
      <c r="K87" s="95"/>
      <c r="L87" s="82"/>
      <c r="M87" s="82"/>
      <c r="N87" s="56"/>
      <c r="O87" s="57"/>
      <c r="P87" s="109"/>
      <c r="Q87" s="2"/>
      <c r="R87" s="2"/>
      <c r="S87" s="3"/>
      <c r="T87" s="3"/>
      <c r="U87" s="4"/>
    </row>
    <row r="88" spans="1:21" s="49" customFormat="1" ht="22.15" customHeight="1">
      <c r="A88" s="1" t="s">
        <v>378</v>
      </c>
      <c r="B88" s="189" t="s">
        <v>415</v>
      </c>
      <c r="C88" s="59" t="s">
        <v>162</v>
      </c>
      <c r="D88" s="60" t="s">
        <v>163</v>
      </c>
      <c r="E88" s="63">
        <v>88983924367.289993</v>
      </c>
      <c r="F88" s="61">
        <f>M88*O88/100</f>
        <v>556419595884.43994</v>
      </c>
      <c r="G88" s="190">
        <f>F88-E88</f>
        <v>467435671517.14996</v>
      </c>
      <c r="H88" s="129"/>
      <c r="I88" s="129"/>
      <c r="J88" s="190">
        <f t="shared" si="16"/>
        <v>556419595884.43994</v>
      </c>
      <c r="K88" s="76"/>
      <c r="L88" s="63">
        <v>88983924367.289993</v>
      </c>
      <c r="M88" s="192">
        <v>556419595884.43994</v>
      </c>
      <c r="N88" s="64"/>
      <c r="O88" s="65">
        <f>ROUND(IF(K88=0,E88/L88*100,N88/K88*100),2)</f>
        <v>100</v>
      </c>
      <c r="P88" s="120"/>
      <c r="Q88" s="2">
        <v>88983924367.289993</v>
      </c>
      <c r="R88" s="2">
        <f>E88-Q88</f>
        <v>0</v>
      </c>
      <c r="S88" s="3"/>
      <c r="T88" s="3"/>
      <c r="U88" s="4"/>
    </row>
    <row r="89" spans="1:21" s="49" customFormat="1" ht="22.15" customHeight="1">
      <c r="A89" s="1" t="s">
        <v>164</v>
      </c>
      <c r="B89" s="184" t="s">
        <v>420</v>
      </c>
      <c r="C89" s="59" t="s">
        <v>165</v>
      </c>
      <c r="D89" s="60" t="s">
        <v>166</v>
      </c>
      <c r="E89" s="63">
        <v>844783757</v>
      </c>
      <c r="F89" s="61">
        <f>M89*O89/100</f>
        <v>2207867336.6900001</v>
      </c>
      <c r="G89" s="61">
        <f>F89-E89</f>
        <v>1363083579.6900001</v>
      </c>
      <c r="H89" s="129"/>
      <c r="I89" s="129"/>
      <c r="J89" s="61">
        <f>E89+G89+I89</f>
        <v>2207867336.6900001</v>
      </c>
      <c r="K89" s="76"/>
      <c r="L89" s="63">
        <v>844783757</v>
      </c>
      <c r="M89" s="63">
        <v>2207867336.6900001</v>
      </c>
      <c r="N89" s="64"/>
      <c r="O89" s="65">
        <f>ROUND(IF(K89=0,E89/L89*100,N89/K89*100),2)</f>
        <v>100</v>
      </c>
      <c r="P89" s="120"/>
      <c r="Q89" s="2">
        <v>844783757</v>
      </c>
      <c r="R89" s="2">
        <f>E89-Q89</f>
        <v>0</v>
      </c>
      <c r="S89" s="3"/>
      <c r="T89" s="3"/>
      <c r="U89" s="4"/>
    </row>
    <row r="90" spans="1:21" s="49" customFormat="1" ht="22.15" customHeight="1">
      <c r="A90" s="1" t="s">
        <v>167</v>
      </c>
      <c r="B90" s="184" t="s">
        <v>420</v>
      </c>
      <c r="C90" s="59" t="s">
        <v>168</v>
      </c>
      <c r="D90" s="60" t="s">
        <v>169</v>
      </c>
      <c r="E90" s="63">
        <v>10005648600.5</v>
      </c>
      <c r="F90" s="61">
        <f>M90*O90/100</f>
        <v>11221517157.5</v>
      </c>
      <c r="G90" s="61">
        <f>F90-E90</f>
        <v>1215868557</v>
      </c>
      <c r="H90" s="129"/>
      <c r="I90" s="129"/>
      <c r="J90" s="61">
        <f>E90+G90+I90</f>
        <v>11221517157.5</v>
      </c>
      <c r="K90" s="76"/>
      <c r="L90" s="63">
        <v>10005648600.5</v>
      </c>
      <c r="M90" s="63">
        <v>11221517157.5</v>
      </c>
      <c r="N90" s="64"/>
      <c r="O90" s="65">
        <f>ROUND(IF(K90=0,E90/L90*100,N90/K90*100),2)</f>
        <v>100</v>
      </c>
      <c r="P90" s="120"/>
      <c r="Q90" s="2">
        <v>10005648600.5</v>
      </c>
      <c r="R90" s="2">
        <f>E90-Q90</f>
        <v>0</v>
      </c>
      <c r="S90" s="3"/>
      <c r="T90" s="3"/>
      <c r="U90" s="4"/>
    </row>
    <row r="91" spans="1:21" s="49" customFormat="1" ht="22.15" customHeight="1">
      <c r="A91" s="1"/>
      <c r="B91" s="184"/>
      <c r="C91" s="50" t="s">
        <v>379</v>
      </c>
      <c r="D91" s="51"/>
      <c r="E91" s="80">
        <f>E92</f>
        <v>127203259</v>
      </c>
      <c r="F91" s="80">
        <f>F92</f>
        <v>344287410</v>
      </c>
      <c r="G91" s="40">
        <f>SUM(G92)</f>
        <v>217084151</v>
      </c>
      <c r="H91" s="123"/>
      <c r="I91" s="123"/>
      <c r="J91" s="40">
        <f>E91+G91+I91</f>
        <v>344287410</v>
      </c>
      <c r="K91" s="95"/>
      <c r="L91" s="82"/>
      <c r="M91" s="82"/>
      <c r="N91" s="56"/>
      <c r="O91" s="57"/>
      <c r="P91" s="109"/>
      <c r="Q91" s="2"/>
      <c r="R91" s="2"/>
      <c r="S91" s="3"/>
      <c r="T91" s="3"/>
      <c r="U91" s="4"/>
    </row>
    <row r="92" spans="1:21" s="49" customFormat="1" ht="22.15" customHeight="1">
      <c r="A92" s="1" t="s">
        <v>380</v>
      </c>
      <c r="B92" s="184" t="s">
        <v>420</v>
      </c>
      <c r="C92" s="59" t="s">
        <v>172</v>
      </c>
      <c r="D92" s="60" t="s">
        <v>173</v>
      </c>
      <c r="E92" s="63">
        <v>127203259</v>
      </c>
      <c r="F92" s="61">
        <f>M92*O92/100</f>
        <v>344287410</v>
      </c>
      <c r="G92" s="61">
        <f>F92-E92</f>
        <v>217084151</v>
      </c>
      <c r="H92" s="129"/>
      <c r="I92" s="129"/>
      <c r="J92" s="61">
        <f>E92+G92+I92</f>
        <v>344287410</v>
      </c>
      <c r="K92" s="76"/>
      <c r="L92" s="63">
        <v>127203259</v>
      </c>
      <c r="M92" s="63">
        <v>344287410</v>
      </c>
      <c r="N92" s="64"/>
      <c r="O92" s="65">
        <f>ROUND(IF(K92=0,E92/L92*100,N92/K92*100),2)</f>
        <v>100</v>
      </c>
      <c r="P92" s="120"/>
      <c r="Q92" s="2">
        <v>127203259</v>
      </c>
      <c r="R92" s="2">
        <f>E92-Q92</f>
        <v>0</v>
      </c>
      <c r="S92" s="3"/>
      <c r="T92" s="3"/>
      <c r="U92" s="4"/>
    </row>
    <row r="93" spans="1:21" s="49" customFormat="1" ht="22.15" customHeight="1">
      <c r="A93" s="1"/>
      <c r="B93" s="184"/>
      <c r="C93" s="50" t="s">
        <v>174</v>
      </c>
      <c r="D93" s="79"/>
      <c r="E93" s="52">
        <f>SUM(E94:E95)</f>
        <v>64173661810.639999</v>
      </c>
      <c r="F93" s="52">
        <f>F94</f>
        <v>62058494584.339996</v>
      </c>
      <c r="G93" s="52">
        <f>G94</f>
        <v>-2115167226.3000031</v>
      </c>
      <c r="H93" s="123"/>
      <c r="I93" s="123"/>
      <c r="J93" s="40">
        <f t="shared" si="16"/>
        <v>62058494584.339996</v>
      </c>
      <c r="K93" s="81"/>
      <c r="L93" s="82"/>
      <c r="M93" s="82"/>
      <c r="N93" s="56"/>
      <c r="O93" s="71"/>
      <c r="P93" s="109"/>
      <c r="Q93" s="2"/>
      <c r="R93" s="2"/>
      <c r="S93" s="3"/>
      <c r="T93" s="3"/>
      <c r="U93" s="4"/>
    </row>
    <row r="94" spans="1:21" s="49" customFormat="1">
      <c r="A94" s="1" t="s">
        <v>381</v>
      </c>
      <c r="B94" s="184" t="s">
        <v>420</v>
      </c>
      <c r="C94" s="72" t="s">
        <v>176</v>
      </c>
      <c r="D94" s="60" t="s">
        <v>177</v>
      </c>
      <c r="E94" s="61">
        <v>64173661810.639999</v>
      </c>
      <c r="F94" s="61">
        <v>62058494584.339996</v>
      </c>
      <c r="G94" s="61">
        <f>F94-E94</f>
        <v>-2115167226.3000031</v>
      </c>
      <c r="H94" s="129"/>
      <c r="I94" s="129"/>
      <c r="J94" s="61">
        <f t="shared" si="16"/>
        <v>62058494584.339996</v>
      </c>
      <c r="K94" s="76"/>
      <c r="L94" s="61">
        <v>64173661810.639999</v>
      </c>
      <c r="M94" s="61">
        <v>62058494584.339996</v>
      </c>
      <c r="N94" s="64"/>
      <c r="O94" s="65">
        <f>ROUND(IF(K94=0,E94/L94*100,N94/K94*100),2)</f>
        <v>100</v>
      </c>
      <c r="P94" s="120"/>
      <c r="Q94" s="2">
        <v>64173661810.639999</v>
      </c>
      <c r="R94" s="2">
        <f>E94-Q94</f>
        <v>0</v>
      </c>
      <c r="S94" s="3"/>
      <c r="T94" s="3"/>
      <c r="U94" s="4"/>
    </row>
    <row r="95" spans="1:21" s="49" customFormat="1" ht="33" hidden="1">
      <c r="A95" s="1"/>
      <c r="B95" s="184"/>
      <c r="C95" s="131"/>
      <c r="D95" s="73" t="s">
        <v>178</v>
      </c>
      <c r="E95" s="69" t="s">
        <v>382</v>
      </c>
      <c r="F95" s="69" t="e">
        <f>M95*O95/100</f>
        <v>#VALUE!</v>
      </c>
      <c r="G95" s="69" t="e">
        <f>F95-E95</f>
        <v>#VALUE!</v>
      </c>
      <c r="H95" s="123"/>
      <c r="I95" s="123"/>
      <c r="J95" s="69" t="e">
        <f t="shared" si="16"/>
        <v>#VALUE!</v>
      </c>
      <c r="K95" s="94"/>
      <c r="L95" s="69"/>
      <c r="M95" s="69"/>
      <c r="N95" s="74"/>
      <c r="O95" s="71" t="e">
        <f>IF(K95=0,E95/L95*100,N95/K95*100)</f>
        <v>#VALUE!</v>
      </c>
      <c r="P95" s="109"/>
      <c r="Q95" s="2"/>
      <c r="R95" s="2"/>
      <c r="S95" s="3"/>
      <c r="T95" s="3"/>
      <c r="U95" s="4" t="s">
        <v>383</v>
      </c>
    </row>
    <row r="96" spans="1:21" s="49" customFormat="1" ht="22.15" customHeight="1">
      <c r="A96" s="1"/>
      <c r="B96" s="184"/>
      <c r="C96" s="50" t="s">
        <v>179</v>
      </c>
      <c r="D96" s="51"/>
      <c r="E96" s="52">
        <f>SUM(E97:E98)</f>
        <v>93887116691.660004</v>
      </c>
      <c r="F96" s="52">
        <f>F97+F98</f>
        <v>43483603142.279999</v>
      </c>
      <c r="G96" s="52">
        <f>SUM(G97:G98)</f>
        <v>-50403513549.380005</v>
      </c>
      <c r="H96" s="123"/>
      <c r="I96" s="123"/>
      <c r="J96" s="40">
        <f t="shared" si="16"/>
        <v>43483603142.279999</v>
      </c>
      <c r="K96" s="95"/>
      <c r="L96" s="82"/>
      <c r="M96" s="82"/>
      <c r="N96" s="56"/>
      <c r="O96" s="57"/>
      <c r="P96" s="109"/>
      <c r="Q96" s="2"/>
      <c r="R96" s="2"/>
      <c r="S96" s="3"/>
      <c r="T96" s="3"/>
      <c r="U96" s="4"/>
    </row>
    <row r="97" spans="1:21" s="49" customFormat="1" ht="22.15" customHeight="1">
      <c r="A97" s="1" t="s">
        <v>384</v>
      </c>
      <c r="B97" s="189" t="s">
        <v>415</v>
      </c>
      <c r="C97" s="59" t="s">
        <v>181</v>
      </c>
      <c r="D97" s="60" t="s">
        <v>182</v>
      </c>
      <c r="E97" s="63">
        <v>33283559691.66</v>
      </c>
      <c r="F97" s="61">
        <f>M97*O97/100</f>
        <v>43483603142.279999</v>
      </c>
      <c r="G97" s="190">
        <f>F97-E97</f>
        <v>10200043450.619999</v>
      </c>
      <c r="H97" s="129"/>
      <c r="I97" s="129"/>
      <c r="J97" s="190">
        <f t="shared" si="16"/>
        <v>43483603142.279999</v>
      </c>
      <c r="K97" s="76"/>
      <c r="L97" s="63">
        <v>33283559691.66</v>
      </c>
      <c r="M97" s="192">
        <v>43483603142.279999</v>
      </c>
      <c r="N97" s="64"/>
      <c r="O97" s="65">
        <f>ROUND(IF(K97=0,E97/L97*100,N97/K97*100),2)</f>
        <v>100</v>
      </c>
      <c r="P97" s="120"/>
      <c r="Q97" s="2">
        <v>33283559691.66</v>
      </c>
      <c r="R97" s="2">
        <f>E97-Q97</f>
        <v>0</v>
      </c>
      <c r="S97" s="3"/>
      <c r="T97" s="3"/>
      <c r="U97" s="4"/>
    </row>
    <row r="98" spans="1:21" s="49" customFormat="1" ht="22.15" customHeight="1">
      <c r="A98" s="1" t="s">
        <v>385</v>
      </c>
      <c r="B98" s="184" t="s">
        <v>420</v>
      </c>
      <c r="C98" s="59" t="s">
        <v>181</v>
      </c>
      <c r="D98" s="60" t="s">
        <v>184</v>
      </c>
      <c r="E98" s="63">
        <v>60603557000</v>
      </c>
      <c r="F98" s="61">
        <v>0</v>
      </c>
      <c r="G98" s="61">
        <f>-E98</f>
        <v>-60603557000</v>
      </c>
      <c r="H98" s="129"/>
      <c r="I98" s="129"/>
      <c r="J98" s="61">
        <f t="shared" si="16"/>
        <v>0</v>
      </c>
      <c r="K98" s="76"/>
      <c r="L98" s="63">
        <v>60603557000</v>
      </c>
      <c r="M98" s="63">
        <v>-26606817583</v>
      </c>
      <c r="N98" s="64"/>
      <c r="O98" s="65">
        <f>ROUND(IF(K98=0,E98/L98*100,N98/K98*100),2)</f>
        <v>100</v>
      </c>
      <c r="P98" s="120"/>
      <c r="Q98" s="2">
        <v>60603557000</v>
      </c>
      <c r="R98" s="2">
        <f>E98-Q98</f>
        <v>0</v>
      </c>
      <c r="S98" s="3"/>
      <c r="T98" s="3"/>
      <c r="U98" s="4"/>
    </row>
    <row r="99" spans="1:21" s="49" customFormat="1" ht="22.15" customHeight="1">
      <c r="A99" s="1"/>
      <c r="B99" s="184"/>
      <c r="C99" s="50" t="s">
        <v>185</v>
      </c>
      <c r="D99" s="51"/>
      <c r="E99" s="52">
        <f>SUM(E100:E101)</f>
        <v>30299123450.02</v>
      </c>
      <c r="F99" s="52">
        <f>SUM(F100:F101)</f>
        <v>45953075380.020004</v>
      </c>
      <c r="G99" s="52">
        <f>SUM(G100:G101)</f>
        <v>15653951930</v>
      </c>
      <c r="H99" s="123"/>
      <c r="I99" s="123"/>
      <c r="J99" s="40">
        <f t="shared" si="16"/>
        <v>45953075380.020004</v>
      </c>
      <c r="K99" s="95"/>
      <c r="L99" s="82"/>
      <c r="M99" s="82"/>
      <c r="N99" s="56"/>
      <c r="O99" s="57"/>
      <c r="P99" s="109"/>
      <c r="Q99" s="2"/>
      <c r="R99" s="2"/>
      <c r="S99" s="3"/>
      <c r="T99" s="3"/>
      <c r="U99" s="4"/>
    </row>
    <row r="100" spans="1:21" s="49" customFormat="1" ht="22.15" customHeight="1">
      <c r="A100" s="1" t="s">
        <v>386</v>
      </c>
      <c r="B100" s="184" t="s">
        <v>420</v>
      </c>
      <c r="C100" s="59" t="s">
        <v>187</v>
      </c>
      <c r="D100" s="60" t="s">
        <v>188</v>
      </c>
      <c r="E100" s="63">
        <v>25828946648.02</v>
      </c>
      <c r="F100" s="61">
        <f>M100*O100/100</f>
        <v>25828946648.02</v>
      </c>
      <c r="G100" s="61">
        <f>F100-E100</f>
        <v>0</v>
      </c>
      <c r="H100" s="129"/>
      <c r="I100" s="129"/>
      <c r="J100" s="61">
        <f t="shared" si="16"/>
        <v>25828946648.02</v>
      </c>
      <c r="K100" s="76"/>
      <c r="L100" s="63">
        <v>25828946648.02</v>
      </c>
      <c r="M100" s="63">
        <v>25828946648.02</v>
      </c>
      <c r="N100" s="64"/>
      <c r="O100" s="65">
        <f>ROUND(IF(K100=0,E100/L100*100,N100/K100*100),2)</f>
        <v>100</v>
      </c>
      <c r="P100" s="120"/>
      <c r="Q100" s="2">
        <v>25828946648.02</v>
      </c>
      <c r="R100" s="2">
        <f>E100-Q100</f>
        <v>0</v>
      </c>
      <c r="S100" s="3"/>
      <c r="T100" s="3"/>
      <c r="U100" s="4"/>
    </row>
    <row r="101" spans="1:21" s="49" customFormat="1" ht="22.15" customHeight="1">
      <c r="A101" s="1" t="s">
        <v>387</v>
      </c>
      <c r="B101" s="184" t="s">
        <v>420</v>
      </c>
      <c r="C101" s="59" t="s">
        <v>187</v>
      </c>
      <c r="D101" s="60" t="s">
        <v>190</v>
      </c>
      <c r="E101" s="63">
        <v>4470176802</v>
      </c>
      <c r="F101" s="61">
        <f>M101*O101/100</f>
        <v>20124128732</v>
      </c>
      <c r="G101" s="61">
        <f>F101-E101</f>
        <v>15653951930</v>
      </c>
      <c r="H101" s="129"/>
      <c r="I101" s="129"/>
      <c r="J101" s="61">
        <f t="shared" si="16"/>
        <v>20124128732</v>
      </c>
      <c r="K101" s="76"/>
      <c r="L101" s="63">
        <v>4470176802</v>
      </c>
      <c r="M101" s="63">
        <v>20124128732</v>
      </c>
      <c r="N101" s="64"/>
      <c r="O101" s="65">
        <f>ROUND(IF(K101=0,E101/L101*100,N101/K101*100),2)</f>
        <v>100</v>
      </c>
      <c r="P101" s="120"/>
      <c r="Q101" s="2">
        <v>4470176802</v>
      </c>
      <c r="R101" s="2">
        <f>E101-Q101</f>
        <v>0</v>
      </c>
      <c r="S101" s="3"/>
      <c r="T101" s="3"/>
      <c r="U101" s="4"/>
    </row>
    <row r="102" spans="1:21" s="49" customFormat="1" ht="22.15" customHeight="1">
      <c r="A102" s="1"/>
      <c r="B102" s="184"/>
      <c r="C102" s="50" t="s">
        <v>191</v>
      </c>
      <c r="D102" s="51"/>
      <c r="E102" s="52">
        <f>E103+E109+E110+E111+E112+E115</f>
        <v>254259706181.20999</v>
      </c>
      <c r="F102" s="52">
        <f t="shared" ref="F102" si="17">F103+F109+F110+F111+F112+F115</f>
        <v>359796251714.32599</v>
      </c>
      <c r="G102" s="52">
        <f>G103+G109+G110+G111+G112+G115</f>
        <v>105536545533.11592</v>
      </c>
      <c r="H102" s="123"/>
      <c r="I102" s="123"/>
      <c r="J102" s="40">
        <f>J103+J109+J110+J111+J112+J115</f>
        <v>359796251714.32599</v>
      </c>
      <c r="K102" s="95"/>
      <c r="L102" s="82"/>
      <c r="M102" s="82"/>
      <c r="N102" s="56"/>
      <c r="O102" s="57"/>
      <c r="P102" s="109"/>
      <c r="Q102" s="2"/>
      <c r="R102" s="2"/>
      <c r="S102" s="3"/>
      <c r="T102" s="3"/>
      <c r="U102" s="4"/>
    </row>
    <row r="103" spans="1:21" s="143" customFormat="1" ht="22.15" customHeight="1">
      <c r="A103" s="1" t="s">
        <v>388</v>
      </c>
      <c r="B103" s="189" t="s">
        <v>415</v>
      </c>
      <c r="C103" s="132"/>
      <c r="D103" s="133" t="s">
        <v>193</v>
      </c>
      <c r="E103" s="134">
        <f>SUM(E104:E108)</f>
        <v>183341636026.76999</v>
      </c>
      <c r="F103" s="134">
        <f>SUM(F104:F108)</f>
        <v>253866540072.23047</v>
      </c>
      <c r="G103" s="134">
        <f>SUM(G104:G108)</f>
        <v>70524904045.46048</v>
      </c>
      <c r="H103" s="135"/>
      <c r="I103" s="135"/>
      <c r="J103" s="178">
        <f>SUM(J104:J108)</f>
        <v>253866540072.23047</v>
      </c>
      <c r="K103" s="136"/>
      <c r="L103" s="134">
        <f>L104</f>
        <v>183866130882.76999</v>
      </c>
      <c r="M103" s="134">
        <f>M104</f>
        <v>254746623394.98999</v>
      </c>
      <c r="N103" s="137"/>
      <c r="O103" s="138">
        <f t="shared" ref="O103:O114" si="18">IF(K103=0,E103/L103*100,N103/K103*100)</f>
        <v>99.71474090770181</v>
      </c>
      <c r="P103" s="139"/>
      <c r="Q103" s="140">
        <v>174837716561.76999</v>
      </c>
      <c r="R103" s="140">
        <f>E103-Q103</f>
        <v>8503919465</v>
      </c>
      <c r="S103" s="141"/>
      <c r="T103" s="141"/>
      <c r="U103" s="142"/>
    </row>
    <row r="104" spans="1:21" s="49" customFormat="1" ht="22.15" customHeight="1">
      <c r="A104" s="1"/>
      <c r="B104" s="184"/>
      <c r="C104" s="59" t="s">
        <v>194</v>
      </c>
      <c r="D104" s="87" t="s">
        <v>73</v>
      </c>
      <c r="E104" s="63">
        <v>182943608697.76999</v>
      </c>
      <c r="F104" s="61">
        <f t="shared" ref="F104:F114" si="19">M104*O104/100</f>
        <v>253468468410.66852</v>
      </c>
      <c r="G104" s="61">
        <f t="shared" ref="G104:G114" si="20">F104-E104</f>
        <v>70524859712.898529</v>
      </c>
      <c r="H104" s="144"/>
      <c r="I104" s="144"/>
      <c r="J104" s="61">
        <f>E104+G104+I104</f>
        <v>253468468410.66852</v>
      </c>
      <c r="K104" s="76"/>
      <c r="L104" s="63">
        <f>175110171419.77+8755959463</f>
        <v>183866130882.76999</v>
      </c>
      <c r="M104" s="63">
        <v>254746623394.98999</v>
      </c>
      <c r="N104" s="64"/>
      <c r="O104" s="145">
        <f t="shared" si="18"/>
        <v>99.49826420963403</v>
      </c>
      <c r="P104" s="120"/>
      <c r="Q104" s="2"/>
      <c r="R104" s="2"/>
      <c r="S104" s="3"/>
      <c r="T104" s="3"/>
      <c r="U104" s="4"/>
    </row>
    <row r="105" spans="1:21" s="49" customFormat="1" ht="22.15" customHeight="1">
      <c r="A105" s="1"/>
      <c r="B105" s="184"/>
      <c r="C105" s="88" t="s">
        <v>195</v>
      </c>
      <c r="D105" s="87" t="s">
        <v>73</v>
      </c>
      <c r="E105" s="63">
        <v>115000</v>
      </c>
      <c r="F105" s="61">
        <f t="shared" si="19"/>
        <v>159332.56195564591</v>
      </c>
      <c r="G105" s="61">
        <f t="shared" si="20"/>
        <v>44332.561955645913</v>
      </c>
      <c r="H105" s="144"/>
      <c r="I105" s="144"/>
      <c r="J105" s="61">
        <f t="shared" ref="J105:J111" si="21">E105+G105+I105</f>
        <v>159332.56195564591</v>
      </c>
      <c r="K105" s="76"/>
      <c r="L105" s="63">
        <f>175110171419.77+8755959463</f>
        <v>183866130882.76999</v>
      </c>
      <c r="M105" s="63">
        <v>254746623394.98999</v>
      </c>
      <c r="N105" s="64"/>
      <c r="O105" s="145">
        <f t="shared" si="18"/>
        <v>6.2545504953994002E-5</v>
      </c>
      <c r="P105" s="120"/>
      <c r="Q105" s="2"/>
      <c r="R105" s="2"/>
      <c r="S105" s="3"/>
      <c r="T105" s="3"/>
      <c r="U105" s="4"/>
    </row>
    <row r="106" spans="1:21" s="49" customFormat="1" ht="22.15" customHeight="1">
      <c r="A106" s="1"/>
      <c r="B106" s="184"/>
      <c r="C106" s="59" t="s">
        <v>196</v>
      </c>
      <c r="D106" s="87" t="s">
        <v>197</v>
      </c>
      <c r="E106" s="63">
        <v>63223847</v>
      </c>
      <c r="F106" s="61">
        <v>63223847</v>
      </c>
      <c r="G106" s="61">
        <v>0</v>
      </c>
      <c r="H106" s="129"/>
      <c r="I106" s="129"/>
      <c r="J106" s="61">
        <f t="shared" si="21"/>
        <v>63223847</v>
      </c>
      <c r="K106" s="76"/>
      <c r="L106" s="63">
        <f>175110171419.77+8755959463</f>
        <v>183866130882.76999</v>
      </c>
      <c r="M106" s="63">
        <v>254746623394.98999</v>
      </c>
      <c r="N106" s="64"/>
      <c r="O106" s="145">
        <f t="shared" si="18"/>
        <v>3.4385803789122246E-2</v>
      </c>
      <c r="P106" s="120"/>
      <c r="Q106" s="2"/>
      <c r="R106" s="2"/>
      <c r="S106" s="3"/>
      <c r="T106" s="3"/>
      <c r="U106" s="4"/>
    </row>
    <row r="107" spans="1:21" s="49" customFormat="1" ht="22.15" customHeight="1">
      <c r="A107" s="1"/>
      <c r="B107" s="184"/>
      <c r="C107" s="88" t="s">
        <v>198</v>
      </c>
      <c r="D107" s="87" t="s">
        <v>197</v>
      </c>
      <c r="E107" s="63">
        <v>1949000</v>
      </c>
      <c r="F107" s="61">
        <v>1949000</v>
      </c>
      <c r="G107" s="61">
        <v>0</v>
      </c>
      <c r="H107" s="129"/>
      <c r="I107" s="129"/>
      <c r="J107" s="61">
        <f t="shared" si="21"/>
        <v>1949000</v>
      </c>
      <c r="K107" s="76"/>
      <c r="L107" s="63">
        <f>175110171419.77+8755959463</f>
        <v>183866130882.76999</v>
      </c>
      <c r="M107" s="63">
        <v>254746623394.98999</v>
      </c>
      <c r="N107" s="64"/>
      <c r="O107" s="145">
        <f t="shared" si="18"/>
        <v>1.0600103404811679E-3</v>
      </c>
      <c r="P107" s="120"/>
      <c r="Q107" s="2"/>
      <c r="R107" s="2"/>
      <c r="S107" s="3"/>
      <c r="T107" s="3"/>
      <c r="U107" s="4"/>
    </row>
    <row r="108" spans="1:21" s="49" customFormat="1" ht="22.15" customHeight="1">
      <c r="A108" s="1"/>
      <c r="B108" s="184"/>
      <c r="C108" s="59" t="s">
        <v>199</v>
      </c>
      <c r="D108" s="87" t="s">
        <v>197</v>
      </c>
      <c r="E108" s="63">
        <v>332739482</v>
      </c>
      <c r="F108" s="61">
        <v>332739482</v>
      </c>
      <c r="G108" s="61">
        <v>0</v>
      </c>
      <c r="H108" s="129"/>
      <c r="I108" s="129"/>
      <c r="J108" s="61">
        <f t="shared" si="21"/>
        <v>332739482</v>
      </c>
      <c r="K108" s="76"/>
      <c r="L108" s="63">
        <f>175110171419.77+8755959463</f>
        <v>183866130882.76999</v>
      </c>
      <c r="M108" s="63">
        <v>254746623394.98999</v>
      </c>
      <c r="N108" s="64"/>
      <c r="O108" s="145">
        <f t="shared" si="18"/>
        <v>0.18096833843322085</v>
      </c>
      <c r="P108" s="120"/>
      <c r="Q108" s="2"/>
      <c r="R108" s="2"/>
      <c r="S108" s="3"/>
      <c r="T108" s="3"/>
      <c r="U108" s="4"/>
    </row>
    <row r="109" spans="1:21" s="96" customFormat="1" ht="22.15" customHeight="1">
      <c r="A109" s="121" t="s">
        <v>389</v>
      </c>
      <c r="B109" s="184" t="s">
        <v>420</v>
      </c>
      <c r="C109" s="59" t="s">
        <v>194</v>
      </c>
      <c r="D109" s="133" t="s">
        <v>201</v>
      </c>
      <c r="E109" s="63">
        <v>34764126951.910004</v>
      </c>
      <c r="F109" s="61">
        <f t="shared" si="19"/>
        <v>51357356004.697479</v>
      </c>
      <c r="G109" s="61">
        <f t="shared" si="20"/>
        <v>16593229052.787476</v>
      </c>
      <c r="H109" s="129"/>
      <c r="I109" s="129"/>
      <c r="J109" s="61">
        <f t="shared" si="21"/>
        <v>51357356004.697479</v>
      </c>
      <c r="K109" s="76"/>
      <c r="L109" s="63">
        <f>35464828951.91+464727000</f>
        <v>35929555951.910004</v>
      </c>
      <c r="M109" s="63">
        <v>53079054701</v>
      </c>
      <c r="N109" s="64"/>
      <c r="O109" s="65">
        <f t="shared" si="18"/>
        <v>96.756350115877098</v>
      </c>
      <c r="P109" s="120"/>
      <c r="Q109" s="2">
        <v>34764126951.910004</v>
      </c>
      <c r="R109" s="2">
        <f>E109-Q109</f>
        <v>0</v>
      </c>
      <c r="S109" s="3"/>
      <c r="T109" s="3"/>
      <c r="U109" s="99"/>
    </row>
    <row r="110" spans="1:21" s="49" customFormat="1" ht="22.15" customHeight="1">
      <c r="A110" s="1" t="s">
        <v>390</v>
      </c>
      <c r="B110" s="184" t="s">
        <v>420</v>
      </c>
      <c r="C110" s="59" t="s">
        <v>194</v>
      </c>
      <c r="D110" s="133" t="s">
        <v>203</v>
      </c>
      <c r="E110" s="63">
        <v>9080705196</v>
      </c>
      <c r="F110" s="61">
        <f t="shared" si="19"/>
        <v>12497502668</v>
      </c>
      <c r="G110" s="61">
        <f t="shared" si="20"/>
        <v>3416797472</v>
      </c>
      <c r="H110" s="179"/>
      <c r="I110" s="179"/>
      <c r="J110" s="61">
        <f t="shared" si="21"/>
        <v>12497502668</v>
      </c>
      <c r="K110" s="76"/>
      <c r="L110" s="63">
        <v>9080705196</v>
      </c>
      <c r="M110" s="63">
        <v>12497502668</v>
      </c>
      <c r="N110" s="64"/>
      <c r="O110" s="65">
        <f t="shared" si="18"/>
        <v>100</v>
      </c>
      <c r="P110" s="120"/>
      <c r="Q110" s="2">
        <v>9080705196</v>
      </c>
      <c r="R110" s="2">
        <f>E110-Q110</f>
        <v>0</v>
      </c>
      <c r="S110" s="3"/>
      <c r="T110" s="3"/>
      <c r="U110" s="4"/>
    </row>
    <row r="111" spans="1:21" s="49" customFormat="1" ht="22.15" customHeight="1">
      <c r="A111" s="1" t="s">
        <v>391</v>
      </c>
      <c r="B111" s="184" t="s">
        <v>420</v>
      </c>
      <c r="C111" s="59" t="s">
        <v>194</v>
      </c>
      <c r="D111" s="133" t="s">
        <v>205</v>
      </c>
      <c r="E111" s="63">
        <v>2743797206.5300002</v>
      </c>
      <c r="F111" s="61">
        <f t="shared" si="19"/>
        <v>3465824713.2600002</v>
      </c>
      <c r="G111" s="61">
        <f t="shared" si="20"/>
        <v>722027506.73000002</v>
      </c>
      <c r="H111" s="179"/>
      <c r="I111" s="179"/>
      <c r="J111" s="61">
        <f t="shared" si="21"/>
        <v>3465824713.2600002</v>
      </c>
      <c r="K111" s="76"/>
      <c r="L111" s="63">
        <v>2743797206.5300002</v>
      </c>
      <c r="M111" s="63">
        <v>3465824713.2600002</v>
      </c>
      <c r="N111" s="64"/>
      <c r="O111" s="65">
        <f t="shared" si="18"/>
        <v>100</v>
      </c>
      <c r="P111" s="120"/>
      <c r="Q111" s="2">
        <v>2743797206.5300002</v>
      </c>
      <c r="R111" s="2">
        <f>E111-Q111</f>
        <v>0</v>
      </c>
      <c r="S111" s="3"/>
      <c r="T111" s="3"/>
      <c r="U111" s="4"/>
    </row>
    <row r="112" spans="1:21" s="143" customFormat="1" ht="22.15" customHeight="1">
      <c r="A112" s="1" t="s">
        <v>392</v>
      </c>
      <c r="B112" s="184" t="s">
        <v>420</v>
      </c>
      <c r="C112" s="132"/>
      <c r="D112" s="133" t="s">
        <v>207</v>
      </c>
      <c r="E112" s="134">
        <f>E113+E114</f>
        <v>3996574328</v>
      </c>
      <c r="F112" s="134">
        <f>F113+F114</f>
        <v>7817247170.1877813</v>
      </c>
      <c r="G112" s="181">
        <f>G113+G114</f>
        <v>3820672842.1877809</v>
      </c>
      <c r="H112" s="179"/>
      <c r="I112" s="179"/>
      <c r="J112" s="182">
        <f>J113+J114</f>
        <v>7817247170.1877813</v>
      </c>
      <c r="K112" s="146"/>
      <c r="L112" s="134">
        <f>L113</f>
        <v>4031840656</v>
      </c>
      <c r="M112" s="134">
        <f>M113</f>
        <v>7886227647</v>
      </c>
      <c r="N112" s="147"/>
      <c r="O112" s="148">
        <f t="shared" si="18"/>
        <v>99.125304519475037</v>
      </c>
      <c r="P112" s="139"/>
      <c r="Q112" s="140"/>
      <c r="R112" s="140"/>
      <c r="S112" s="141"/>
      <c r="T112" s="141"/>
      <c r="U112" s="142"/>
    </row>
    <row r="113" spans="1:21" s="49" customFormat="1" ht="22.15" customHeight="1">
      <c r="A113" s="1"/>
      <c r="B113" s="184"/>
      <c r="C113" s="59" t="s">
        <v>194</v>
      </c>
      <c r="D113" s="87" t="s">
        <v>73</v>
      </c>
      <c r="E113" s="63">
        <f>3302810417+822555635-129226724</f>
        <v>3996139328</v>
      </c>
      <c r="F113" s="61">
        <f t="shared" si="19"/>
        <v>7816396315.8710709</v>
      </c>
      <c r="G113" s="61">
        <f t="shared" si="20"/>
        <v>3820256987.8710709</v>
      </c>
      <c r="H113" s="179"/>
      <c r="I113" s="179"/>
      <c r="J113" s="61">
        <f>E113+G113+I113</f>
        <v>7816396315.8710709</v>
      </c>
      <c r="K113" s="76"/>
      <c r="L113" s="63">
        <f>3293378617+738462039</f>
        <v>4031840656</v>
      </c>
      <c r="M113" s="63">
        <v>7886227647</v>
      </c>
      <c r="N113" s="64"/>
      <c r="O113" s="65">
        <f t="shared" si="18"/>
        <v>99.114515402614657</v>
      </c>
      <c r="P113" s="120"/>
      <c r="Q113" s="2">
        <v>3302810417</v>
      </c>
      <c r="R113" s="2">
        <f>E113-Q113</f>
        <v>693328911</v>
      </c>
      <c r="S113" s="3"/>
      <c r="T113" s="3"/>
      <c r="U113" s="4"/>
    </row>
    <row r="114" spans="1:21" s="49" customFormat="1" ht="22.15" customHeight="1">
      <c r="A114" s="1"/>
      <c r="B114" s="184"/>
      <c r="C114" s="88" t="s">
        <v>195</v>
      </c>
      <c r="D114" s="87" t="s">
        <v>73</v>
      </c>
      <c r="E114" s="63">
        <v>435000</v>
      </c>
      <c r="F114" s="61">
        <f t="shared" si="19"/>
        <v>850854.3167101295</v>
      </c>
      <c r="G114" s="61">
        <f t="shared" si="20"/>
        <v>415854.3167101295</v>
      </c>
      <c r="H114" s="179"/>
      <c r="I114" s="179"/>
      <c r="J114" s="61">
        <f>E114+G114+I114</f>
        <v>850854.3167101295</v>
      </c>
      <c r="K114" s="76"/>
      <c r="L114" s="63">
        <f>3293378617+738462039</f>
        <v>4031840656</v>
      </c>
      <c r="M114" s="63">
        <v>7886227647</v>
      </c>
      <c r="N114" s="64"/>
      <c r="O114" s="65">
        <f t="shared" si="18"/>
        <v>1.078911686037624E-2</v>
      </c>
      <c r="P114" s="120"/>
      <c r="Q114" s="2"/>
      <c r="R114" s="2"/>
      <c r="S114" s="3"/>
      <c r="T114" s="3"/>
      <c r="U114" s="4"/>
    </row>
    <row r="115" spans="1:21" s="143" customFormat="1" ht="22.15" customHeight="1">
      <c r="A115" s="1" t="s">
        <v>393</v>
      </c>
      <c r="B115" s="184" t="s">
        <v>420</v>
      </c>
      <c r="C115" s="149"/>
      <c r="D115" s="133" t="s">
        <v>209</v>
      </c>
      <c r="E115" s="134">
        <f>SUM(E116:E119)</f>
        <v>20332866472</v>
      </c>
      <c r="F115" s="134">
        <f>SUM(F116:F119)</f>
        <v>30791781085.950199</v>
      </c>
      <c r="G115" s="181">
        <f>SUM(G116:G119)</f>
        <v>10458914613.950199</v>
      </c>
      <c r="H115" s="180"/>
      <c r="I115" s="180"/>
      <c r="J115" s="182">
        <f>SUM(J116:J119)</f>
        <v>30791781085.950199</v>
      </c>
      <c r="K115" s="136"/>
      <c r="L115" s="134">
        <f>L118</f>
        <v>20457488011</v>
      </c>
      <c r="M115" s="134">
        <f>M116</f>
        <v>31211083177</v>
      </c>
      <c r="N115" s="150"/>
      <c r="O115" s="148">
        <f>ROUND(IF(K115=0,E115/L115*100,N115/K115*100),2)</f>
        <v>99.39</v>
      </c>
      <c r="P115" s="151"/>
      <c r="Q115" s="140">
        <v>19657810249</v>
      </c>
      <c r="R115" s="140">
        <f>E115-Q115</f>
        <v>675056223</v>
      </c>
      <c r="S115" s="141"/>
      <c r="T115" s="141"/>
      <c r="U115" s="142"/>
    </row>
    <row r="116" spans="1:21" s="49" customFormat="1" ht="22.15" customHeight="1">
      <c r="A116" s="1"/>
      <c r="B116" s="184"/>
      <c r="C116" s="59" t="s">
        <v>196</v>
      </c>
      <c r="D116" s="87" t="s">
        <v>73</v>
      </c>
      <c r="E116" s="63">
        <v>19786671124</v>
      </c>
      <c r="F116" s="61">
        <f>M116*O116/100</f>
        <v>30187359648.794399</v>
      </c>
      <c r="G116" s="61">
        <f>F116-E116</f>
        <v>10400688524.794399</v>
      </c>
      <c r="H116" s="179"/>
      <c r="I116" s="179"/>
      <c r="J116" s="61">
        <f>E116+G116+I116</f>
        <v>30187359648.794399</v>
      </c>
      <c r="K116" s="76"/>
      <c r="L116" s="63">
        <f>19743547446-2566518083+3280458648</f>
        <v>20457488011</v>
      </c>
      <c r="M116" s="63">
        <v>31211083177</v>
      </c>
      <c r="N116" s="64"/>
      <c r="O116" s="65">
        <f>ROUND(IF(K116=0,E116/L116*100,N116/K116*100),2)</f>
        <v>96.72</v>
      </c>
      <c r="P116" s="120"/>
      <c r="Q116" s="2"/>
      <c r="R116" s="2"/>
      <c r="S116" s="3"/>
      <c r="T116" s="3"/>
      <c r="U116" s="4"/>
    </row>
    <row r="117" spans="1:21" s="49" customFormat="1" ht="22.15" customHeight="1">
      <c r="A117" s="1"/>
      <c r="B117" s="184"/>
      <c r="C117" s="88" t="s">
        <v>198</v>
      </c>
      <c r="D117" s="87" t="s">
        <v>73</v>
      </c>
      <c r="E117" s="63">
        <v>110313760</v>
      </c>
      <c r="F117" s="61">
        <f>M117*O117/100</f>
        <v>168539849.15580001</v>
      </c>
      <c r="G117" s="61">
        <f>F117-E117</f>
        <v>58226089.155800015</v>
      </c>
      <c r="H117" s="144"/>
      <c r="I117" s="144"/>
      <c r="J117" s="61">
        <f t="shared" ref="J117:J119" si="22">E117+G117+I117</f>
        <v>168539849.15580001</v>
      </c>
      <c r="K117" s="76"/>
      <c r="L117" s="63">
        <f>19743547446-2566518083+3280458648</f>
        <v>20457488011</v>
      </c>
      <c r="M117" s="63">
        <v>31211083177</v>
      </c>
      <c r="N117" s="64"/>
      <c r="O117" s="65">
        <f>ROUND(IF(K117=0,E117/L117*100,N117/K117*100),2)</f>
        <v>0.54</v>
      </c>
      <c r="P117" s="120"/>
      <c r="Q117" s="2"/>
      <c r="R117" s="2"/>
      <c r="S117" s="3"/>
      <c r="T117" s="3"/>
      <c r="U117" s="4"/>
    </row>
    <row r="118" spans="1:21" s="49" customFormat="1" ht="22.15" customHeight="1">
      <c r="A118" s="1"/>
      <c r="B118" s="184"/>
      <c r="C118" s="59" t="s">
        <v>194</v>
      </c>
      <c r="D118" s="87" t="s">
        <v>197</v>
      </c>
      <c r="E118" s="63">
        <v>20179500</v>
      </c>
      <c r="F118" s="61">
        <v>20179500</v>
      </c>
      <c r="G118" s="61">
        <v>0</v>
      </c>
      <c r="H118" s="144"/>
      <c r="I118" s="144"/>
      <c r="J118" s="61">
        <f t="shared" si="22"/>
        <v>20179500</v>
      </c>
      <c r="K118" s="76"/>
      <c r="L118" s="63">
        <f>19743547446-2566518083+3280458648</f>
        <v>20457488011</v>
      </c>
      <c r="M118" s="63">
        <v>31211083177</v>
      </c>
      <c r="N118" s="64"/>
      <c r="O118" s="65">
        <f>ROUND(IF(K118=0,E118/L118*100,N118/K118*100),2)</f>
        <v>0.1</v>
      </c>
      <c r="P118" s="120"/>
      <c r="Q118" s="2"/>
      <c r="R118" s="2"/>
      <c r="S118" s="3"/>
      <c r="T118" s="3"/>
      <c r="U118" s="4"/>
    </row>
    <row r="119" spans="1:21" s="49" customFormat="1" ht="22.15" customHeight="1">
      <c r="A119" s="1"/>
      <c r="B119" s="184"/>
      <c r="C119" s="59" t="s">
        <v>211</v>
      </c>
      <c r="D119" s="87" t="s">
        <v>197</v>
      </c>
      <c r="E119" s="63">
        <v>415702088</v>
      </c>
      <c r="F119" s="61">
        <v>415702088</v>
      </c>
      <c r="G119" s="61">
        <v>0</v>
      </c>
      <c r="H119" s="144"/>
      <c r="I119" s="144"/>
      <c r="J119" s="61">
        <f t="shared" si="22"/>
        <v>415702088</v>
      </c>
      <c r="K119" s="76"/>
      <c r="L119" s="63">
        <f>19743547446-2566518083+3280458648</f>
        <v>20457488011</v>
      </c>
      <c r="M119" s="63">
        <v>31211083177</v>
      </c>
      <c r="N119" s="64"/>
      <c r="O119" s="65">
        <f>ROUND(IF(K119=0,E119/L119*100,N119/K119*100),2)</f>
        <v>2.0299999999999998</v>
      </c>
      <c r="P119" s="120"/>
      <c r="Q119" s="2"/>
      <c r="R119" s="2"/>
      <c r="S119" s="3"/>
      <c r="T119" s="3"/>
      <c r="U119" s="4"/>
    </row>
    <row r="120" spans="1:21" s="49" customFormat="1" ht="22.15" customHeight="1">
      <c r="A120" s="1"/>
      <c r="B120" s="184"/>
      <c r="C120" s="50" t="s">
        <v>212</v>
      </c>
      <c r="D120" s="51"/>
      <c r="E120" s="80">
        <f>E121</f>
        <v>4111303145.3699999</v>
      </c>
      <c r="F120" s="80">
        <f>F121</f>
        <v>4143001341.8699999</v>
      </c>
      <c r="G120" s="40">
        <f>SUM(G121)</f>
        <v>31698196.5</v>
      </c>
      <c r="H120" s="123"/>
      <c r="I120" s="123"/>
      <c r="J120" s="40">
        <f t="shared" si="16"/>
        <v>4143001341.8699999</v>
      </c>
      <c r="K120" s="95"/>
      <c r="L120" s="82"/>
      <c r="M120" s="82"/>
      <c r="N120" s="56"/>
      <c r="O120" s="71"/>
      <c r="P120" s="109"/>
      <c r="Q120" s="2"/>
      <c r="R120" s="2"/>
      <c r="S120" s="3"/>
      <c r="T120" s="3"/>
      <c r="U120" s="4"/>
    </row>
    <row r="121" spans="1:21" s="49" customFormat="1" ht="22.15" customHeight="1">
      <c r="A121" s="1" t="s">
        <v>394</v>
      </c>
      <c r="B121" s="184" t="s">
        <v>420</v>
      </c>
      <c r="C121" s="59" t="s">
        <v>214</v>
      </c>
      <c r="D121" s="60" t="s">
        <v>215</v>
      </c>
      <c r="E121" s="63">
        <v>4111303145.3699999</v>
      </c>
      <c r="F121" s="61">
        <f>M121*O121/100</f>
        <v>4143001341.8699999</v>
      </c>
      <c r="G121" s="61">
        <f>F121-E121</f>
        <v>31698196.5</v>
      </c>
      <c r="H121" s="129"/>
      <c r="I121" s="129"/>
      <c r="J121" s="61">
        <f t="shared" si="16"/>
        <v>4143001341.8699999</v>
      </c>
      <c r="K121" s="76"/>
      <c r="L121" s="63">
        <v>4111303145.3699999</v>
      </c>
      <c r="M121" s="63">
        <v>4143001341.8699999</v>
      </c>
      <c r="N121" s="64"/>
      <c r="O121" s="65">
        <f>ROUND(IF(K121=0,E121/L121*100,N121/K121*100),2)</f>
        <v>100</v>
      </c>
      <c r="P121" s="120"/>
      <c r="Q121" s="2">
        <v>4111303145.3699999</v>
      </c>
      <c r="R121" s="2">
        <f>E121-Q121</f>
        <v>0</v>
      </c>
      <c r="S121" s="3"/>
      <c r="T121" s="3"/>
      <c r="U121" s="4"/>
    </row>
    <row r="122" spans="1:21" s="49" customFormat="1" ht="22.15" customHeight="1">
      <c r="A122" s="1"/>
      <c r="B122" s="184"/>
      <c r="C122" s="50" t="s">
        <v>216</v>
      </c>
      <c r="D122" s="51"/>
      <c r="E122" s="80">
        <f>SUM(E123:E124)</f>
        <v>96439637671.779999</v>
      </c>
      <c r="F122" s="80">
        <f>SUM(F123:F124)</f>
        <v>221710824085.85001</v>
      </c>
      <c r="G122" s="40">
        <f>SUM(G123:G124)</f>
        <v>125271186414.07001</v>
      </c>
      <c r="H122" s="123"/>
      <c r="I122" s="123"/>
      <c r="J122" s="40">
        <f t="shared" si="16"/>
        <v>221710824085.85001</v>
      </c>
      <c r="K122" s="95"/>
      <c r="L122" s="82"/>
      <c r="M122" s="82"/>
      <c r="N122" s="56"/>
      <c r="O122" s="57"/>
      <c r="P122" s="109"/>
      <c r="Q122" s="2"/>
      <c r="R122" s="2"/>
      <c r="S122" s="3"/>
      <c r="T122" s="3"/>
      <c r="U122" s="4"/>
    </row>
    <row r="123" spans="1:21" s="49" customFormat="1" ht="22.15" customHeight="1">
      <c r="A123" s="1" t="s">
        <v>395</v>
      </c>
      <c r="B123" s="184" t="s">
        <v>420</v>
      </c>
      <c r="C123" s="59" t="s">
        <v>218</v>
      </c>
      <c r="D123" s="60" t="s">
        <v>219</v>
      </c>
      <c r="E123" s="61">
        <v>42973713213.779999</v>
      </c>
      <c r="F123" s="61">
        <f>M123*O123/100</f>
        <v>155795362100.69</v>
      </c>
      <c r="G123" s="61">
        <f>F123-E123</f>
        <v>112821648886.91</v>
      </c>
      <c r="H123" s="61"/>
      <c r="I123" s="61"/>
      <c r="J123" s="61">
        <f t="shared" si="16"/>
        <v>155795362100.69</v>
      </c>
      <c r="K123" s="76"/>
      <c r="L123" s="61">
        <v>42973713213.779999</v>
      </c>
      <c r="M123" s="61">
        <v>155795362100.69</v>
      </c>
      <c r="N123" s="76"/>
      <c r="O123" s="152">
        <f>ROUND(IF(K123=0,E123/L123*100,N123/K123*100),2)</f>
        <v>100</v>
      </c>
      <c r="P123" s="153"/>
      <c r="Q123" s="2">
        <v>42973713213.779999</v>
      </c>
      <c r="R123" s="2">
        <f>E123-Q123</f>
        <v>0</v>
      </c>
      <c r="S123" s="3"/>
      <c r="T123" s="3"/>
      <c r="U123" s="4"/>
    </row>
    <row r="124" spans="1:21" s="49" customFormat="1" ht="22.15" customHeight="1">
      <c r="A124" s="1" t="s">
        <v>396</v>
      </c>
      <c r="B124" s="184" t="s">
        <v>420</v>
      </c>
      <c r="C124" s="59" t="s">
        <v>221</v>
      </c>
      <c r="D124" s="60" t="s">
        <v>222</v>
      </c>
      <c r="E124" s="61">
        <v>53465924458</v>
      </c>
      <c r="F124" s="61">
        <f>M124*O124/100</f>
        <v>65915461985.160004</v>
      </c>
      <c r="G124" s="61">
        <f>F124-E124</f>
        <v>12449537527.160004</v>
      </c>
      <c r="H124" s="61"/>
      <c r="I124" s="61"/>
      <c r="J124" s="61">
        <f t="shared" si="16"/>
        <v>65915461985.160004</v>
      </c>
      <c r="K124" s="76"/>
      <c r="L124" s="61">
        <f>57801254961-4430718547+95388044</f>
        <v>53465924458</v>
      </c>
      <c r="M124" s="61">
        <v>65915461985.160004</v>
      </c>
      <c r="N124" s="76"/>
      <c r="O124" s="152">
        <f>ROUND(IF(K124=0,E124/L124*100,N124/K124*100),2)</f>
        <v>100</v>
      </c>
      <c r="P124" s="153"/>
      <c r="Q124" s="2">
        <v>50763710759</v>
      </c>
      <c r="R124" s="2">
        <f>E124-Q124</f>
        <v>2702213699</v>
      </c>
      <c r="S124" s="3"/>
      <c r="T124" s="3"/>
      <c r="U124" s="4"/>
    </row>
    <row r="125" spans="1:21" s="49" customFormat="1" ht="22.15" customHeight="1">
      <c r="A125" s="1"/>
      <c r="B125" s="184"/>
      <c r="C125" s="50" t="s">
        <v>223</v>
      </c>
      <c r="D125" s="51"/>
      <c r="E125" s="80">
        <f>E126</f>
        <v>724955281023.48999</v>
      </c>
      <c r="F125" s="80">
        <f>F126</f>
        <v>932414919586.67993</v>
      </c>
      <c r="G125" s="40">
        <f>SUM(G126)</f>
        <v>207459638563.19</v>
      </c>
      <c r="H125" s="123"/>
      <c r="I125" s="123"/>
      <c r="J125" s="40">
        <f t="shared" si="16"/>
        <v>932414919586.67993</v>
      </c>
      <c r="K125" s="95"/>
      <c r="L125" s="82"/>
      <c r="M125" s="82"/>
      <c r="N125" s="56"/>
      <c r="O125" s="57"/>
      <c r="P125" s="109"/>
      <c r="Q125" s="2"/>
      <c r="R125" s="2"/>
      <c r="S125" s="3"/>
      <c r="T125" s="3"/>
      <c r="U125" s="4"/>
    </row>
    <row r="126" spans="1:21" s="49" customFormat="1" ht="22.15" customHeight="1">
      <c r="A126" s="1"/>
      <c r="B126" s="189" t="s">
        <v>415</v>
      </c>
      <c r="C126" s="59"/>
      <c r="D126" s="60" t="s">
        <v>224</v>
      </c>
      <c r="E126" s="61">
        <f>SUM(E127:E130)</f>
        <v>724955281023.48999</v>
      </c>
      <c r="F126" s="61">
        <f>SUM(F127:F130)</f>
        <v>932414919586.67993</v>
      </c>
      <c r="G126" s="190">
        <f>SUM(G127:G130)</f>
        <v>207459638563.19</v>
      </c>
      <c r="H126" s="129"/>
      <c r="I126" s="63"/>
      <c r="J126" s="190">
        <f t="shared" si="16"/>
        <v>932414919586.67993</v>
      </c>
      <c r="K126" s="76"/>
      <c r="L126" s="63">
        <f>SUM(L127:L130)</f>
        <v>724955281023.48999</v>
      </c>
      <c r="M126" s="192">
        <f>SUM(M127:M130)</f>
        <v>927445376159.67993</v>
      </c>
      <c r="N126" s="64"/>
      <c r="O126" s="65">
        <f>ROUND(IF(K126=0,E126/L126*100,N126/K126*100),2)</f>
        <v>100</v>
      </c>
      <c r="P126" s="120"/>
      <c r="Q126" s="2">
        <v>724955281023.48999</v>
      </c>
      <c r="R126" s="2">
        <f>E126-Q126</f>
        <v>0</v>
      </c>
      <c r="S126" s="3"/>
      <c r="T126" s="3"/>
      <c r="U126" s="4"/>
    </row>
    <row r="127" spans="1:21" s="49" customFormat="1" ht="22.15" customHeight="1">
      <c r="A127" s="1" t="s">
        <v>397</v>
      </c>
      <c r="B127" s="189" t="s">
        <v>419</v>
      </c>
      <c r="C127" s="59" t="s">
        <v>226</v>
      </c>
      <c r="D127" s="154" t="s">
        <v>227</v>
      </c>
      <c r="E127" s="61">
        <v>72282362195.639999</v>
      </c>
      <c r="F127" s="61">
        <f>M127*O127/100</f>
        <v>180011907795.67999</v>
      </c>
      <c r="G127" s="190">
        <f>F127-E127</f>
        <v>107729545600.03999</v>
      </c>
      <c r="H127" s="144"/>
      <c r="I127" s="63"/>
      <c r="J127" s="190">
        <f>E127+G127+I127</f>
        <v>180011907795.67999</v>
      </c>
      <c r="K127" s="76"/>
      <c r="L127" s="63">
        <f>84875412195.64-5654786000-6938264000</f>
        <v>72282362195.639999</v>
      </c>
      <c r="M127" s="190">
        <v>180011907795.67999</v>
      </c>
      <c r="N127" s="64"/>
      <c r="O127" s="65">
        <f>ROUND(IF(K127=0,E127/L127*100,N127/K127*100),2)</f>
        <v>100</v>
      </c>
      <c r="P127" s="120"/>
      <c r="Q127" s="77"/>
      <c r="R127" s="77"/>
      <c r="S127" s="78"/>
      <c r="T127" s="78"/>
      <c r="U127" s="4"/>
    </row>
    <row r="128" spans="1:21" s="49" customFormat="1" ht="22.15" customHeight="1">
      <c r="A128" s="1" t="s">
        <v>228</v>
      </c>
      <c r="B128" s="184" t="s">
        <v>420</v>
      </c>
      <c r="C128" s="59" t="s">
        <v>229</v>
      </c>
      <c r="D128" s="154" t="s">
        <v>230</v>
      </c>
      <c r="E128" s="61">
        <v>641873529526.84998</v>
      </c>
      <c r="F128" s="61">
        <f>M128*O128/100</f>
        <v>735351853751</v>
      </c>
      <c r="G128" s="61">
        <f>F128-E128</f>
        <v>93478324224.150024</v>
      </c>
      <c r="H128" s="129"/>
      <c r="I128" s="63"/>
      <c r="J128" s="61">
        <f t="shared" si="16"/>
        <v>735351853751</v>
      </c>
      <c r="K128" s="76"/>
      <c r="L128" s="63">
        <f>669725236805.85-11705151000-16146957000-218700+619421</f>
        <v>641873529526.84998</v>
      </c>
      <c r="M128" s="61">
        <v>735351853751</v>
      </c>
      <c r="N128" s="64"/>
      <c r="O128" s="65">
        <f>ROUND(IF(K128=0,E128/L128*100,N128/K128*100),2)</f>
        <v>100</v>
      </c>
      <c r="P128" s="120"/>
      <c r="Q128" s="2"/>
      <c r="R128" s="2"/>
      <c r="S128" s="3"/>
      <c r="T128" s="3"/>
      <c r="U128" s="4"/>
    </row>
    <row r="129" spans="1:21" s="49" customFormat="1" ht="22.15" customHeight="1">
      <c r="A129" s="1" t="s">
        <v>231</v>
      </c>
      <c r="B129" s="184" t="s">
        <v>420</v>
      </c>
      <c r="C129" s="59" t="s">
        <v>232</v>
      </c>
      <c r="D129" s="154" t="s">
        <v>233</v>
      </c>
      <c r="E129" s="61">
        <v>10499389301</v>
      </c>
      <c r="F129" s="86">
        <f>M129*O129/100</f>
        <v>17051158040</v>
      </c>
      <c r="G129" s="61">
        <f>F129-E129</f>
        <v>6551768739</v>
      </c>
      <c r="H129" s="129"/>
      <c r="I129" s="63"/>
      <c r="J129" s="61">
        <f>E129+G129+I129</f>
        <v>17051158040</v>
      </c>
      <c r="K129" s="76"/>
      <c r="L129" s="63">
        <v>10499389301</v>
      </c>
      <c r="M129" s="61">
        <v>17051158040</v>
      </c>
      <c r="N129" s="64"/>
      <c r="O129" s="65">
        <f>ROUND(IF(K129=0,E129/L129*100,N129/K129*100),2)</f>
        <v>100</v>
      </c>
      <c r="P129" s="120"/>
      <c r="Q129" s="2"/>
      <c r="R129" s="2"/>
      <c r="S129" s="3"/>
      <c r="T129" s="3"/>
      <c r="U129" s="4"/>
    </row>
    <row r="130" spans="1:21" s="49" customFormat="1" ht="22.15" customHeight="1">
      <c r="A130" s="1" t="s">
        <v>234</v>
      </c>
      <c r="B130" s="184" t="s">
        <v>420</v>
      </c>
      <c r="C130" s="59" t="s">
        <v>229</v>
      </c>
      <c r="D130" s="154" t="s">
        <v>235</v>
      </c>
      <c r="E130" s="61">
        <v>300000000</v>
      </c>
      <c r="F130" s="61">
        <f>IF(M130&lt;0,0,M130*O130/100)</f>
        <v>0</v>
      </c>
      <c r="G130" s="61">
        <f>F130-E130</f>
        <v>-300000000</v>
      </c>
      <c r="H130" s="129"/>
      <c r="I130" s="63"/>
      <c r="J130" s="61">
        <f t="shared" si="16"/>
        <v>0</v>
      </c>
      <c r="K130" s="76"/>
      <c r="L130" s="63">
        <v>300000000</v>
      </c>
      <c r="M130" s="61">
        <v>-4969543427</v>
      </c>
      <c r="N130" s="64"/>
      <c r="O130" s="65">
        <f>ROUND(IF(K130=0,E130/L130*100,N130/K130*100),2)</f>
        <v>100</v>
      </c>
      <c r="P130" s="120"/>
      <c r="Q130" s="2"/>
      <c r="R130" s="2"/>
      <c r="S130" s="3"/>
      <c r="T130" s="3"/>
      <c r="U130" s="4"/>
    </row>
    <row r="131" spans="1:21" s="49" customFormat="1" ht="22.15" customHeight="1">
      <c r="A131" s="1"/>
      <c r="B131" s="184"/>
      <c r="C131" s="50" t="s">
        <v>236</v>
      </c>
      <c r="D131" s="51"/>
      <c r="E131" s="80">
        <f>E132</f>
        <v>625000</v>
      </c>
      <c r="F131" s="80">
        <f>F132</f>
        <v>5208984</v>
      </c>
      <c r="G131" s="40">
        <f>SUM(G132)</f>
        <v>4583984</v>
      </c>
      <c r="H131" s="123"/>
      <c r="I131" s="123"/>
      <c r="J131" s="40">
        <f t="shared" si="16"/>
        <v>5208984</v>
      </c>
      <c r="K131" s="95"/>
      <c r="L131" s="82"/>
      <c r="M131" s="82"/>
      <c r="N131" s="56"/>
      <c r="O131" s="57"/>
      <c r="P131" s="109"/>
      <c r="Q131" s="2"/>
      <c r="R131" s="2"/>
      <c r="S131" s="3"/>
      <c r="T131" s="3"/>
      <c r="U131" s="4"/>
    </row>
    <row r="132" spans="1:21" s="49" customFormat="1" ht="22.15" customHeight="1">
      <c r="A132" s="1" t="s">
        <v>398</v>
      </c>
      <c r="B132" s="184" t="s">
        <v>420</v>
      </c>
      <c r="C132" s="59" t="s">
        <v>238</v>
      </c>
      <c r="D132" s="60" t="s">
        <v>239</v>
      </c>
      <c r="E132" s="63">
        <v>625000</v>
      </c>
      <c r="F132" s="61">
        <f>M132*O132/100</f>
        <v>5208984</v>
      </c>
      <c r="G132" s="61">
        <f>F132-E132</f>
        <v>4583984</v>
      </c>
      <c r="H132" s="129"/>
      <c r="I132" s="155"/>
      <c r="J132" s="61">
        <f t="shared" si="16"/>
        <v>5208984</v>
      </c>
      <c r="K132" s="76"/>
      <c r="L132" s="63">
        <v>625000</v>
      </c>
      <c r="M132" s="63">
        <v>5208984</v>
      </c>
      <c r="N132" s="64"/>
      <c r="O132" s="65">
        <f>ROUND(IF(K132=0,E132/L132*100,N132/K132*100),2)</f>
        <v>100</v>
      </c>
      <c r="P132" s="120"/>
      <c r="Q132" s="2">
        <v>625000</v>
      </c>
      <c r="R132" s="2">
        <f>E132-Q132</f>
        <v>0</v>
      </c>
      <c r="S132" s="3"/>
      <c r="T132" s="3"/>
      <c r="U132" s="4"/>
    </row>
    <row r="133" spans="1:21" s="49" customFormat="1" ht="22.15" customHeight="1">
      <c r="A133" s="1"/>
      <c r="B133" s="184"/>
      <c r="C133" s="50" t="s">
        <v>240</v>
      </c>
      <c r="D133" s="51"/>
      <c r="E133" s="80">
        <f>E134</f>
        <v>544736984.34000003</v>
      </c>
      <c r="F133" s="80">
        <f>F134</f>
        <v>2394296994</v>
      </c>
      <c r="G133" s="40">
        <f>SUM(G134)</f>
        <v>1849560009.6599998</v>
      </c>
      <c r="H133" s="123"/>
      <c r="I133" s="123"/>
      <c r="J133" s="40">
        <f t="shared" si="16"/>
        <v>2394296994</v>
      </c>
      <c r="K133" s="95"/>
      <c r="L133" s="82"/>
      <c r="M133" s="82"/>
      <c r="N133" s="56"/>
      <c r="O133" s="57"/>
      <c r="P133" s="109"/>
      <c r="Q133" s="2"/>
      <c r="R133" s="2"/>
      <c r="S133" s="3"/>
      <c r="T133" s="3"/>
      <c r="U133" s="4"/>
    </row>
    <row r="134" spans="1:21" s="49" customFormat="1" ht="22.15" customHeight="1">
      <c r="A134" s="1" t="s">
        <v>399</v>
      </c>
      <c r="B134" s="184" t="s">
        <v>420</v>
      </c>
      <c r="C134" s="59" t="s">
        <v>357</v>
      </c>
      <c r="D134" s="60" t="s">
        <v>242</v>
      </c>
      <c r="E134" s="63">
        <v>544736984.34000003</v>
      </c>
      <c r="F134" s="61">
        <f>M134*O134/100</f>
        <v>2394296994</v>
      </c>
      <c r="G134" s="61">
        <f>F134-E134</f>
        <v>1849560009.6599998</v>
      </c>
      <c r="H134" s="129"/>
      <c r="I134" s="129"/>
      <c r="J134" s="61">
        <f t="shared" si="16"/>
        <v>2394296994</v>
      </c>
      <c r="K134" s="76"/>
      <c r="L134" s="63">
        <v>544736984.34000003</v>
      </c>
      <c r="M134" s="63">
        <v>2394296994</v>
      </c>
      <c r="N134" s="64"/>
      <c r="O134" s="65">
        <f>ROUND(IF(K134=0,E134/L134*100,N134/K134*100),2)</f>
        <v>100</v>
      </c>
      <c r="P134" s="120"/>
      <c r="Q134" s="2">
        <v>365526984.33999997</v>
      </c>
      <c r="R134" s="2">
        <f>E134-Q134</f>
        <v>179210000.00000006</v>
      </c>
      <c r="S134" s="3"/>
      <c r="T134" s="3"/>
      <c r="U134" s="4"/>
    </row>
    <row r="135" spans="1:21" s="49" customFormat="1" ht="22.15" customHeight="1">
      <c r="A135" s="1"/>
      <c r="B135" s="184"/>
      <c r="C135" s="50" t="s">
        <v>243</v>
      </c>
      <c r="D135" s="51"/>
      <c r="E135" s="80">
        <f>SUM(E136:E140)</f>
        <v>17445544001.919998</v>
      </c>
      <c r="F135" s="80">
        <f>SUM(F136:F140)</f>
        <v>40836549821.899994</v>
      </c>
      <c r="G135" s="80">
        <f>SUM(G136:G140)</f>
        <v>23391005819.98</v>
      </c>
      <c r="H135" s="123"/>
      <c r="I135" s="123"/>
      <c r="J135" s="40">
        <f t="shared" si="16"/>
        <v>40836549821.899994</v>
      </c>
      <c r="K135" s="95"/>
      <c r="L135" s="82"/>
      <c r="M135" s="82"/>
      <c r="N135" s="56"/>
      <c r="O135" s="57"/>
      <c r="P135" s="109"/>
      <c r="Q135" s="2"/>
      <c r="R135" s="2"/>
      <c r="S135" s="3"/>
      <c r="T135" s="3"/>
      <c r="U135" s="4"/>
    </row>
    <row r="136" spans="1:21" s="49" customFormat="1" ht="22.15" customHeight="1">
      <c r="A136" s="1" t="s">
        <v>400</v>
      </c>
      <c r="B136" s="184" t="s">
        <v>420</v>
      </c>
      <c r="C136" s="59" t="s">
        <v>245</v>
      </c>
      <c r="D136" s="60" t="s">
        <v>246</v>
      </c>
      <c r="E136" s="63">
        <v>16070185001.92</v>
      </c>
      <c r="F136" s="61">
        <f>M136*O136/100</f>
        <v>37789457816.129997</v>
      </c>
      <c r="G136" s="61">
        <f>F136-E136</f>
        <v>21719272814.209999</v>
      </c>
      <c r="H136" s="129"/>
      <c r="I136" s="129"/>
      <c r="J136" s="61">
        <f t="shared" si="16"/>
        <v>37789457816.129997</v>
      </c>
      <c r="K136" s="76"/>
      <c r="L136" s="63">
        <f>16066206393.92+3978608</f>
        <v>16070185001.92</v>
      </c>
      <c r="M136" s="63">
        <v>37789457816.129997</v>
      </c>
      <c r="N136" s="64"/>
      <c r="O136" s="65">
        <f>ROUND(IF(K136=0,E136/L136*100,N136/K136*100),2)</f>
        <v>100</v>
      </c>
      <c r="P136" s="120"/>
      <c r="Q136" s="2">
        <v>16027286001.92</v>
      </c>
      <c r="R136" s="2">
        <f>E136-Q136</f>
        <v>42899000</v>
      </c>
      <c r="S136" s="3"/>
      <c r="T136" s="3"/>
      <c r="U136" s="4"/>
    </row>
    <row r="137" spans="1:21" s="49" customFormat="1" ht="22.15" customHeight="1">
      <c r="A137" s="1" t="s">
        <v>247</v>
      </c>
      <c r="B137" s="184" t="s">
        <v>420</v>
      </c>
      <c r="C137" s="59" t="s">
        <v>245</v>
      </c>
      <c r="D137" s="60" t="s">
        <v>248</v>
      </c>
      <c r="E137" s="63">
        <v>1000000</v>
      </c>
      <c r="F137" s="61">
        <f>M137*O137/100</f>
        <v>447172013</v>
      </c>
      <c r="G137" s="61">
        <f>F137-E137</f>
        <v>446172013</v>
      </c>
      <c r="H137" s="129"/>
      <c r="I137" s="129"/>
      <c r="J137" s="61">
        <f>E137+G137+I137</f>
        <v>447172013</v>
      </c>
      <c r="K137" s="76"/>
      <c r="L137" s="63">
        <v>1000000</v>
      </c>
      <c r="M137" s="63">
        <v>447172013</v>
      </c>
      <c r="N137" s="64"/>
      <c r="O137" s="65">
        <f>ROUND(IF(K137=0,E137/L137*100,N137/K137*100),2)</f>
        <v>100</v>
      </c>
      <c r="P137" s="120"/>
      <c r="Q137" s="2">
        <v>1000000</v>
      </c>
      <c r="R137" s="2">
        <f>E137-Q137</f>
        <v>0</v>
      </c>
      <c r="S137" s="3"/>
      <c r="T137" s="3"/>
      <c r="U137" s="4"/>
    </row>
    <row r="138" spans="1:21" s="49" customFormat="1" ht="22.15" customHeight="1">
      <c r="A138" s="1" t="s">
        <v>249</v>
      </c>
      <c r="B138" s="184" t="s">
        <v>420</v>
      </c>
      <c r="C138" s="59" t="s">
        <v>245</v>
      </c>
      <c r="D138" s="60" t="s">
        <v>250</v>
      </c>
      <c r="E138" s="63">
        <v>930000</v>
      </c>
      <c r="F138" s="61">
        <f>M138*O138/100</f>
        <v>290799224</v>
      </c>
      <c r="G138" s="61">
        <f>F138-E138</f>
        <v>289869224</v>
      </c>
      <c r="H138" s="129"/>
      <c r="I138" s="129"/>
      <c r="J138" s="61">
        <f>E138+G138+I138</f>
        <v>290799224</v>
      </c>
      <c r="K138" s="76"/>
      <c r="L138" s="63">
        <v>930000</v>
      </c>
      <c r="M138" s="63">
        <v>290799224</v>
      </c>
      <c r="N138" s="64"/>
      <c r="O138" s="65">
        <f>ROUND(IF(K138=0,E138/L138*100,N138/K138*100),2)</f>
        <v>100</v>
      </c>
      <c r="P138" s="120"/>
      <c r="Q138" s="2">
        <v>930000</v>
      </c>
      <c r="R138" s="2">
        <f>E138-Q138</f>
        <v>0</v>
      </c>
      <c r="S138" s="3"/>
      <c r="T138" s="3"/>
      <c r="U138" s="4"/>
    </row>
    <row r="139" spans="1:21" s="49" customFormat="1" ht="22.15" customHeight="1">
      <c r="A139" s="1" t="s">
        <v>251</v>
      </c>
      <c r="B139" s="184" t="s">
        <v>420</v>
      </c>
      <c r="C139" s="59" t="s">
        <v>401</v>
      </c>
      <c r="D139" s="60" t="s">
        <v>253</v>
      </c>
      <c r="E139" s="63">
        <v>208000000</v>
      </c>
      <c r="F139" s="61">
        <f>M139*O139/100</f>
        <v>1143691768.77</v>
      </c>
      <c r="G139" s="61">
        <f>F139-E139</f>
        <v>935691768.76999998</v>
      </c>
      <c r="H139" s="129"/>
      <c r="I139" s="129"/>
      <c r="J139" s="61">
        <f t="shared" si="16"/>
        <v>1143691768.77</v>
      </c>
      <c r="K139" s="76"/>
      <c r="L139" s="63">
        <v>208000000</v>
      </c>
      <c r="M139" s="63">
        <v>1143691768.77</v>
      </c>
      <c r="N139" s="64"/>
      <c r="O139" s="65">
        <f>ROUND(IF(K139=0,E139/L139*100,N139/K139*100),2)</f>
        <v>100</v>
      </c>
      <c r="P139" s="120"/>
      <c r="Q139" s="2">
        <v>208000000</v>
      </c>
      <c r="R139" s="2">
        <f>E139-Q139</f>
        <v>0</v>
      </c>
      <c r="S139" s="3"/>
      <c r="T139" s="3"/>
      <c r="U139" s="4"/>
    </row>
    <row r="140" spans="1:21" s="96" customFormat="1" ht="22.15" customHeight="1">
      <c r="A140" s="1" t="s">
        <v>254</v>
      </c>
      <c r="B140" s="184" t="s">
        <v>420</v>
      </c>
      <c r="C140" s="59" t="s">
        <v>245</v>
      </c>
      <c r="D140" s="60" t="s">
        <v>201</v>
      </c>
      <c r="E140" s="63">
        <v>1165429000</v>
      </c>
      <c r="F140" s="61">
        <v>1165429000</v>
      </c>
      <c r="G140" s="61">
        <f>F140-E140</f>
        <v>0</v>
      </c>
      <c r="H140" s="63"/>
      <c r="I140" s="144"/>
      <c r="J140" s="61">
        <f t="shared" si="16"/>
        <v>1165429000</v>
      </c>
      <c r="K140" s="76"/>
      <c r="L140" s="63">
        <v>35929555951.910004</v>
      </c>
      <c r="M140" s="63">
        <v>53079054701</v>
      </c>
      <c r="N140" s="64"/>
      <c r="O140" s="65">
        <f>ROUND(IF(K140=0,E140/L140*100,N140/K140*100),2)</f>
        <v>3.24</v>
      </c>
      <c r="P140" s="120"/>
      <c r="Q140" s="2">
        <v>700702000</v>
      </c>
      <c r="R140" s="2">
        <f>E140-Q140</f>
        <v>464727000</v>
      </c>
      <c r="S140" s="3"/>
      <c r="T140" s="3"/>
      <c r="U140" s="99" t="s">
        <v>402</v>
      </c>
    </row>
    <row r="141" spans="1:21" s="49" customFormat="1" ht="22.15" customHeight="1">
      <c r="A141" s="1"/>
      <c r="B141" s="184"/>
      <c r="C141" s="50" t="s">
        <v>256</v>
      </c>
      <c r="D141" s="51"/>
      <c r="E141" s="80">
        <f>E142</f>
        <v>2754459700</v>
      </c>
      <c r="F141" s="80">
        <f>F142</f>
        <v>3579288001</v>
      </c>
      <c r="G141" s="40">
        <f>SUM(G142)</f>
        <v>824828301</v>
      </c>
      <c r="H141" s="123"/>
      <c r="I141" s="123"/>
      <c r="J141" s="40">
        <f t="shared" si="16"/>
        <v>3579288001</v>
      </c>
      <c r="K141" s="95"/>
      <c r="L141" s="82"/>
      <c r="M141" s="82"/>
      <c r="N141" s="56"/>
      <c r="O141" s="57"/>
      <c r="P141" s="109"/>
      <c r="Q141" s="2"/>
      <c r="R141" s="2"/>
      <c r="S141" s="3"/>
      <c r="T141" s="3"/>
      <c r="U141" s="4"/>
    </row>
    <row r="142" spans="1:21" s="96" customFormat="1" ht="22.15" customHeight="1">
      <c r="A142" s="121" t="s">
        <v>403</v>
      </c>
      <c r="B142" s="184" t="s">
        <v>420</v>
      </c>
      <c r="C142" s="59"/>
      <c r="D142" s="60" t="s">
        <v>258</v>
      </c>
      <c r="E142" s="63">
        <f>E143+E146+E144+E145</f>
        <v>2754459700</v>
      </c>
      <c r="F142" s="61">
        <f>SUM(F143:F146)</f>
        <v>3579288001</v>
      </c>
      <c r="G142" s="61">
        <f>F142-E142</f>
        <v>824828301</v>
      </c>
      <c r="H142" s="129"/>
      <c r="I142" s="129"/>
      <c r="J142" s="61">
        <f t="shared" si="16"/>
        <v>3579288001</v>
      </c>
      <c r="K142" s="76"/>
      <c r="L142" s="63">
        <f>L143+L146+L144+L145</f>
        <v>2754459700</v>
      </c>
      <c r="M142" s="63">
        <f>SUM(M143:M146)</f>
        <v>3579288001</v>
      </c>
      <c r="N142" s="76"/>
      <c r="O142" s="65">
        <f>ROUND(IF(K142=0,E142/L142*100,N142/K142*100),2)</f>
        <v>100</v>
      </c>
      <c r="P142" s="120"/>
      <c r="Q142" s="2">
        <v>2478794700</v>
      </c>
      <c r="R142" s="2">
        <f>E142-Q142</f>
        <v>275665000</v>
      </c>
      <c r="S142" s="3"/>
      <c r="T142" s="3"/>
      <c r="U142" s="99"/>
    </row>
    <row r="143" spans="1:21" s="96" customFormat="1">
      <c r="A143" s="121"/>
      <c r="B143" s="185"/>
      <c r="C143" s="59" t="s">
        <v>259</v>
      </c>
      <c r="D143" s="60" t="s">
        <v>404</v>
      </c>
      <c r="E143" s="63">
        <v>1884324276</v>
      </c>
      <c r="F143" s="61">
        <f>M143*O143/100</f>
        <v>2311573800</v>
      </c>
      <c r="G143" s="61">
        <f>F143-E143</f>
        <v>427249524</v>
      </c>
      <c r="H143" s="144"/>
      <c r="I143" s="144"/>
      <c r="J143" s="61">
        <f t="shared" si="16"/>
        <v>2311573800</v>
      </c>
      <c r="K143" s="76"/>
      <c r="L143" s="63">
        <v>1884324276</v>
      </c>
      <c r="M143" s="63">
        <v>2311573800</v>
      </c>
      <c r="N143" s="76"/>
      <c r="O143" s="65">
        <f>ROUND(IF(K143=0,E143/L143*100,N143/K143*100),2)</f>
        <v>100</v>
      </c>
      <c r="P143" s="120"/>
      <c r="Q143" s="2">
        <v>1873301276</v>
      </c>
      <c r="R143" s="2"/>
      <c r="S143" s="3"/>
      <c r="T143" s="3"/>
      <c r="U143" s="99"/>
    </row>
    <row r="144" spans="1:21" s="96" customFormat="1">
      <c r="A144" s="121"/>
      <c r="B144" s="185"/>
      <c r="C144" s="59" t="s">
        <v>259</v>
      </c>
      <c r="D144" s="60" t="s">
        <v>405</v>
      </c>
      <c r="E144" s="63">
        <v>286468081</v>
      </c>
      <c r="F144" s="61">
        <f>M144*O144/100</f>
        <v>484509193</v>
      </c>
      <c r="G144" s="61">
        <f>F144-E144</f>
        <v>198041112</v>
      </c>
      <c r="H144" s="144"/>
      <c r="I144" s="144"/>
      <c r="J144" s="61">
        <f t="shared" si="16"/>
        <v>484509193</v>
      </c>
      <c r="K144" s="76"/>
      <c r="L144" s="63">
        <v>286468081</v>
      </c>
      <c r="M144" s="63">
        <v>484509193</v>
      </c>
      <c r="N144" s="76"/>
      <c r="O144" s="65">
        <f>ROUND(IF(K144=0,E144/L144*100,N144/K144*100),2)</f>
        <v>100</v>
      </c>
      <c r="P144" s="120"/>
      <c r="Q144" s="2">
        <v>286468081</v>
      </c>
      <c r="R144" s="2"/>
      <c r="S144" s="3"/>
      <c r="T144" s="3"/>
      <c r="U144" s="99"/>
    </row>
    <row r="145" spans="1:21" s="96" customFormat="1">
      <c r="A145" s="121"/>
      <c r="B145" s="185"/>
      <c r="C145" s="59" t="s">
        <v>259</v>
      </c>
      <c r="D145" s="60" t="s">
        <v>406</v>
      </c>
      <c r="E145" s="63">
        <v>107126592</v>
      </c>
      <c r="F145" s="61">
        <f>M145*O145/100</f>
        <v>256945545</v>
      </c>
      <c r="G145" s="61">
        <f>F145-E145</f>
        <v>149818953</v>
      </c>
      <c r="H145" s="144"/>
      <c r="I145" s="144"/>
      <c r="J145" s="61">
        <f t="shared" si="16"/>
        <v>256945545</v>
      </c>
      <c r="K145" s="76"/>
      <c r="L145" s="63">
        <f>107074860+51732</f>
        <v>107126592</v>
      </c>
      <c r="M145" s="63">
        <v>256945545</v>
      </c>
      <c r="N145" s="76"/>
      <c r="O145" s="65">
        <f>ROUND(IF(K145=0,E145/L145*100,N145/K145*100),2)</f>
        <v>100</v>
      </c>
      <c r="P145" s="120"/>
      <c r="Q145" s="2">
        <v>107126592</v>
      </c>
      <c r="R145" s="2"/>
      <c r="S145" s="3"/>
      <c r="T145" s="3"/>
      <c r="U145" s="4"/>
    </row>
    <row r="146" spans="1:21" s="96" customFormat="1" ht="22.15" customHeight="1">
      <c r="A146" s="121"/>
      <c r="B146" s="185"/>
      <c r="C146" s="59" t="s">
        <v>263</v>
      </c>
      <c r="D146" s="60" t="s">
        <v>407</v>
      </c>
      <c r="E146" s="63">
        <v>476540751</v>
      </c>
      <c r="F146" s="61">
        <f>M146*O146/100</f>
        <v>526259463</v>
      </c>
      <c r="G146" s="61">
        <f>F146-E146</f>
        <v>49718712</v>
      </c>
      <c r="H146" s="144"/>
      <c r="I146" s="144"/>
      <c r="J146" s="61">
        <f t="shared" si="16"/>
        <v>526259463</v>
      </c>
      <c r="K146" s="76"/>
      <c r="L146" s="63">
        <v>476540751</v>
      </c>
      <c r="M146" s="63">
        <v>526259463</v>
      </c>
      <c r="N146" s="76"/>
      <c r="O146" s="65">
        <f>ROUND(IF(K146=0,E146/L146*100,N146/K146*100),2)</f>
        <v>100</v>
      </c>
      <c r="P146" s="120"/>
      <c r="Q146" s="2">
        <v>211898751</v>
      </c>
      <c r="R146" s="2"/>
      <c r="S146" s="3"/>
      <c r="T146" s="3"/>
      <c r="U146" s="4"/>
    </row>
    <row r="147" spans="1:21" s="49" customFormat="1" ht="22.15" customHeight="1">
      <c r="A147" s="1"/>
      <c r="B147" s="184"/>
      <c r="C147" s="50" t="s">
        <v>265</v>
      </c>
      <c r="D147" s="51"/>
      <c r="E147" s="80">
        <f>E148</f>
        <v>84104525501.5</v>
      </c>
      <c r="F147" s="80">
        <f>F148</f>
        <v>105663510645.5</v>
      </c>
      <c r="G147" s="40">
        <f>SUM(G148)</f>
        <v>21558985144</v>
      </c>
      <c r="H147" s="123"/>
      <c r="I147" s="123"/>
      <c r="J147" s="40">
        <f t="shared" si="16"/>
        <v>105663510645.5</v>
      </c>
      <c r="K147" s="95"/>
      <c r="L147" s="82"/>
      <c r="M147" s="82"/>
      <c r="N147" s="56"/>
      <c r="O147" s="57"/>
      <c r="P147" s="109"/>
      <c r="Q147" s="2"/>
      <c r="R147" s="2"/>
      <c r="S147" s="3"/>
      <c r="T147" s="3"/>
      <c r="U147" s="4"/>
    </row>
    <row r="148" spans="1:21" s="49" customFormat="1" ht="22.15" customHeight="1">
      <c r="A148" s="1" t="s">
        <v>408</v>
      </c>
      <c r="B148" s="184" t="s">
        <v>420</v>
      </c>
      <c r="C148" s="59"/>
      <c r="D148" s="156" t="s">
        <v>267</v>
      </c>
      <c r="E148" s="63">
        <f>SUM(E149:E151)</f>
        <v>84104525501.5</v>
      </c>
      <c r="F148" s="63">
        <f>SUM(F149:F151)</f>
        <v>105663510645.5</v>
      </c>
      <c r="G148" s="63">
        <f>SUM(G149:G151)</f>
        <v>21558985144</v>
      </c>
      <c r="H148" s="129"/>
      <c r="I148" s="129"/>
      <c r="J148" s="61">
        <f t="shared" si="16"/>
        <v>105663510645.5</v>
      </c>
      <c r="K148" s="76"/>
      <c r="L148" s="63">
        <f>L149+L150+L151</f>
        <v>84104525501.5</v>
      </c>
      <c r="M148" s="63">
        <f>M149+M150+M151</f>
        <v>105663510645.5</v>
      </c>
      <c r="N148" s="64"/>
      <c r="O148" s="65">
        <f>ROUND(IF(K148=0,E148/L148*100,N148/K148*100),2)</f>
        <v>100</v>
      </c>
      <c r="P148" s="120"/>
      <c r="Q148" s="2">
        <v>84104525501.5</v>
      </c>
      <c r="R148" s="2">
        <f>E148-Q148</f>
        <v>0</v>
      </c>
      <c r="S148" s="3"/>
      <c r="T148" s="3"/>
      <c r="U148" s="4"/>
    </row>
    <row r="149" spans="1:21" s="49" customFormat="1" ht="22.15" customHeight="1">
      <c r="A149" s="1"/>
      <c r="B149" s="184"/>
      <c r="C149" s="59" t="s">
        <v>268</v>
      </c>
      <c r="D149" s="156" t="s">
        <v>269</v>
      </c>
      <c r="E149" s="63">
        <v>53799904501.5</v>
      </c>
      <c r="F149" s="61">
        <f>M149*O149/100</f>
        <v>86735515141.5</v>
      </c>
      <c r="G149" s="61">
        <f>F149-E149</f>
        <v>32935610640</v>
      </c>
      <c r="H149" s="129"/>
      <c r="I149" s="129"/>
      <c r="J149" s="61">
        <f t="shared" si="16"/>
        <v>86735515141.5</v>
      </c>
      <c r="K149" s="76"/>
      <c r="L149" s="63">
        <v>53799904501.5</v>
      </c>
      <c r="M149" s="63">
        <v>86735515141.5</v>
      </c>
      <c r="N149" s="64"/>
      <c r="O149" s="65">
        <f>ROUND(IF(K149=0,E149/L149*100,N149/K149*100),2)</f>
        <v>100</v>
      </c>
      <c r="P149" s="120"/>
      <c r="Q149" s="2"/>
      <c r="R149" s="2"/>
      <c r="S149" s="3"/>
      <c r="T149" s="3"/>
      <c r="U149" s="4"/>
    </row>
    <row r="150" spans="1:21" s="49" customFormat="1" ht="22.15" customHeight="1">
      <c r="A150" s="1"/>
      <c r="B150" s="184"/>
      <c r="C150" s="59" t="s">
        <v>270</v>
      </c>
      <c r="D150" s="156" t="s">
        <v>269</v>
      </c>
      <c r="E150" s="63">
        <v>10370733000</v>
      </c>
      <c r="F150" s="61">
        <f>M150*O150/100</f>
        <v>3356289455</v>
      </c>
      <c r="G150" s="61">
        <f>F150-E150</f>
        <v>-7014443545</v>
      </c>
      <c r="H150" s="129"/>
      <c r="I150" s="129"/>
      <c r="J150" s="61">
        <f t="shared" si="16"/>
        <v>3356289455</v>
      </c>
      <c r="K150" s="76"/>
      <c r="L150" s="63">
        <v>10370733000</v>
      </c>
      <c r="M150" s="63">
        <v>3356289455</v>
      </c>
      <c r="N150" s="64"/>
      <c r="O150" s="65">
        <f>ROUND(IF(K150=0,E150/L150*100,N150/K150*100),2)</f>
        <v>100</v>
      </c>
      <c r="P150" s="120"/>
      <c r="Q150" s="2"/>
      <c r="R150" s="2"/>
      <c r="S150" s="3"/>
      <c r="T150" s="3"/>
      <c r="U150" s="4"/>
    </row>
    <row r="151" spans="1:21" s="49" customFormat="1" ht="22.15" customHeight="1">
      <c r="A151" s="1"/>
      <c r="B151" s="184"/>
      <c r="C151" s="59" t="s">
        <v>271</v>
      </c>
      <c r="D151" s="156" t="s">
        <v>269</v>
      </c>
      <c r="E151" s="63">
        <v>19933888000</v>
      </c>
      <c r="F151" s="61">
        <f>M151*O151/100</f>
        <v>15571706049</v>
      </c>
      <c r="G151" s="61">
        <f>F151-E151</f>
        <v>-4362181951</v>
      </c>
      <c r="H151" s="129"/>
      <c r="I151" s="129"/>
      <c r="J151" s="61">
        <f t="shared" si="16"/>
        <v>15571706049</v>
      </c>
      <c r="K151" s="76"/>
      <c r="L151" s="63">
        <v>19933888000</v>
      </c>
      <c r="M151" s="63">
        <v>15571706049</v>
      </c>
      <c r="N151" s="64"/>
      <c r="O151" s="65">
        <f>ROUND(IF(K151=0,E151/L151*100,N151/K151*100),2)</f>
        <v>100</v>
      </c>
      <c r="P151" s="120"/>
      <c r="Q151" s="2"/>
      <c r="R151" s="2"/>
      <c r="S151" s="3"/>
      <c r="T151" s="3"/>
      <c r="U151" s="4"/>
    </row>
    <row r="152" spans="1:21" s="49" customFormat="1" ht="22.15" customHeight="1">
      <c r="A152" s="1"/>
      <c r="B152" s="184"/>
      <c r="C152" s="50" t="s">
        <v>272</v>
      </c>
      <c r="D152" s="51"/>
      <c r="E152" s="80">
        <f>SUM(E153:E154)</f>
        <v>59767405893</v>
      </c>
      <c r="F152" s="80">
        <f>SUM(F153:F154)</f>
        <v>96212223934</v>
      </c>
      <c r="G152" s="40">
        <f>SUM(G153:G154)</f>
        <v>36444818041</v>
      </c>
      <c r="H152" s="123"/>
      <c r="I152" s="123"/>
      <c r="J152" s="40">
        <f>E152+G152+I152</f>
        <v>96212223934</v>
      </c>
      <c r="K152" s="95"/>
      <c r="L152" s="82"/>
      <c r="M152" s="82"/>
      <c r="N152" s="56"/>
      <c r="O152" s="57"/>
      <c r="P152" s="109"/>
      <c r="Q152" s="2"/>
      <c r="R152" s="2"/>
      <c r="S152" s="3"/>
      <c r="T152" s="3"/>
      <c r="U152" s="4"/>
    </row>
    <row r="153" spans="1:21" s="49" customFormat="1" ht="22.15" customHeight="1">
      <c r="A153" s="1" t="s">
        <v>409</v>
      </c>
      <c r="B153" s="184" t="s">
        <v>420</v>
      </c>
      <c r="C153" s="59" t="s">
        <v>91</v>
      </c>
      <c r="D153" s="60" t="s">
        <v>274</v>
      </c>
      <c r="E153" s="63">
        <v>14296937752</v>
      </c>
      <c r="F153" s="61">
        <f>M153*O153/100</f>
        <v>31530246747</v>
      </c>
      <c r="G153" s="61">
        <f>F153-E153</f>
        <v>17233308995</v>
      </c>
      <c r="H153" s="129"/>
      <c r="I153" s="129"/>
      <c r="J153" s="61">
        <f>E153+G153+I153</f>
        <v>31530246747</v>
      </c>
      <c r="K153" s="76"/>
      <c r="L153" s="63">
        <v>14296937752</v>
      </c>
      <c r="M153" s="63">
        <v>31530246747</v>
      </c>
      <c r="N153" s="64"/>
      <c r="O153" s="65">
        <f>ROUND(IF(K153=0,E153/L153*100,N153/K153*100),2)</f>
        <v>100</v>
      </c>
      <c r="P153" s="120"/>
      <c r="Q153" s="2">
        <v>14296937752</v>
      </c>
      <c r="R153" s="2">
        <f>E153-Q153</f>
        <v>0</v>
      </c>
      <c r="S153" s="3"/>
      <c r="T153" s="3"/>
      <c r="U153" s="4"/>
    </row>
    <row r="154" spans="1:21" s="49" customFormat="1" ht="22.15" customHeight="1">
      <c r="A154" s="1" t="s">
        <v>275</v>
      </c>
      <c r="B154" s="184" t="s">
        <v>420</v>
      </c>
      <c r="C154" s="59" t="s">
        <v>91</v>
      </c>
      <c r="D154" s="60" t="s">
        <v>276</v>
      </c>
      <c r="E154" s="63">
        <v>45470468141</v>
      </c>
      <c r="F154" s="61">
        <f>M154*O154/100</f>
        <v>64681977187</v>
      </c>
      <c r="G154" s="61">
        <f>F154-E154</f>
        <v>19211509046</v>
      </c>
      <c r="H154" s="129"/>
      <c r="I154" s="129"/>
      <c r="J154" s="61">
        <f>E154+G154+I154</f>
        <v>64681977187</v>
      </c>
      <c r="K154" s="76"/>
      <c r="L154" s="63">
        <v>45470468141</v>
      </c>
      <c r="M154" s="63">
        <v>64681977187</v>
      </c>
      <c r="N154" s="64"/>
      <c r="O154" s="65">
        <f>ROUND(IF(K154=0,E154/L154*100,N154/K154*100),2)</f>
        <v>100</v>
      </c>
      <c r="P154" s="120"/>
      <c r="Q154" s="2">
        <v>45470468141</v>
      </c>
      <c r="R154" s="2">
        <f>E154-Q154</f>
        <v>0</v>
      </c>
      <c r="S154" s="3"/>
      <c r="T154" s="3"/>
      <c r="U154" s="4"/>
    </row>
    <row r="155" spans="1:21" s="49" customFormat="1" ht="22.15" customHeight="1">
      <c r="A155" s="1"/>
      <c r="B155" s="184"/>
      <c r="C155" s="45" t="s">
        <v>410</v>
      </c>
      <c r="D155" s="51"/>
      <c r="E155" s="80">
        <f>E156</f>
        <v>100000000</v>
      </c>
      <c r="F155" s="40">
        <f>F156</f>
        <v>16974976929.690001</v>
      </c>
      <c r="G155" s="40">
        <f>G156</f>
        <v>16874976929.690001</v>
      </c>
      <c r="H155" s="123"/>
      <c r="I155" s="123"/>
      <c r="J155" s="40">
        <f t="shared" si="16"/>
        <v>16974976929.690001</v>
      </c>
      <c r="K155" s="81"/>
      <c r="L155" s="68"/>
      <c r="M155" s="68"/>
      <c r="N155" s="56"/>
      <c r="O155" s="57"/>
      <c r="P155" s="109"/>
      <c r="Q155" s="102"/>
      <c r="R155" s="102"/>
      <c r="S155" s="103"/>
      <c r="T155" s="103"/>
      <c r="U155" s="157"/>
    </row>
    <row r="156" spans="1:21" s="49" customFormat="1" ht="22.15" customHeight="1">
      <c r="A156" s="1"/>
      <c r="B156" s="184"/>
      <c r="C156" s="50" t="s">
        <v>369</v>
      </c>
      <c r="D156" s="51"/>
      <c r="E156" s="80">
        <f>E157</f>
        <v>100000000</v>
      </c>
      <c r="F156" s="80">
        <f>F157</f>
        <v>16974976929.690001</v>
      </c>
      <c r="G156" s="40">
        <f>SUM(G157)</f>
        <v>16874976929.690001</v>
      </c>
      <c r="H156" s="123"/>
      <c r="I156" s="123"/>
      <c r="J156" s="40">
        <f t="shared" si="16"/>
        <v>16974976929.690001</v>
      </c>
      <c r="K156" s="95"/>
      <c r="L156" s="82"/>
      <c r="M156" s="82"/>
      <c r="N156" s="42">
        <f>N157</f>
        <v>50000000</v>
      </c>
      <c r="O156" s="57"/>
      <c r="P156" s="109"/>
      <c r="Q156" s="102"/>
      <c r="R156" s="102"/>
      <c r="S156" s="103"/>
      <c r="T156" s="103"/>
      <c r="U156" s="104"/>
    </row>
    <row r="157" spans="1:21" s="161" customFormat="1" ht="19.5">
      <c r="A157" s="158" t="s">
        <v>411</v>
      </c>
      <c r="B157" s="184" t="s">
        <v>420</v>
      </c>
      <c r="C157" s="59" t="s">
        <v>371</v>
      </c>
      <c r="D157" s="60" t="s">
        <v>412</v>
      </c>
      <c r="E157" s="63">
        <v>100000000</v>
      </c>
      <c r="F157" s="61">
        <f>M157*O157/100</f>
        <v>16974976929.690001</v>
      </c>
      <c r="G157" s="61">
        <f>F157-E157</f>
        <v>16874976929.690001</v>
      </c>
      <c r="H157" s="129"/>
      <c r="I157" s="129"/>
      <c r="J157" s="61">
        <f t="shared" si="16"/>
        <v>16974976929.690001</v>
      </c>
      <c r="K157" s="159">
        <v>100000000</v>
      </c>
      <c r="L157" s="63">
        <v>200000000</v>
      </c>
      <c r="M157" s="61">
        <v>33949953859.380001</v>
      </c>
      <c r="N157" s="76">
        <v>50000000</v>
      </c>
      <c r="O157" s="65">
        <f>ROUND(IF(K157=0,E157/L157*100,N157/K157*100),2)</f>
        <v>50</v>
      </c>
      <c r="P157" s="120"/>
      <c r="Q157" s="102">
        <v>100000000</v>
      </c>
      <c r="R157" s="102">
        <f>E157-Q157</f>
        <v>0</v>
      </c>
      <c r="S157" s="103">
        <v>50000000</v>
      </c>
      <c r="T157" s="103">
        <f>N157-S157</f>
        <v>0</v>
      </c>
      <c r="U157" s="160"/>
    </row>
    <row r="158" spans="1:21" s="167" customFormat="1">
      <c r="A158" s="100"/>
      <c r="B158" s="184"/>
      <c r="C158" s="162"/>
      <c r="D158" s="73"/>
      <c r="E158" s="118"/>
      <c r="F158" s="118"/>
      <c r="G158" s="69"/>
      <c r="H158" s="123"/>
      <c r="I158" s="123"/>
      <c r="J158" s="53"/>
      <c r="K158" s="163"/>
      <c r="L158" s="164"/>
      <c r="M158" s="165"/>
      <c r="N158" s="166"/>
      <c r="O158" s="71"/>
      <c r="P158" s="109"/>
      <c r="Q158" s="2"/>
      <c r="R158" s="2"/>
      <c r="S158" s="3"/>
      <c r="T158" s="3"/>
      <c r="U158" s="4"/>
    </row>
    <row r="159" spans="1:21" s="173" customFormat="1" ht="19.5">
      <c r="A159" s="100"/>
      <c r="B159" s="184"/>
      <c r="C159" s="168" t="s">
        <v>413</v>
      </c>
      <c r="D159" s="169"/>
      <c r="E159" s="170">
        <f t="shared" ref="E159:J159" si="23">E85+E75+E11</f>
        <v>2859724080898.1299</v>
      </c>
      <c r="F159" s="170">
        <f t="shared" si="23"/>
        <v>6155165349443.9395</v>
      </c>
      <c r="G159" s="170">
        <f t="shared" si="23"/>
        <v>3295441268545.8101</v>
      </c>
      <c r="H159" s="170">
        <f t="shared" si="23"/>
        <v>0</v>
      </c>
      <c r="I159" s="170">
        <f t="shared" si="23"/>
        <v>0</v>
      </c>
      <c r="J159" s="170">
        <f t="shared" si="23"/>
        <v>6155165349443.9404</v>
      </c>
      <c r="K159" s="170"/>
      <c r="L159" s="170"/>
      <c r="M159" s="170"/>
      <c r="N159" s="171"/>
      <c r="O159" s="170"/>
      <c r="P159" s="172"/>
      <c r="Q159" s="2"/>
      <c r="R159" s="2"/>
      <c r="S159" s="3"/>
      <c r="T159" s="3"/>
      <c r="U159" s="4"/>
    </row>
    <row r="161" spans="3:16" ht="139.35" customHeight="1">
      <c r="C161" s="318" t="s">
        <v>414</v>
      </c>
      <c r="D161" s="319"/>
      <c r="E161" s="319"/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</row>
  </sheetData>
  <sheetProtection password="C6A7" sheet="1" objects="1" scenarios="1"/>
  <autoFilter ref="C3:P7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4">
    <mergeCell ref="C1:P1"/>
    <mergeCell ref="C3:P3"/>
    <mergeCell ref="A5:A9"/>
    <mergeCell ref="B5:B6"/>
    <mergeCell ref="C5:C10"/>
    <mergeCell ref="D5:D10"/>
    <mergeCell ref="E5:J5"/>
    <mergeCell ref="K5:O5"/>
    <mergeCell ref="F6:G6"/>
    <mergeCell ref="H6:I6"/>
    <mergeCell ref="B7:B8"/>
    <mergeCell ref="E7:E9"/>
    <mergeCell ref="F7:F9"/>
    <mergeCell ref="G7:G9"/>
    <mergeCell ref="H7:H9"/>
    <mergeCell ref="P7:P9"/>
    <mergeCell ref="C161:P161"/>
    <mergeCell ref="J7:J9"/>
    <mergeCell ref="K7:K9"/>
    <mergeCell ref="L7:L9"/>
    <mergeCell ref="M7:M9"/>
    <mergeCell ref="N7:N9"/>
    <mergeCell ref="O7:O9"/>
    <mergeCell ref="I7:I9"/>
  </mergeCells>
  <phoneticPr fontId="3" type="noConversion"/>
  <printOptions horizontalCentered="1"/>
  <pageMargins left="0.27559055118110237" right="0.27559055118110237" top="0.78740157480314965" bottom="0.78740157480314965" header="0.51181102362204722" footer="0.39370078740157483"/>
  <pageSetup paperSize="8" scale="55" fitToHeight="0" orientation="landscape" cellComments="asDisplayed" r:id="rId1"/>
  <headerFooter alignWithMargins="0"/>
  <rowBreaks count="2" manualBreakCount="2">
    <brk id="67" max="14" man="1"/>
    <brk id="12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總表</vt:lpstr>
      <vt:lpstr>107年度長期投資工作底稿(院修前)</vt:lpstr>
      <vt:lpstr>106年度長期投資工作底稿 (院修後)參考</vt:lpstr>
      <vt:lpstr>'106年度長期投資工作底稿 (院修後)參考'!Print_Area</vt:lpstr>
      <vt:lpstr>'107年度長期投資工作底稿(院修前)'!Print_Area</vt:lpstr>
      <vt:lpstr>總表!Print_Area</vt:lpstr>
      <vt:lpstr>'106年度長期投資工作底稿 (院修後)參考'!Print_Titles</vt:lpstr>
      <vt:lpstr>'107年度長期投資工作底稿(院修前)'!Print_Titles</vt:lpstr>
      <vt:lpstr>總表!Print_Titles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會計決算處公務會計科吳佳倫</dc:creator>
  <cp:lastModifiedBy>謝慧燕</cp:lastModifiedBy>
  <cp:lastPrinted>2021-04-13T10:41:00Z</cp:lastPrinted>
  <dcterms:created xsi:type="dcterms:W3CDTF">2018-04-03T02:25:05Z</dcterms:created>
  <dcterms:modified xsi:type="dcterms:W3CDTF">2021-04-13T10:41:43Z</dcterms:modified>
</cp:coreProperties>
</file>