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D:\00-公務彙編科(1090525起)\1090525-交接財政部資料from湘羚\1080829-基金審定修正總預算\111\總預算書表\修正後\非包裹轉出to世奕掛處網\"/>
    </mc:Choice>
  </mc:AlternateContent>
  <xr:revisionPtr revIDLastSave="0" documentId="13_ncr:1_{E26FFA7E-B3DC-4F3C-BBAD-CDDAC04074BD}" xr6:coauthVersionLast="36" xr6:coauthVersionMax="36" xr10:uidLastSave="{00000000-0000-0000-0000-000000000000}"/>
  <bookViews>
    <workbookView xWindow="30" yWindow="60" windowWidth="17100" windowHeight="12375" tabRatio="855" xr2:uid="{00000000-000D-0000-FFFF-FFFF00000000}"/>
  </bookViews>
  <sheets>
    <sheet name="表8" sheetId="175" r:id="rId1"/>
    <sheet name="107計畫型(法)" sheetId="143" state="hidden" r:id="rId2"/>
    <sheet name="107前瞻(法)" sheetId="153" state="hidden" r:id="rId3"/>
    <sheet name="107流域治理(法)" sheetId="138" state="hidden" r:id="rId4"/>
    <sheet name="中央106(法)" sheetId="165" state="hidden" r:id="rId5"/>
    <sheet name="直轄市106(法)" sheetId="145" state="hidden" r:id="rId6"/>
    <sheet name="縣市106(法)" sheetId="146" state="hidden" r:id="rId7"/>
    <sheet name="106計畫型原(法)" sheetId="147" state="hidden" r:id="rId8"/>
    <sheet name="106前瞻(法)" sheetId="154" state="hidden" r:id="rId9"/>
    <sheet name="106流域治理(法) (2)" sheetId="148" state="hidden" r:id="rId10"/>
    <sheet name="106計畫型(案)" sheetId="142" state="hidden" r:id="rId11"/>
    <sheet name="中央105(法)" sheetId="134" state="hidden" r:id="rId12"/>
    <sheet name="直轄市105(法)" sheetId="135" state="hidden" r:id="rId13"/>
    <sheet name="縣市105(法)" sheetId="136" state="hidden" r:id="rId14"/>
    <sheet name="中央105(原法)" sheetId="131" state="hidden" r:id="rId15"/>
    <sheet name="直轄市105(原法)" sheetId="132" state="hidden" r:id="rId16"/>
    <sheet name="縣市105(原法)" sheetId="133" state="hidden" r:id="rId17"/>
    <sheet name="中央105(案)" sheetId="115" state="hidden" r:id="rId18"/>
    <sheet name="直轄市105(案)" sheetId="114" state="hidden" r:id="rId19"/>
    <sheet name="縣市105(案)" sheetId="116" state="hidden" r:id="rId20"/>
    <sheet name="105計畫(案)" sheetId="119" state="hidden" r:id="rId21"/>
    <sheet name="105流域治理(案)" sheetId="124" state="hidden" r:id="rId22"/>
    <sheet name="中央104(法)" sheetId="101" state="hidden" r:id="rId23"/>
    <sheet name="直轄市104(法)" sheetId="102" state="hidden" r:id="rId24"/>
    <sheet name="縣市104(法)" sheetId="103" state="hidden" r:id="rId25"/>
    <sheet name="104計畫(法)" sheetId="122" state="hidden" r:id="rId26"/>
    <sheet name="104流域治理(法)" sheetId="123" state="hidden" r:id="rId27"/>
    <sheet name="參9 (104)" sheetId="140" state="hidden" r:id="rId28"/>
    <sheet name="參9 (104-105比較)" sheetId="141" state="hidden"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s>
  <definedNames>
    <definedName name="\a">#N/A</definedName>
    <definedName name="\b">#N/A</definedName>
    <definedName name="\e" localSheetId="9">[1]主管明細!#REF!</definedName>
    <definedName name="\e" localSheetId="7">[1]主管明細!#REF!</definedName>
    <definedName name="\e">[1]主管明細!#REF!</definedName>
    <definedName name="\q">#REF!</definedName>
    <definedName name="\w" localSheetId="9">#REF!</definedName>
    <definedName name="\w" localSheetId="7">#REF!</definedName>
    <definedName name="\w">#REF!</definedName>
    <definedName name="\z" localSheetId="9">[2]人基表89!#REF!</definedName>
    <definedName name="\z" localSheetId="7">[2]人基表89!#REF!</definedName>
    <definedName name="\z">[2]人基表89!#REF!</definedName>
    <definedName name="__1_891112_02" localSheetId="7">#REF!</definedName>
    <definedName name="__oil1" localSheetId="26">#REF!</definedName>
    <definedName name="__oil1" localSheetId="8">#REF!</definedName>
    <definedName name="__oil1" localSheetId="9">#REF!</definedName>
    <definedName name="__oil1" localSheetId="7">#REF!</definedName>
    <definedName name="__oil1" localSheetId="2">#REF!</definedName>
    <definedName name="__oil1">#REF!</definedName>
    <definedName name="__oil2" localSheetId="26">#REF!</definedName>
    <definedName name="__oil2" localSheetId="8">#REF!</definedName>
    <definedName name="__oil2" localSheetId="9">#REF!</definedName>
    <definedName name="__oil2" localSheetId="7">#REF!</definedName>
    <definedName name="__oil2" localSheetId="2">#REF!</definedName>
    <definedName name="__oil2">#REF!</definedName>
    <definedName name="_1_891112_02" localSheetId="9">#REF!</definedName>
    <definedName name="_1_891112_02" localSheetId="7">#REF!</definedName>
    <definedName name="_1_891112_02">#REF!</definedName>
    <definedName name="_2_891112_02" localSheetId="1">#REF!</definedName>
    <definedName name="_2_901218_02" localSheetId="9">#REF!</definedName>
    <definedName name="_2_901218_02" localSheetId="7">#REF!</definedName>
    <definedName name="_2_901218_02">#REF!</definedName>
    <definedName name="_3_891112_02">#REF!</definedName>
    <definedName name="_4_901218_02" localSheetId="7">#REF!</definedName>
    <definedName name="_5_901218_02" localSheetId="1">#REF!</definedName>
    <definedName name="_6_901218_02">#REF!</definedName>
    <definedName name="_90908_01" localSheetId="7">#REF!</definedName>
    <definedName name="_90908_01" localSheetId="1">#REF!</definedName>
    <definedName name="_90908_01">#REF!</definedName>
    <definedName name="_a" localSheetId="9">#REF!</definedName>
    <definedName name="_a" localSheetId="7">#REF!</definedName>
    <definedName name="_a">#REF!</definedName>
    <definedName name="_b" localSheetId="9">#REF!</definedName>
    <definedName name="_b" localSheetId="7">#REF!</definedName>
    <definedName name="_b">#REF!</definedName>
    <definedName name="_Fill" localSheetId="26" hidden="1">#REF!</definedName>
    <definedName name="_Fill" localSheetId="25" hidden="1">#REF!</definedName>
    <definedName name="_Fill" localSheetId="21" hidden="1">#REF!</definedName>
    <definedName name="_Fill" localSheetId="20" hidden="1">#REF!</definedName>
    <definedName name="_Fill" localSheetId="8" hidden="1">#REF!</definedName>
    <definedName name="_Fill" localSheetId="10" hidden="1">#REF!</definedName>
    <definedName name="_Fill" localSheetId="7" hidden="1">#REF!</definedName>
    <definedName name="_Fill" localSheetId="2" hidden="1">#REF!</definedName>
    <definedName name="_Fill" localSheetId="1" hidden="1">#REF!</definedName>
    <definedName name="_Fill" hidden="1">#REF!</definedName>
    <definedName name="_xlnm._FilterDatabase" localSheetId="26" hidden="1">'104流域治理(法)'!#REF!</definedName>
    <definedName name="_xlnm._FilterDatabase" localSheetId="25" hidden="1">'104計畫(法)'!$A$1:$AI$342</definedName>
    <definedName name="_xlnm._FilterDatabase" localSheetId="21" hidden="1">'105流域治理(案)'!#REF!</definedName>
    <definedName name="_xlnm._FilterDatabase" localSheetId="20" hidden="1">'105計畫(案)'!$A$1:$AI$400</definedName>
    <definedName name="_xlnm._FilterDatabase" localSheetId="8" hidden="1">'106前瞻(法)'!$A$4:$AL$107</definedName>
    <definedName name="_xlnm._FilterDatabase" localSheetId="9" hidden="1">'106流域治理(法) (2)'!#REF!</definedName>
    <definedName name="_xlnm._FilterDatabase" localSheetId="10" hidden="1">'106計畫型(案)'!$A$4:$AI$371</definedName>
    <definedName name="_xlnm._FilterDatabase" localSheetId="7" hidden="1">'106計畫型原(法)'!$A$5:$AJ$372</definedName>
    <definedName name="_xlnm._FilterDatabase" localSheetId="2" hidden="1">'107前瞻(法)'!$A$4:$AM$104</definedName>
    <definedName name="_xlnm._FilterDatabase" localSheetId="3" hidden="1">'107流域治理(法)'!#REF!</definedName>
    <definedName name="_xlnm._FilterDatabase" localSheetId="1" hidden="1">'107計畫型(法)'!$A$5:$AJ$363</definedName>
    <definedName name="_Key1" localSheetId="9" hidden="1">'[3]97TAB1'!#REF!</definedName>
    <definedName name="_Key1" localSheetId="7" hidden="1">'[3]97TAB1'!#REF!</definedName>
    <definedName name="_Key1" hidden="1">'[3]97TAB1'!#REF!</definedName>
    <definedName name="_oil1" localSheetId="26">#REF!</definedName>
    <definedName name="_oil1" localSheetId="25">#REF!</definedName>
    <definedName name="_oil1" localSheetId="21">#REF!</definedName>
    <definedName name="_oil1" localSheetId="20">#REF!</definedName>
    <definedName name="_oil1" localSheetId="8">#REF!</definedName>
    <definedName name="_oil1" localSheetId="9">#REF!</definedName>
    <definedName name="_oil1" localSheetId="10">#REF!</definedName>
    <definedName name="_oil1" localSheetId="7">#REF!</definedName>
    <definedName name="_oil1" localSheetId="2">#REF!</definedName>
    <definedName name="_oil1">#REF!</definedName>
    <definedName name="_oil2" localSheetId="26">#REF!</definedName>
    <definedName name="_oil2" localSheetId="25">#REF!</definedName>
    <definedName name="_oil2" localSheetId="21">#REF!</definedName>
    <definedName name="_oil2" localSheetId="20">#REF!</definedName>
    <definedName name="_oil2" localSheetId="8">#REF!</definedName>
    <definedName name="_oil2" localSheetId="9">#REF!</definedName>
    <definedName name="_oil2" localSheetId="10">#REF!</definedName>
    <definedName name="_oil2" localSheetId="7">#REF!</definedName>
    <definedName name="_oil2" localSheetId="2">#REF!</definedName>
    <definedName name="_oil2">#REF!</definedName>
    <definedName name="_Order1" hidden="1">0</definedName>
    <definedName name="_Parse_Out" localSheetId="9" hidden="1">#REF!</definedName>
    <definedName name="_Parse_Out" localSheetId="7" hidden="1">#REF!</definedName>
    <definedName name="_Parse_Out" hidden="1">#REF!</definedName>
    <definedName name="A" localSheetId="10" hidden="1">{"'87-90'!$A$1:$R$28"}</definedName>
    <definedName name="A" localSheetId="7" hidden="1">{"'87-90'!$A$1:$R$28"}</definedName>
    <definedName name="A" localSheetId="2" hidden="1">{"'87-90'!$A$1:$R$28"}</definedName>
    <definedName name="A" localSheetId="1" hidden="1">{"'87-90'!$A$1:$R$28"}</definedName>
    <definedName name="A" localSheetId="4" hidden="1">{"'87-90'!$A$1:$R$28"}</definedName>
    <definedName name="A" localSheetId="27" hidden="1">{"'87-90'!$A$1:$R$28"}</definedName>
    <definedName name="A" localSheetId="28" hidden="1">{"'87-90'!$A$1:$R$28"}</definedName>
    <definedName name="A" hidden="1">{"'87-90'!$A$1:$R$28"}</definedName>
    <definedName name="A_\BP7082.BB">#REF!</definedName>
    <definedName name="A_\BR7082.AA">#N/A</definedName>
    <definedName name="A_\MP\BA8081.JJ">#REF!</definedName>
    <definedName name="A__MP_BA8081.JJ">#REF!</definedName>
    <definedName name="A_BR8203.JJ">#REF!</definedName>
    <definedName name="A_BR8203.JK">#REF!</definedName>
    <definedName name="A1_">#N/A</definedName>
    <definedName name="AA">#REF!</definedName>
    <definedName name="aaa" localSheetId="10" hidden="1">{"'Sheet1'!$A$1:$I$102","'Sheet1'!$A$1:$I$104"}</definedName>
    <definedName name="aaa" localSheetId="7" hidden="1">{"'Sheet1'!$A$1:$I$102","'Sheet1'!$A$1:$I$104"}</definedName>
    <definedName name="aaa" localSheetId="2" hidden="1">{"'Sheet1'!$A$1:$I$102","'Sheet1'!$A$1:$I$104"}</definedName>
    <definedName name="aaa" localSheetId="1" hidden="1">{"'Sheet1'!$A$1:$I$102","'Sheet1'!$A$1:$I$104"}</definedName>
    <definedName name="aaa" localSheetId="4" hidden="1">{"'Sheet1'!$A$1:$I$102","'Sheet1'!$A$1:$I$104"}</definedName>
    <definedName name="aaa" localSheetId="27" hidden="1">{"'Sheet1'!$A$1:$I$102","'Sheet1'!$A$1:$I$104"}</definedName>
    <definedName name="aaa" localSheetId="28" hidden="1">{"'Sheet1'!$A$1:$I$102","'Sheet1'!$A$1:$I$104"}</definedName>
    <definedName name="aaa" hidden="1">{"'Sheet1'!$A$1:$I$102","'Sheet1'!$A$1:$I$104"}</definedName>
    <definedName name="aaaaaaaaaaaaa" localSheetId="10" hidden="1">{"'Sheet1'!$A$1:$I$102","'Sheet1'!$A$1:$I$104"}</definedName>
    <definedName name="aaaaaaaaaaaaa" localSheetId="7" hidden="1">{"'Sheet1'!$A$1:$I$102","'Sheet1'!$A$1:$I$104"}</definedName>
    <definedName name="aaaaaaaaaaaaa" localSheetId="2" hidden="1">{"'Sheet1'!$A$1:$I$102","'Sheet1'!$A$1:$I$104"}</definedName>
    <definedName name="aaaaaaaaaaaaa" localSheetId="1" hidden="1">{"'Sheet1'!$A$1:$I$102","'Sheet1'!$A$1:$I$104"}</definedName>
    <definedName name="aaaaaaaaaaaaa" localSheetId="4" hidden="1">{"'Sheet1'!$A$1:$I$102","'Sheet1'!$A$1:$I$104"}</definedName>
    <definedName name="aaaaaaaaaaaaa" localSheetId="27" hidden="1">{"'Sheet1'!$A$1:$I$102","'Sheet1'!$A$1:$I$104"}</definedName>
    <definedName name="aaaaaaaaaaaaa" localSheetId="28" hidden="1">{"'Sheet1'!$A$1:$I$102","'Sheet1'!$A$1:$I$104"}</definedName>
    <definedName name="aaaaaaaaaaaaa" hidden="1">{"'Sheet1'!$A$1:$I$102","'Sheet1'!$A$1:$I$104"}</definedName>
    <definedName name="aaawerwaerwear" localSheetId="10" hidden="1">{"'Sheet1'!$A$1:$I$102","'Sheet1'!$A$1:$I$104"}</definedName>
    <definedName name="aaawerwaerwear" localSheetId="7" hidden="1">{"'Sheet1'!$A$1:$I$102","'Sheet1'!$A$1:$I$104"}</definedName>
    <definedName name="aaawerwaerwear" localSheetId="2" hidden="1">{"'Sheet1'!$A$1:$I$102","'Sheet1'!$A$1:$I$104"}</definedName>
    <definedName name="aaawerwaerwear" localSheetId="1" hidden="1">{"'Sheet1'!$A$1:$I$102","'Sheet1'!$A$1:$I$104"}</definedName>
    <definedName name="aaawerwaerwear" localSheetId="4" hidden="1">{"'Sheet1'!$A$1:$I$102","'Sheet1'!$A$1:$I$104"}</definedName>
    <definedName name="aaawerwaerwear" localSheetId="27" hidden="1">{"'Sheet1'!$A$1:$I$102","'Sheet1'!$A$1:$I$104"}</definedName>
    <definedName name="aaawerwaerwear" localSheetId="28" hidden="1">{"'Sheet1'!$A$1:$I$102","'Sheet1'!$A$1:$I$104"}</definedName>
    <definedName name="aaawerwaerwear" hidden="1">{"'Sheet1'!$A$1:$I$102","'Sheet1'!$A$1:$I$104"}</definedName>
    <definedName name="aabbbb" localSheetId="10" hidden="1">{"'Sheet1'!$A$1:$I$102","'Sheet1'!$A$1:$I$104"}</definedName>
    <definedName name="aabbbb" localSheetId="7" hidden="1">{"'Sheet1'!$A$1:$I$102","'Sheet1'!$A$1:$I$104"}</definedName>
    <definedName name="aabbbb" localSheetId="2" hidden="1">{"'Sheet1'!$A$1:$I$102","'Sheet1'!$A$1:$I$104"}</definedName>
    <definedName name="aabbbb" localSheetId="1" hidden="1">{"'Sheet1'!$A$1:$I$102","'Sheet1'!$A$1:$I$104"}</definedName>
    <definedName name="aabbbb" localSheetId="4" hidden="1">{"'Sheet1'!$A$1:$I$102","'Sheet1'!$A$1:$I$104"}</definedName>
    <definedName name="aabbbb" localSheetId="27" hidden="1">{"'Sheet1'!$A$1:$I$102","'Sheet1'!$A$1:$I$104"}</definedName>
    <definedName name="aabbbb" localSheetId="28" hidden="1">{"'Sheet1'!$A$1:$I$102","'Sheet1'!$A$1:$I$104"}</definedName>
    <definedName name="aabbbb" hidden="1">{"'Sheet1'!$A$1:$I$102","'Sheet1'!$A$1:$I$104"}</definedName>
    <definedName name="aeeeaae" localSheetId="10" hidden="1">{"'Sheet1'!$A$1:$I$102","'Sheet1'!$A$1:$I$104"}</definedName>
    <definedName name="aeeeaae" localSheetId="7" hidden="1">{"'Sheet1'!$A$1:$I$102","'Sheet1'!$A$1:$I$104"}</definedName>
    <definedName name="aeeeaae" localSheetId="2" hidden="1">{"'Sheet1'!$A$1:$I$102","'Sheet1'!$A$1:$I$104"}</definedName>
    <definedName name="aeeeaae" localSheetId="1" hidden="1">{"'Sheet1'!$A$1:$I$102","'Sheet1'!$A$1:$I$104"}</definedName>
    <definedName name="aeeeaae" localSheetId="4" hidden="1">{"'Sheet1'!$A$1:$I$102","'Sheet1'!$A$1:$I$104"}</definedName>
    <definedName name="aeeeaae" localSheetId="27" hidden="1">{"'Sheet1'!$A$1:$I$102","'Sheet1'!$A$1:$I$104"}</definedName>
    <definedName name="aeeeaae" localSheetId="28" hidden="1">{"'Sheet1'!$A$1:$I$102","'Sheet1'!$A$1:$I$104"}</definedName>
    <definedName name="aeeeaae" hidden="1">{"'Sheet1'!$A$1:$I$102","'Sheet1'!$A$1:$I$104"}</definedName>
    <definedName name="awerwaerwaerwaer" localSheetId="10" hidden="1">{"'Sheet1'!$A$1:$I$102","'Sheet1'!$A$1:$I$104"}</definedName>
    <definedName name="awerwaerwaerwaer" localSheetId="7" hidden="1">{"'Sheet1'!$A$1:$I$102","'Sheet1'!$A$1:$I$104"}</definedName>
    <definedName name="awerwaerwaerwaer" localSheetId="2" hidden="1">{"'Sheet1'!$A$1:$I$102","'Sheet1'!$A$1:$I$104"}</definedName>
    <definedName name="awerwaerwaerwaer" localSheetId="1" hidden="1">{"'Sheet1'!$A$1:$I$102","'Sheet1'!$A$1:$I$104"}</definedName>
    <definedName name="awerwaerwaerwaer" localSheetId="4" hidden="1">{"'Sheet1'!$A$1:$I$102","'Sheet1'!$A$1:$I$104"}</definedName>
    <definedName name="awerwaerwaerwaer" localSheetId="27" hidden="1">{"'Sheet1'!$A$1:$I$102","'Sheet1'!$A$1:$I$104"}</definedName>
    <definedName name="awerwaerwaerwaer" localSheetId="28" hidden="1">{"'Sheet1'!$A$1:$I$102","'Sheet1'!$A$1:$I$104"}</definedName>
    <definedName name="awerwaerwaerwaer" hidden="1">{"'Sheet1'!$A$1:$I$102","'Sheet1'!$A$1:$I$104"}</definedName>
    <definedName name="B">#REF!</definedName>
    <definedName name="BB">#REF!</definedName>
    <definedName name="BP">#N/A</definedName>
    <definedName name="BR8202.JJ">#REF!</definedName>
    <definedName name="BS8088.F.AA">#REF!</definedName>
    <definedName name="C_">#N/A</definedName>
    <definedName name="CC">#REF!</definedName>
    <definedName name="CHEN" localSheetId="9">[4]全部國營事業!#REF!</definedName>
    <definedName name="CHEN" localSheetId="7">[4]全部國營事業!#REF!</definedName>
    <definedName name="CHEN">[4]全部國營事業!#REF!</definedName>
    <definedName name="D" localSheetId="9">#REF!</definedName>
    <definedName name="D" localSheetId="7">#REF!</definedName>
    <definedName name="D">#REF!</definedName>
    <definedName name="_xlnm.Database" localSheetId="7">#REF!</definedName>
    <definedName name="_xlnm.Database" localSheetId="1">#REF!</definedName>
    <definedName name="_xlnm.Database">#REF!</definedName>
    <definedName name="DD">#REF!</definedName>
    <definedName name="dfrg" localSheetId="10" hidden="1">{"'Sheet1'!$A$1:$I$102","'Sheet1'!$A$1:$I$104"}</definedName>
    <definedName name="dfrg" localSheetId="7" hidden="1">{"'Sheet1'!$A$1:$I$102","'Sheet1'!$A$1:$I$104"}</definedName>
    <definedName name="dfrg" localSheetId="1" hidden="1">{"'Sheet1'!$A$1:$I$102","'Sheet1'!$A$1:$I$104"}</definedName>
    <definedName name="dfrg" localSheetId="4" hidden="1">{"'Sheet1'!$A$1:$I$102","'Sheet1'!$A$1:$I$104"}</definedName>
    <definedName name="dfrg" localSheetId="27" hidden="1">{"'Sheet1'!$A$1:$I$102","'Sheet1'!$A$1:$I$104"}</definedName>
    <definedName name="dfrg" localSheetId="28" hidden="1">{"'Sheet1'!$A$1:$I$102","'Sheet1'!$A$1:$I$104"}</definedName>
    <definedName name="dfrg" hidden="1">{"'Sheet1'!$A$1:$I$102","'Sheet1'!$A$1:$I$104"}</definedName>
    <definedName name="eee" localSheetId="10" hidden="1">{"'Sheet1'!$A$1:$I$102","'Sheet1'!$A$1:$I$104"}</definedName>
    <definedName name="eee" localSheetId="7" hidden="1">{"'Sheet1'!$A$1:$I$102","'Sheet1'!$A$1:$I$104"}</definedName>
    <definedName name="eee" localSheetId="2" hidden="1">{"'Sheet1'!$A$1:$I$102","'Sheet1'!$A$1:$I$104"}</definedName>
    <definedName name="eee" localSheetId="1" hidden="1">{"'Sheet1'!$A$1:$I$102","'Sheet1'!$A$1:$I$104"}</definedName>
    <definedName name="eee" localSheetId="4" hidden="1">{"'Sheet1'!$A$1:$I$102","'Sheet1'!$A$1:$I$104"}</definedName>
    <definedName name="eee" localSheetId="27" hidden="1">{"'Sheet1'!$A$1:$I$102","'Sheet1'!$A$1:$I$104"}</definedName>
    <definedName name="eee" localSheetId="28" hidden="1">{"'Sheet1'!$A$1:$I$102","'Sheet1'!$A$1:$I$104"}</definedName>
    <definedName name="eee" hidden="1">{"'Sheet1'!$A$1:$I$102","'Sheet1'!$A$1:$I$104"}</definedName>
    <definedName name="eeee" localSheetId="10" hidden="1">{"'Sheet1'!$A$1:$I$102","'Sheet1'!$A$1:$I$104"}</definedName>
    <definedName name="eeee" localSheetId="7" hidden="1">{"'Sheet1'!$A$1:$I$102","'Sheet1'!$A$1:$I$104"}</definedName>
    <definedName name="eeee" localSheetId="2" hidden="1">{"'Sheet1'!$A$1:$I$102","'Sheet1'!$A$1:$I$104"}</definedName>
    <definedName name="eeee" localSheetId="1" hidden="1">{"'Sheet1'!$A$1:$I$102","'Sheet1'!$A$1:$I$104"}</definedName>
    <definedName name="eeee" localSheetId="4" hidden="1">{"'Sheet1'!$A$1:$I$102","'Sheet1'!$A$1:$I$104"}</definedName>
    <definedName name="eeee" localSheetId="27" hidden="1">{"'Sheet1'!$A$1:$I$102","'Sheet1'!$A$1:$I$104"}</definedName>
    <definedName name="eeee" localSheetId="28" hidden="1">{"'Sheet1'!$A$1:$I$102","'Sheet1'!$A$1:$I$104"}</definedName>
    <definedName name="eeee" hidden="1">{"'Sheet1'!$A$1:$I$102","'Sheet1'!$A$1:$I$104"}</definedName>
    <definedName name="eeeeawerawer" localSheetId="10" hidden="1">{"'Sheet1'!$A$1:$I$102","'Sheet1'!$A$1:$I$104"}</definedName>
    <definedName name="eeeeawerawer" localSheetId="7" hidden="1">{"'Sheet1'!$A$1:$I$102","'Sheet1'!$A$1:$I$104"}</definedName>
    <definedName name="eeeeawerawer" localSheetId="2" hidden="1">{"'Sheet1'!$A$1:$I$102","'Sheet1'!$A$1:$I$104"}</definedName>
    <definedName name="eeeeawerawer" localSheetId="1" hidden="1">{"'Sheet1'!$A$1:$I$102","'Sheet1'!$A$1:$I$104"}</definedName>
    <definedName name="eeeeawerawer" localSheetId="4" hidden="1">{"'Sheet1'!$A$1:$I$102","'Sheet1'!$A$1:$I$104"}</definedName>
    <definedName name="eeeeawerawer" localSheetId="27" hidden="1">{"'Sheet1'!$A$1:$I$102","'Sheet1'!$A$1:$I$104"}</definedName>
    <definedName name="eeeeawerawer" localSheetId="28" hidden="1">{"'Sheet1'!$A$1:$I$102","'Sheet1'!$A$1:$I$104"}</definedName>
    <definedName name="eeeeawerawer" hidden="1">{"'Sheet1'!$A$1:$I$102","'Sheet1'!$A$1:$I$104"}</definedName>
    <definedName name="Excel_BuiltIn__FilterDatabase_1" localSheetId="9">[5]外交部!#REF!</definedName>
    <definedName name="Excel_BuiltIn__FilterDatabase_1" localSheetId="7">[5]外交部!#REF!</definedName>
    <definedName name="Excel_BuiltIn__FilterDatabase_1">[5]外交部!#REF!</definedName>
    <definedName name="ff" localSheetId="10" hidden="1">{"'Sheet1'!$A$1:$I$102","'Sheet1'!$A$1:$I$104"}</definedName>
    <definedName name="ff" localSheetId="7" hidden="1">{"'Sheet1'!$A$1:$I$102","'Sheet1'!$A$1:$I$104"}</definedName>
    <definedName name="ff" localSheetId="2" hidden="1">{"'Sheet1'!$A$1:$I$102","'Sheet1'!$A$1:$I$104"}</definedName>
    <definedName name="ff" localSheetId="1" hidden="1">{"'Sheet1'!$A$1:$I$102","'Sheet1'!$A$1:$I$104"}</definedName>
    <definedName name="ff" localSheetId="4" hidden="1">{"'Sheet1'!$A$1:$I$102","'Sheet1'!$A$1:$I$104"}</definedName>
    <definedName name="ff" localSheetId="27" hidden="1">{"'Sheet1'!$A$1:$I$102","'Sheet1'!$A$1:$I$104"}</definedName>
    <definedName name="ff" localSheetId="28" hidden="1">{"'Sheet1'!$A$1:$I$102","'Sheet1'!$A$1:$I$104"}</definedName>
    <definedName name="ff" hidden="1">{"'Sheet1'!$A$1:$I$102","'Sheet1'!$A$1:$I$104"}</definedName>
    <definedName name="fffffff" localSheetId="10" hidden="1">{"'Sheet1'!$A$1:$I$102","'Sheet1'!$A$1:$I$104"}</definedName>
    <definedName name="fffffff" localSheetId="7" hidden="1">{"'Sheet1'!$A$1:$I$102","'Sheet1'!$A$1:$I$104"}</definedName>
    <definedName name="fffffff" localSheetId="2" hidden="1">{"'Sheet1'!$A$1:$I$102","'Sheet1'!$A$1:$I$104"}</definedName>
    <definedName name="fffffff" localSheetId="1" hidden="1">{"'Sheet1'!$A$1:$I$102","'Sheet1'!$A$1:$I$104"}</definedName>
    <definedName name="fffffff" localSheetId="4" hidden="1">{"'Sheet1'!$A$1:$I$102","'Sheet1'!$A$1:$I$104"}</definedName>
    <definedName name="fffffff" localSheetId="27" hidden="1">{"'Sheet1'!$A$1:$I$102","'Sheet1'!$A$1:$I$104"}</definedName>
    <definedName name="fffffff" localSheetId="28" hidden="1">{"'Sheet1'!$A$1:$I$102","'Sheet1'!$A$1:$I$104"}</definedName>
    <definedName name="fffffff" hidden="1">{"'Sheet1'!$A$1:$I$102","'Sheet1'!$A$1:$I$104"}</definedName>
    <definedName name="fffffffffff" localSheetId="10" hidden="1">{"'Sheet1'!$A$1:$I$102","'Sheet1'!$A$1:$I$104"}</definedName>
    <definedName name="fffffffffff" localSheetId="7" hidden="1">{"'Sheet1'!$A$1:$I$102","'Sheet1'!$A$1:$I$104"}</definedName>
    <definedName name="fffffffffff" localSheetId="2" hidden="1">{"'Sheet1'!$A$1:$I$102","'Sheet1'!$A$1:$I$104"}</definedName>
    <definedName name="fffffffffff" localSheetId="1" hidden="1">{"'Sheet1'!$A$1:$I$102","'Sheet1'!$A$1:$I$104"}</definedName>
    <definedName name="fffffffffff" localSheetId="4" hidden="1">{"'Sheet1'!$A$1:$I$102","'Sheet1'!$A$1:$I$104"}</definedName>
    <definedName name="fffffffffff" localSheetId="27" hidden="1">{"'Sheet1'!$A$1:$I$102","'Sheet1'!$A$1:$I$104"}</definedName>
    <definedName name="fffffffffff" localSheetId="28" hidden="1">{"'Sheet1'!$A$1:$I$102","'Sheet1'!$A$1:$I$104"}</definedName>
    <definedName name="fffffffffff" hidden="1">{"'Sheet1'!$A$1:$I$102","'Sheet1'!$A$1:$I$104"}</definedName>
    <definedName name="fffffffffffffffffffffff" localSheetId="10" hidden="1">{"'Sheet1'!$A$1:$I$102","'Sheet1'!$A$1:$I$104"}</definedName>
    <definedName name="fffffffffffffffffffffff" localSheetId="7" hidden="1">{"'Sheet1'!$A$1:$I$102","'Sheet1'!$A$1:$I$104"}</definedName>
    <definedName name="fffffffffffffffffffffff" localSheetId="2" hidden="1">{"'Sheet1'!$A$1:$I$102","'Sheet1'!$A$1:$I$104"}</definedName>
    <definedName name="fffffffffffffffffffffff" localSheetId="1" hidden="1">{"'Sheet1'!$A$1:$I$102","'Sheet1'!$A$1:$I$104"}</definedName>
    <definedName name="fffffffffffffffffffffff" localSheetId="4" hidden="1">{"'Sheet1'!$A$1:$I$102","'Sheet1'!$A$1:$I$104"}</definedName>
    <definedName name="fffffffffffffffffffffff" localSheetId="27" hidden="1">{"'Sheet1'!$A$1:$I$102","'Sheet1'!$A$1:$I$104"}</definedName>
    <definedName name="fffffffffffffffffffffff" localSheetId="28" hidden="1">{"'Sheet1'!$A$1:$I$102","'Sheet1'!$A$1:$I$104"}</definedName>
    <definedName name="fffffffffffffffffffffff" hidden="1">{"'Sheet1'!$A$1:$I$102","'Sheet1'!$A$1:$I$104"}</definedName>
    <definedName name="HH" localSheetId="9">[6]繳庫!#REF!</definedName>
    <definedName name="HH" localSheetId="7">[6]繳庫!#REF!</definedName>
    <definedName name="HH">[6]繳庫!#REF!</definedName>
    <definedName name="hhhh" localSheetId="10" hidden="1">{"'Sheet1'!$A$1:$I$102","'Sheet1'!$A$1:$I$104"}</definedName>
    <definedName name="hhhh" localSheetId="7" hidden="1">{"'Sheet1'!$A$1:$I$102","'Sheet1'!$A$1:$I$104"}</definedName>
    <definedName name="hhhh" localSheetId="2" hidden="1">{"'Sheet1'!$A$1:$I$102","'Sheet1'!$A$1:$I$104"}</definedName>
    <definedName name="hhhh" localSheetId="1" hidden="1">{"'Sheet1'!$A$1:$I$102","'Sheet1'!$A$1:$I$104"}</definedName>
    <definedName name="hhhh" localSheetId="4" hidden="1">{"'Sheet1'!$A$1:$I$102","'Sheet1'!$A$1:$I$104"}</definedName>
    <definedName name="hhhh" localSheetId="27" hidden="1">{"'Sheet1'!$A$1:$I$102","'Sheet1'!$A$1:$I$104"}</definedName>
    <definedName name="hhhh" localSheetId="28" hidden="1">{"'Sheet1'!$A$1:$I$102","'Sheet1'!$A$1:$I$104"}</definedName>
    <definedName name="hhhh" hidden="1">{"'Sheet1'!$A$1:$I$102","'Sheet1'!$A$1:$I$104"}</definedName>
    <definedName name="hhhhhhhhhhhh" localSheetId="10" hidden="1">{"'Sheet1'!$A$1:$I$102","'Sheet1'!$A$1:$I$104"}</definedName>
    <definedName name="hhhhhhhhhhhh" localSheetId="7" hidden="1">{"'Sheet1'!$A$1:$I$102","'Sheet1'!$A$1:$I$104"}</definedName>
    <definedName name="hhhhhhhhhhhh" localSheetId="2" hidden="1">{"'Sheet1'!$A$1:$I$102","'Sheet1'!$A$1:$I$104"}</definedName>
    <definedName name="hhhhhhhhhhhh" localSheetId="1" hidden="1">{"'Sheet1'!$A$1:$I$102","'Sheet1'!$A$1:$I$104"}</definedName>
    <definedName name="hhhhhhhhhhhh" localSheetId="4" hidden="1">{"'Sheet1'!$A$1:$I$102","'Sheet1'!$A$1:$I$104"}</definedName>
    <definedName name="hhhhhhhhhhhh" localSheetId="27" hidden="1">{"'Sheet1'!$A$1:$I$102","'Sheet1'!$A$1:$I$104"}</definedName>
    <definedName name="hhhhhhhhhhhh" localSheetId="28" hidden="1">{"'Sheet1'!$A$1:$I$102","'Sheet1'!$A$1:$I$104"}</definedName>
    <definedName name="hhhhhhhhhhhh" hidden="1">{"'Sheet1'!$A$1:$I$102","'Sheet1'!$A$1:$I$104"}</definedName>
    <definedName name="HTML_CodePage" hidden="1">950</definedName>
    <definedName name="HTML_Control" localSheetId="10" hidden="1">{"'87-90'!$A$1:$R$28"}</definedName>
    <definedName name="HTML_Control" localSheetId="7" hidden="1">{"'87-90'!$A$1:$R$28"}</definedName>
    <definedName name="HTML_Control" localSheetId="2" hidden="1">{"'87-90'!$A$1:$R$28"}</definedName>
    <definedName name="HTML_Control" localSheetId="1" hidden="1">{"'87-90'!$A$1:$R$28"}</definedName>
    <definedName name="HTML_Control" localSheetId="4" hidden="1">{"'87-90'!$A$1:$R$28"}</definedName>
    <definedName name="HTML_Control" localSheetId="27" hidden="1">{"'87-90'!$A$1:$R$28"}</definedName>
    <definedName name="HTML_Control" localSheetId="28" hidden="1">{"'87-90'!$A$1:$R$28"}</definedName>
    <definedName name="HTML_Control" hidden="1">{"'87-90'!$A$1:$R$28"}</definedName>
    <definedName name="HTML_Description" hidden="1">""</definedName>
    <definedName name="HTML_Email" hidden="1">""</definedName>
    <definedName name="HTML_Header" hidden="1">"87-90"</definedName>
    <definedName name="HTML_LastUpdate" hidden="1">"2000/9/15"</definedName>
    <definedName name="HTML_LineAfter" hidden="1">FALSE</definedName>
    <definedName name="HTML_LineBefore" hidden="1">FALSE</definedName>
    <definedName name="HTML_Name" hidden="1">"台北市政府聯合採購案"</definedName>
    <definedName name="HTML_OBDlg2" hidden="1">TRUE</definedName>
    <definedName name="HTML_OBDlg3" hidden="1">TRUE</definedName>
    <definedName name="HTML_OBDlg4" hidden="1">TRUE</definedName>
    <definedName name="HTML_OS" hidden="1">0</definedName>
    <definedName name="HTML_PathFile" hidden="1">"C:\My Documents\MyHTML.htm"</definedName>
    <definedName name="HTML_PathTemplate" hidden="1">"C:\htmlchi\table-bbb.htm"</definedName>
    <definedName name="HTML_Title" hidden="1">"86-90各級政府收支結構"</definedName>
    <definedName name="II">#REF!</definedName>
    <definedName name="kkk" localSheetId="10" hidden="1">{"'Sheet1'!$A$1:$I$102","'Sheet1'!$A$1:$I$104"}</definedName>
    <definedName name="kkk" localSheetId="7" hidden="1">{"'Sheet1'!$A$1:$I$102","'Sheet1'!$A$1:$I$104"}</definedName>
    <definedName name="kkk" localSheetId="2" hidden="1">{"'Sheet1'!$A$1:$I$102","'Sheet1'!$A$1:$I$104"}</definedName>
    <definedName name="kkk" localSheetId="1" hidden="1">{"'Sheet1'!$A$1:$I$102","'Sheet1'!$A$1:$I$104"}</definedName>
    <definedName name="kkk" localSheetId="4" hidden="1">{"'Sheet1'!$A$1:$I$102","'Sheet1'!$A$1:$I$104"}</definedName>
    <definedName name="kkk" localSheetId="27" hidden="1">{"'Sheet1'!$A$1:$I$102","'Sheet1'!$A$1:$I$104"}</definedName>
    <definedName name="kkk" localSheetId="28" hidden="1">{"'Sheet1'!$A$1:$I$102","'Sheet1'!$A$1:$I$104"}</definedName>
    <definedName name="kkk" hidden="1">{"'Sheet1'!$A$1:$I$102","'Sheet1'!$A$1:$I$104"}</definedName>
    <definedName name="LB6084.BS.BS">#N/A</definedName>
    <definedName name="NAME" localSheetId="9">[7]機關明細!#REF!</definedName>
    <definedName name="NAME" localSheetId="7">[7]機關明細!#REF!</definedName>
    <definedName name="NAME">[7]機關明細!#REF!</definedName>
    <definedName name="NI" localSheetId="8">#REF!</definedName>
    <definedName name="NI" localSheetId="7">#REF!</definedName>
    <definedName name="NI" localSheetId="2">#REF!</definedName>
    <definedName name="NI" localSheetId="1">#REF!</definedName>
    <definedName name="NI">#REF!</definedName>
    <definedName name="ONE" localSheetId="9">[4]全部國營事業!#REF!</definedName>
    <definedName name="ONE" localSheetId="7">[4]全部國營事業!#REF!</definedName>
    <definedName name="ONE">[4]全部國營事業!#REF!</definedName>
    <definedName name="pp" localSheetId="7">#REF!</definedName>
    <definedName name="pp" localSheetId="1">#REF!</definedName>
    <definedName name="pp">#REF!</definedName>
    <definedName name="_xlnm.Print_Area" localSheetId="26">'104流域治理(法)'!$A$1:$AH$11</definedName>
    <definedName name="_xlnm.Print_Area" localSheetId="25">'104計畫(法)'!$A$1:$AH$341</definedName>
    <definedName name="_xlnm.Print_Area" localSheetId="21">'105流域治理(案)'!$A$1:$AH$11</definedName>
    <definedName name="_xlnm.Print_Area" localSheetId="20">'105計畫(案)'!$A$1:$AH$399</definedName>
    <definedName name="_xlnm.Print_Area" localSheetId="8">'106前瞻(法)'!$A$1:$AK$104</definedName>
    <definedName name="_xlnm.Print_Area" localSheetId="9">'106流域治理(法) (2)'!$A$1:$AH$17</definedName>
    <definedName name="_xlnm.Print_Area" localSheetId="10">'106計畫型(案)'!$A$1:$AH$371</definedName>
    <definedName name="_xlnm.Print_Area" localSheetId="7">'106計畫型原(法)'!$A$2:$AH$372</definedName>
    <definedName name="_xlnm.Print_Area" localSheetId="2">'107前瞻(法)'!$A$1:$AK$104</definedName>
    <definedName name="_xlnm.Print_Area" localSheetId="3">'107流域治理(法)'!$A$1:$AH$16</definedName>
    <definedName name="_xlnm.Print_Area" localSheetId="1">'107計畫型(法)'!$A$2:$AH$363</definedName>
    <definedName name="_xlnm.Print_Area" localSheetId="22">'中央104(法)'!$A$1:$J$20</definedName>
    <definedName name="_xlnm.Print_Area" localSheetId="11">'中央105(法)'!$A$1:$I$20</definedName>
    <definedName name="_xlnm.Print_Area" localSheetId="14">'中央105(原法)'!$A$1:$K$40</definedName>
    <definedName name="_xlnm.Print_Area" localSheetId="17">'中央105(案)'!$A$1:$J$30</definedName>
    <definedName name="_xlnm.Print_Area" localSheetId="4">'中央106(法)'!$A$1:$O$20</definedName>
    <definedName name="_xlnm.Print_Area" localSheetId="23">'直轄市104(法)'!$A$1:$J$20</definedName>
    <definedName name="_xlnm.Print_Area" localSheetId="12">'直轄市105(法)'!$A$1:$I$20</definedName>
    <definedName name="_xlnm.Print_Area" localSheetId="15">'直轄市105(原法)'!$A$1:$I$20</definedName>
    <definedName name="_xlnm.Print_Area" localSheetId="18">'直轄市105(案)'!$A$1:$K$23</definedName>
    <definedName name="_xlnm.Print_Area" localSheetId="5">'直轄市106(法)'!$A$1:$O$20</definedName>
    <definedName name="_xlnm.Print_Area" localSheetId="0">表8!$A$1:$E$27</definedName>
    <definedName name="_xlnm.Print_Area" localSheetId="27">'參9 (104)'!$A$1:$J$28</definedName>
    <definedName name="_xlnm.Print_Area" localSheetId="28">'參9 (104-105比較)'!$A$1:$J$28</definedName>
    <definedName name="_xlnm.Print_Area" localSheetId="24">'縣市104(法)'!$A$1:$J$20</definedName>
    <definedName name="_xlnm.Print_Area" localSheetId="13">'縣市105(法)'!$A$1:$I$20</definedName>
    <definedName name="_xlnm.Print_Area" localSheetId="16">'縣市105(原法)'!$A$1:$I$20</definedName>
    <definedName name="_xlnm.Print_Area" localSheetId="19">'縣市105(案)'!$A$1:$K$21</definedName>
    <definedName name="_xlnm.Print_Area" localSheetId="6">'縣市106(法)'!$A$1:$O$20</definedName>
    <definedName name="Print_Area_MI" localSheetId="8">#REF!</definedName>
    <definedName name="Print_Area_MI" localSheetId="7">#REF!</definedName>
    <definedName name="Print_Area_MI" localSheetId="2">#REF!</definedName>
    <definedName name="Print_Area_MI" localSheetId="1">#REF!</definedName>
    <definedName name="Print_Area_MI">#REF!</definedName>
    <definedName name="_xlnm.Print_Titles" localSheetId="26">'104流域治理(法)'!$A:$C,'104流域治理(法)'!$1:$4</definedName>
    <definedName name="_xlnm.Print_Titles" localSheetId="25">'104計畫(法)'!$A:$C,'104計畫(法)'!$1:$4</definedName>
    <definedName name="_xlnm.Print_Titles" localSheetId="21">'105流域治理(案)'!$A:$C</definedName>
    <definedName name="_xlnm.Print_Titles" localSheetId="20">'105計畫(案)'!$A:$D,'105計畫(案)'!$1:$4</definedName>
    <definedName name="_xlnm.Print_Titles" localSheetId="8">'106前瞻(法)'!$A:$E,'106前瞻(法)'!$1:$4</definedName>
    <definedName name="_xlnm.Print_Titles" localSheetId="9">'106流域治理(法) (2)'!$A:$C,'106流域治理(法) (2)'!$1:$4</definedName>
    <definedName name="_xlnm.Print_Titles" localSheetId="10">'106計畫型(案)'!$A:$C,'106計畫型(案)'!$1:$4</definedName>
    <definedName name="_xlnm.Print_Titles" localSheetId="7">'106計畫型原(法)'!$A:$C,'106計畫型原(法)'!$2:$5</definedName>
    <definedName name="_xlnm.Print_Titles" localSheetId="2">'107前瞻(法)'!$A:$E,'107前瞻(法)'!$1:$4</definedName>
    <definedName name="_xlnm.Print_Titles" localSheetId="3">'107流域治理(法)'!$A:$C,'107流域治理(法)'!$1:$4</definedName>
    <definedName name="_xlnm.Print_Titles" localSheetId="1">'107計畫型(法)'!$A:$C,'107計畫型(法)'!$2:$5</definedName>
    <definedName name="qqqqqqqqqq" localSheetId="10" hidden="1">{"'Sheet1'!$A$1:$I$102","'Sheet1'!$A$1:$I$104"}</definedName>
    <definedName name="qqqqqqqqqq" localSheetId="7" hidden="1">{"'Sheet1'!$A$1:$I$102","'Sheet1'!$A$1:$I$104"}</definedName>
    <definedName name="qqqqqqqqqq" localSheetId="2" hidden="1">{"'Sheet1'!$A$1:$I$102","'Sheet1'!$A$1:$I$104"}</definedName>
    <definedName name="qqqqqqqqqq" localSheetId="1" hidden="1">{"'Sheet1'!$A$1:$I$102","'Sheet1'!$A$1:$I$104"}</definedName>
    <definedName name="qqqqqqqqqq" localSheetId="4" hidden="1">{"'Sheet1'!$A$1:$I$102","'Sheet1'!$A$1:$I$104"}</definedName>
    <definedName name="qqqqqqqqqq" localSheetId="27" hidden="1">{"'Sheet1'!$A$1:$I$102","'Sheet1'!$A$1:$I$104"}</definedName>
    <definedName name="qqqqqqqqqq" localSheetId="28" hidden="1">{"'Sheet1'!$A$1:$I$102","'Sheet1'!$A$1:$I$104"}</definedName>
    <definedName name="qqqqqqqqqq" hidden="1">{"'Sheet1'!$A$1:$I$102","'Sheet1'!$A$1:$I$104"}</definedName>
    <definedName name="qqqqqqqqqqqqq" localSheetId="10" hidden="1">{"'Sheet1'!$A$1:$I$102","'Sheet1'!$A$1:$I$104"}</definedName>
    <definedName name="qqqqqqqqqqqqq" localSheetId="7" hidden="1">{"'Sheet1'!$A$1:$I$102","'Sheet1'!$A$1:$I$104"}</definedName>
    <definedName name="qqqqqqqqqqqqq" localSheetId="2" hidden="1">{"'Sheet1'!$A$1:$I$102","'Sheet1'!$A$1:$I$104"}</definedName>
    <definedName name="qqqqqqqqqqqqq" localSheetId="1" hidden="1">{"'Sheet1'!$A$1:$I$102","'Sheet1'!$A$1:$I$104"}</definedName>
    <definedName name="qqqqqqqqqqqqq" localSheetId="4" hidden="1">{"'Sheet1'!$A$1:$I$102","'Sheet1'!$A$1:$I$104"}</definedName>
    <definedName name="qqqqqqqqqqqqq" localSheetId="27" hidden="1">{"'Sheet1'!$A$1:$I$102","'Sheet1'!$A$1:$I$104"}</definedName>
    <definedName name="qqqqqqqqqqqqq" localSheetId="28" hidden="1">{"'Sheet1'!$A$1:$I$102","'Sheet1'!$A$1:$I$104"}</definedName>
    <definedName name="qqqqqqqqqqqqq" hidden="1">{"'Sheet1'!$A$1:$I$102","'Sheet1'!$A$1:$I$104"}</definedName>
    <definedName name="rate" localSheetId="26">#REF!</definedName>
    <definedName name="rate" localSheetId="25">#REF!</definedName>
    <definedName name="rate" localSheetId="21">#REF!</definedName>
    <definedName name="rate" localSheetId="20">#REF!</definedName>
    <definedName name="rate" localSheetId="8">#REF!</definedName>
    <definedName name="rate" localSheetId="10">#REF!</definedName>
    <definedName name="rate" localSheetId="7">#REF!</definedName>
    <definedName name="rate" localSheetId="2">#REF!</definedName>
    <definedName name="rate" localSheetId="1">#REF!</definedName>
    <definedName name="rate">#REF!</definedName>
    <definedName name="rate2" localSheetId="26">'[8]員額(2)'!#REF!</definedName>
    <definedName name="rate2" localSheetId="25">'[9]員額(2)'!#REF!</definedName>
    <definedName name="rate2" localSheetId="21">'[9]員額(2)'!#REF!</definedName>
    <definedName name="rate2" localSheetId="20">'[9]員額(2)'!#REF!</definedName>
    <definedName name="rate2" localSheetId="8">'[8]員額(2)'!#REF!</definedName>
    <definedName name="rate2" localSheetId="9">'[9]員額(2)'!#REF!</definedName>
    <definedName name="rate2" localSheetId="10">'[9]員額(2)'!#REF!</definedName>
    <definedName name="rate2" localSheetId="7">'[9]員額(2)'!#REF!</definedName>
    <definedName name="rate2" localSheetId="2">'[8]員額(2)'!#REF!</definedName>
    <definedName name="rate2">'[9]員額(2)'!#REF!</definedName>
    <definedName name="rate3" localSheetId="26">'[8]員額(2)'!#REF!</definedName>
    <definedName name="rate3" localSheetId="25">'[9]員額(2)'!#REF!</definedName>
    <definedName name="rate3" localSheetId="21">'[9]員額(2)'!#REF!</definedName>
    <definedName name="rate3" localSheetId="20">'[9]員額(2)'!#REF!</definedName>
    <definedName name="rate3" localSheetId="8">'[8]員額(2)'!#REF!</definedName>
    <definedName name="rate3" localSheetId="9">'[9]員額(2)'!#REF!</definedName>
    <definedName name="rate3" localSheetId="10">'[9]員額(2)'!#REF!</definedName>
    <definedName name="rate3" localSheetId="7">'[9]員額(2)'!#REF!</definedName>
    <definedName name="rate3" localSheetId="2">'[8]員額(2)'!#REF!</definedName>
    <definedName name="rate3">'[9]員額(2)'!#REF!</definedName>
    <definedName name="_xlnm.Recorder">#REF!</definedName>
    <definedName name="report" localSheetId="7">#REF!</definedName>
    <definedName name="report" localSheetId="1">#REF!</definedName>
    <definedName name="report">#REF!</definedName>
    <definedName name="rrwearwe" localSheetId="10" hidden="1">{"'Sheet1'!$A$1:$I$102","'Sheet1'!$A$1:$I$104"}</definedName>
    <definedName name="rrwearwe" localSheetId="7" hidden="1">{"'Sheet1'!$A$1:$I$102","'Sheet1'!$A$1:$I$104"}</definedName>
    <definedName name="rrwearwe" localSheetId="2" hidden="1">{"'Sheet1'!$A$1:$I$102","'Sheet1'!$A$1:$I$104"}</definedName>
    <definedName name="rrwearwe" localSheetId="1" hidden="1">{"'Sheet1'!$A$1:$I$102","'Sheet1'!$A$1:$I$104"}</definedName>
    <definedName name="rrwearwe" localSheetId="4" hidden="1">{"'Sheet1'!$A$1:$I$102","'Sheet1'!$A$1:$I$104"}</definedName>
    <definedName name="rrwearwe" localSheetId="27" hidden="1">{"'Sheet1'!$A$1:$I$102","'Sheet1'!$A$1:$I$104"}</definedName>
    <definedName name="rrwearwe" localSheetId="28" hidden="1">{"'Sheet1'!$A$1:$I$102","'Sheet1'!$A$1:$I$104"}</definedName>
    <definedName name="rrwearwe" hidden="1">{"'Sheet1'!$A$1:$I$102","'Sheet1'!$A$1:$I$104"}</definedName>
    <definedName name="seeee" localSheetId="10" hidden="1">{"'Sheet1'!$A$1:$I$102","'Sheet1'!$A$1:$I$104"}</definedName>
    <definedName name="seeee" localSheetId="7" hidden="1">{"'Sheet1'!$A$1:$I$102","'Sheet1'!$A$1:$I$104"}</definedName>
    <definedName name="seeee" localSheetId="2" hidden="1">{"'Sheet1'!$A$1:$I$102","'Sheet1'!$A$1:$I$104"}</definedName>
    <definedName name="seeee" localSheetId="1" hidden="1">{"'Sheet1'!$A$1:$I$102","'Sheet1'!$A$1:$I$104"}</definedName>
    <definedName name="seeee" localSheetId="4" hidden="1">{"'Sheet1'!$A$1:$I$102","'Sheet1'!$A$1:$I$104"}</definedName>
    <definedName name="seeee" localSheetId="27" hidden="1">{"'Sheet1'!$A$1:$I$102","'Sheet1'!$A$1:$I$104"}</definedName>
    <definedName name="seeee" localSheetId="28" hidden="1">{"'Sheet1'!$A$1:$I$102","'Sheet1'!$A$1:$I$104"}</definedName>
    <definedName name="seeee" hidden="1">{"'Sheet1'!$A$1:$I$102","'Sheet1'!$A$1:$I$104"}</definedName>
    <definedName name="swsw" localSheetId="10" hidden="1">{"'Sheet1'!$A$1:$I$102","'Sheet1'!$A$1:$I$104"}</definedName>
    <definedName name="swsw" localSheetId="7" hidden="1">{"'Sheet1'!$A$1:$I$102","'Sheet1'!$A$1:$I$104"}</definedName>
    <definedName name="swsw" localSheetId="2" hidden="1">{"'Sheet1'!$A$1:$I$102","'Sheet1'!$A$1:$I$104"}</definedName>
    <definedName name="swsw" localSheetId="1" hidden="1">{"'Sheet1'!$A$1:$I$102","'Sheet1'!$A$1:$I$104"}</definedName>
    <definedName name="swsw" localSheetId="4" hidden="1">{"'Sheet1'!$A$1:$I$102","'Sheet1'!$A$1:$I$104"}</definedName>
    <definedName name="swsw" localSheetId="27" hidden="1">{"'Sheet1'!$A$1:$I$102","'Sheet1'!$A$1:$I$104"}</definedName>
    <definedName name="swsw" localSheetId="28" hidden="1">{"'Sheet1'!$A$1:$I$102","'Sheet1'!$A$1:$I$104"}</definedName>
    <definedName name="swsw" hidden="1">{"'Sheet1'!$A$1:$I$102","'Sheet1'!$A$1:$I$104"}</definedName>
    <definedName name="TBL_02X">[10]R323_02_X!$A$1:$G$65536</definedName>
    <definedName name="TBL_02Z">[10]R323_02_Z!$A$1:$G$65536</definedName>
    <definedName name="TT">#REF!</definedName>
    <definedName name="uuu" localSheetId="10" hidden="1">{"'Sheet1'!$A$1:$I$102","'Sheet1'!$A$1:$I$104"}</definedName>
    <definedName name="uuu" localSheetId="7" hidden="1">{"'Sheet1'!$A$1:$I$102","'Sheet1'!$A$1:$I$104"}</definedName>
    <definedName name="uuu" localSheetId="2" hidden="1">{"'Sheet1'!$A$1:$I$102","'Sheet1'!$A$1:$I$104"}</definedName>
    <definedName name="uuu" localSheetId="1" hidden="1">{"'Sheet1'!$A$1:$I$102","'Sheet1'!$A$1:$I$104"}</definedName>
    <definedName name="uuu" localSheetId="4" hidden="1">{"'Sheet1'!$A$1:$I$102","'Sheet1'!$A$1:$I$104"}</definedName>
    <definedName name="uuu" localSheetId="27" hidden="1">{"'Sheet1'!$A$1:$I$102","'Sheet1'!$A$1:$I$104"}</definedName>
    <definedName name="uuu" localSheetId="28" hidden="1">{"'Sheet1'!$A$1:$I$102","'Sheet1'!$A$1:$I$104"}</definedName>
    <definedName name="uuu" hidden="1">{"'Sheet1'!$A$1:$I$102","'Sheet1'!$A$1:$I$104"}</definedName>
    <definedName name="w" localSheetId="10" hidden="1">{"'Sheet1'!$A$1:$I$102","'Sheet1'!$A$1:$I$104"}</definedName>
    <definedName name="w" localSheetId="7" hidden="1">{"'Sheet1'!$A$1:$I$102","'Sheet1'!$A$1:$I$104"}</definedName>
    <definedName name="w" localSheetId="2" hidden="1">{"'Sheet1'!$A$1:$I$102","'Sheet1'!$A$1:$I$104"}</definedName>
    <definedName name="w" localSheetId="1" hidden="1">{"'Sheet1'!$A$1:$I$102","'Sheet1'!$A$1:$I$104"}</definedName>
    <definedName name="w" localSheetId="4" hidden="1">{"'Sheet1'!$A$1:$I$102","'Sheet1'!$A$1:$I$104"}</definedName>
    <definedName name="w" localSheetId="27" hidden="1">{"'Sheet1'!$A$1:$I$102","'Sheet1'!$A$1:$I$104"}</definedName>
    <definedName name="w" localSheetId="28" hidden="1">{"'Sheet1'!$A$1:$I$102","'Sheet1'!$A$1:$I$104"}</definedName>
    <definedName name="w" hidden="1">{"'Sheet1'!$A$1:$I$102","'Sheet1'!$A$1:$I$104"}</definedName>
    <definedName name="www" localSheetId="10" hidden="1">{"'Sheet1'!$A$1:$I$102","'Sheet1'!$A$1:$I$104"}</definedName>
    <definedName name="www" localSheetId="7" hidden="1">{"'Sheet1'!$A$1:$I$102","'Sheet1'!$A$1:$I$104"}</definedName>
    <definedName name="www" localSheetId="2" hidden="1">{"'Sheet1'!$A$1:$I$102","'Sheet1'!$A$1:$I$104"}</definedName>
    <definedName name="www" localSheetId="1" hidden="1">{"'Sheet1'!$A$1:$I$102","'Sheet1'!$A$1:$I$104"}</definedName>
    <definedName name="www" localSheetId="4" hidden="1">{"'Sheet1'!$A$1:$I$102","'Sheet1'!$A$1:$I$104"}</definedName>
    <definedName name="www" localSheetId="27" hidden="1">{"'Sheet1'!$A$1:$I$102","'Sheet1'!$A$1:$I$104"}</definedName>
    <definedName name="www" localSheetId="28" hidden="1">{"'Sheet1'!$A$1:$I$102","'Sheet1'!$A$1:$I$104"}</definedName>
    <definedName name="www" hidden="1">{"'Sheet1'!$A$1:$I$102","'Sheet1'!$A$1:$I$104"}</definedName>
    <definedName name="wwwww" localSheetId="10" hidden="1">{"'Sheet1'!$A$1:$I$102","'Sheet1'!$A$1:$I$104"}</definedName>
    <definedName name="wwwww" localSheetId="7" hidden="1">{"'Sheet1'!$A$1:$I$102","'Sheet1'!$A$1:$I$104"}</definedName>
    <definedName name="wwwww" localSheetId="2" hidden="1">{"'Sheet1'!$A$1:$I$102","'Sheet1'!$A$1:$I$104"}</definedName>
    <definedName name="wwwww" localSheetId="1" hidden="1">{"'Sheet1'!$A$1:$I$102","'Sheet1'!$A$1:$I$104"}</definedName>
    <definedName name="wwwww" localSheetId="4" hidden="1">{"'Sheet1'!$A$1:$I$102","'Sheet1'!$A$1:$I$104"}</definedName>
    <definedName name="wwwww" localSheetId="27" hidden="1">{"'Sheet1'!$A$1:$I$102","'Sheet1'!$A$1:$I$104"}</definedName>
    <definedName name="wwwww" localSheetId="28" hidden="1">{"'Sheet1'!$A$1:$I$102","'Sheet1'!$A$1:$I$104"}</definedName>
    <definedName name="wwwww" hidden="1">{"'Sheet1'!$A$1:$I$102","'Sheet1'!$A$1:$I$104"}</definedName>
    <definedName name="XX">#REF!</definedName>
    <definedName name="Z_29C740E2_3ED4_11D4_A406_0048544B055A_.wvu.FilterData" localSheetId="26" hidden="1">'104流域治理(法)'!#REF!</definedName>
    <definedName name="Z_29C740E2_3ED4_11D4_A406_0048544B055A_.wvu.FilterData" localSheetId="25" hidden="1">'104計畫(法)'!#REF!</definedName>
    <definedName name="Z_29C740E2_3ED4_11D4_A406_0048544B055A_.wvu.FilterData" localSheetId="21" hidden="1">'105流域治理(案)'!#REF!</definedName>
    <definedName name="Z_29C740E2_3ED4_11D4_A406_0048544B055A_.wvu.FilterData" localSheetId="20" hidden="1">'105計畫(案)'!#REF!</definedName>
    <definedName name="Z_29C740E2_3ED4_11D4_A406_0048544B055A_.wvu.FilterData" localSheetId="8" hidden="1">'106前瞻(法)'!#REF!</definedName>
    <definedName name="Z_29C740E2_3ED4_11D4_A406_0048544B055A_.wvu.FilterData" localSheetId="9" hidden="1">'106流域治理(法) (2)'!#REF!</definedName>
    <definedName name="Z_29C740E2_3ED4_11D4_A406_0048544B055A_.wvu.FilterData" localSheetId="10" hidden="1">'106計畫型(案)'!#REF!</definedName>
    <definedName name="Z_29C740E2_3ED4_11D4_A406_0048544B055A_.wvu.FilterData" localSheetId="7" hidden="1">'106計畫型原(法)'!#REF!</definedName>
    <definedName name="Z_29C740E2_3ED4_11D4_A406_0048544B055A_.wvu.FilterData" localSheetId="2" hidden="1">'107前瞻(法)'!#REF!</definedName>
    <definedName name="Z_29C740E2_3ED4_11D4_A406_0048544B055A_.wvu.FilterData" localSheetId="3" hidden="1">'107流域治理(法)'!#REF!</definedName>
    <definedName name="Z_29C740E2_3ED4_11D4_A406_0048544B055A_.wvu.FilterData" localSheetId="1" hidden="1">'107計畫型(法)'!#REF!</definedName>
    <definedName name="Z_29C740E2_3ED4_11D4_A406_0048544B055A_.wvu.PrintArea" localSheetId="26" hidden="1">'104流域治理(法)'!$A$1:$E$10</definedName>
    <definedName name="Z_29C740E2_3ED4_11D4_A406_0048544B055A_.wvu.PrintArea" localSheetId="25" hidden="1">'104計畫(法)'!$A$1:$E$342</definedName>
    <definedName name="Z_29C740E2_3ED4_11D4_A406_0048544B055A_.wvu.PrintArea" localSheetId="21" hidden="1">'105流域治理(案)'!$A$1:$E$12</definedName>
    <definedName name="Z_29C740E2_3ED4_11D4_A406_0048544B055A_.wvu.PrintArea" localSheetId="20" hidden="1">'105計畫(案)'!$A$1:$E$400</definedName>
    <definedName name="Z_29C740E2_3ED4_11D4_A406_0048544B055A_.wvu.PrintArea" localSheetId="8" hidden="1">'106前瞻(法)'!$A$1:$H$96</definedName>
    <definedName name="Z_29C740E2_3ED4_11D4_A406_0048544B055A_.wvu.PrintArea" localSheetId="9" hidden="1">'106流域治理(法) (2)'!$A$1:$E$17</definedName>
    <definedName name="Z_29C740E2_3ED4_11D4_A406_0048544B055A_.wvu.PrintArea" localSheetId="10" hidden="1">'106計畫型(案)'!$A$1:$E$371</definedName>
    <definedName name="Z_29C740E2_3ED4_11D4_A406_0048544B055A_.wvu.PrintArea" localSheetId="7" hidden="1">'106計畫型原(法)'!$A$2:$E$372</definedName>
    <definedName name="Z_29C740E2_3ED4_11D4_A406_0048544B055A_.wvu.PrintArea" localSheetId="2" hidden="1">'107前瞻(法)'!$A$1:$H$96</definedName>
    <definedName name="Z_29C740E2_3ED4_11D4_A406_0048544B055A_.wvu.PrintArea" localSheetId="3" hidden="1">'107流域治理(法)'!$A$1:$E$16</definedName>
    <definedName name="Z_29C740E2_3ED4_11D4_A406_0048544B055A_.wvu.PrintArea" localSheetId="1" hidden="1">'107計畫型(法)'!$A$2:$E$363</definedName>
    <definedName name="Z_29C740E2_3ED4_11D4_A406_0048544B055A_.wvu.PrintTitles" localSheetId="26" hidden="1">'104流域治理(法)'!$1:$3</definedName>
    <definedName name="Z_29C740E2_3ED4_11D4_A406_0048544B055A_.wvu.PrintTitles" localSheetId="25" hidden="1">'104計畫(法)'!$1:$3</definedName>
    <definedName name="Z_29C740E2_3ED4_11D4_A406_0048544B055A_.wvu.PrintTitles" localSheetId="21" hidden="1">'105流域治理(案)'!$1:$3</definedName>
    <definedName name="Z_29C740E2_3ED4_11D4_A406_0048544B055A_.wvu.PrintTitles" localSheetId="20" hidden="1">'105計畫(案)'!$1:$3</definedName>
    <definedName name="Z_29C740E2_3ED4_11D4_A406_0048544B055A_.wvu.PrintTitles" localSheetId="8" hidden="1">'106前瞻(法)'!$1:$3</definedName>
    <definedName name="Z_29C740E2_3ED4_11D4_A406_0048544B055A_.wvu.PrintTitles" localSheetId="9" hidden="1">'106流域治理(法) (2)'!$1:$3</definedName>
    <definedName name="Z_29C740E2_3ED4_11D4_A406_0048544B055A_.wvu.PrintTitles" localSheetId="10" hidden="1">'106計畫型(案)'!$1:$3</definedName>
    <definedName name="Z_29C740E2_3ED4_11D4_A406_0048544B055A_.wvu.PrintTitles" localSheetId="7" hidden="1">'106計畫型原(法)'!$2:$4</definedName>
    <definedName name="Z_29C740E2_3ED4_11D4_A406_0048544B055A_.wvu.PrintTitles" localSheetId="2" hidden="1">'107前瞻(法)'!$1:$3</definedName>
    <definedName name="Z_29C740E2_3ED4_11D4_A406_0048544B055A_.wvu.PrintTitles" localSheetId="3" hidden="1">'107流域治理(法)'!$1:$3</definedName>
    <definedName name="Z_29C740E2_3ED4_11D4_A406_0048544B055A_.wvu.PrintTitles" localSheetId="1" hidden="1">'107計畫型(法)'!$2:$4</definedName>
    <definedName name="中低收入老人生活津貼等">#REF!</definedName>
    <definedName name="斤">#REF!</definedName>
    <definedName name="火" localSheetId="10" hidden="1">{"'Sheet1'!$A$1:$I$102","'Sheet1'!$A$1:$I$104"}</definedName>
    <definedName name="火" localSheetId="7" hidden="1">{"'Sheet1'!$A$1:$I$102","'Sheet1'!$A$1:$I$104"}</definedName>
    <definedName name="火" localSheetId="2" hidden="1">{"'Sheet1'!$A$1:$I$102","'Sheet1'!$A$1:$I$104"}</definedName>
    <definedName name="火" localSheetId="1" hidden="1">{"'Sheet1'!$A$1:$I$102","'Sheet1'!$A$1:$I$104"}</definedName>
    <definedName name="火" localSheetId="4" hidden="1">{"'Sheet1'!$A$1:$I$102","'Sheet1'!$A$1:$I$104"}</definedName>
    <definedName name="火" localSheetId="27" hidden="1">{"'Sheet1'!$A$1:$I$102","'Sheet1'!$A$1:$I$104"}</definedName>
    <definedName name="火" localSheetId="28" hidden="1">{"'Sheet1'!$A$1:$I$102","'Sheet1'!$A$1:$I$104"}</definedName>
    <definedName name="火" hidden="1">{"'Sheet1'!$A$1:$I$102","'Sheet1'!$A$1:$I$104"}</definedName>
    <definedName name="主計處新資料">#REF!</definedName>
    <definedName name="台北市">#REF!</definedName>
    <definedName name="我" localSheetId="10" hidden="1">{"'Sheet1'!$A$1:$I$102","'Sheet1'!$A$1:$I$104"}</definedName>
    <definedName name="我" localSheetId="7" hidden="1">{"'Sheet1'!$A$1:$I$102","'Sheet1'!$A$1:$I$104"}</definedName>
    <definedName name="我" localSheetId="2" hidden="1">{"'Sheet1'!$A$1:$I$102","'Sheet1'!$A$1:$I$104"}</definedName>
    <definedName name="我" localSheetId="1" hidden="1">{"'Sheet1'!$A$1:$I$102","'Sheet1'!$A$1:$I$104"}</definedName>
    <definedName name="我" localSheetId="4" hidden="1">{"'Sheet1'!$A$1:$I$102","'Sheet1'!$A$1:$I$104"}</definedName>
    <definedName name="我" localSheetId="27" hidden="1">{"'Sheet1'!$A$1:$I$102","'Sheet1'!$A$1:$I$104"}</definedName>
    <definedName name="我" localSheetId="28" hidden="1">{"'Sheet1'!$A$1:$I$102","'Sheet1'!$A$1:$I$104"}</definedName>
    <definedName name="我" hidden="1">{"'Sheet1'!$A$1:$I$102","'Sheet1'!$A$1:$I$104"}</definedName>
    <definedName name="叔" localSheetId="9">[2]人基表89!#REF!</definedName>
    <definedName name="叔" localSheetId="7">[2]人基表89!#REF!</definedName>
    <definedName name="叔">[2]人基表89!#REF!</definedName>
    <definedName name="表2">#REF!</definedName>
    <definedName name="研考會" localSheetId="10" hidden="1">{"'87-90'!$A$1:$R$28"}</definedName>
    <definedName name="研考會" localSheetId="7" hidden="1">{"'87-90'!$A$1:$R$28"}</definedName>
    <definedName name="研考會" localSheetId="2" hidden="1">{"'87-90'!$A$1:$R$28"}</definedName>
    <definedName name="研考會" localSheetId="1" hidden="1">{"'87-90'!$A$1:$R$28"}</definedName>
    <definedName name="研考會" localSheetId="4" hidden="1">{"'87-90'!$A$1:$R$28"}</definedName>
    <definedName name="研考會" localSheetId="27" hidden="1">{"'87-90'!$A$1:$R$28"}</definedName>
    <definedName name="研考會" localSheetId="28" hidden="1">{"'87-90'!$A$1:$R$28"}</definedName>
    <definedName name="研考會" hidden="1">{"'87-90'!$A$1:$R$28"}</definedName>
    <definedName name="美" localSheetId="9" hidden="1">'[3]97TAB1'!#REF!</definedName>
    <definedName name="美" localSheetId="7" hidden="1">'[3]97TAB1'!#REF!</definedName>
    <definedName name="美" hidden="1">'[3]97TAB1'!#REF!</definedName>
    <definedName name="特別預算" localSheetId="10" hidden="1">{"'87-90'!$A$1:$R$28"}</definedName>
    <definedName name="特別預算" localSheetId="7" hidden="1">{"'87-90'!$A$1:$R$28"}</definedName>
    <definedName name="特別預算" localSheetId="2" hidden="1">{"'87-90'!$A$1:$R$28"}</definedName>
    <definedName name="特別預算" localSheetId="1" hidden="1">{"'87-90'!$A$1:$R$28"}</definedName>
    <definedName name="特別預算" localSheetId="4" hidden="1">{"'87-90'!$A$1:$R$28"}</definedName>
    <definedName name="特別預算" localSheetId="27" hidden="1">{"'87-90'!$A$1:$R$28"}</definedName>
    <definedName name="特別預算" localSheetId="28" hidden="1">{"'87-90'!$A$1:$R$28"}</definedName>
    <definedName name="特別預算" hidden="1">{"'87-90'!$A$1:$R$28"}</definedName>
    <definedName name="基準收支差短">#REF!</definedName>
    <definedName name="淑" localSheetId="9">#REF!</definedName>
    <definedName name="淑" localSheetId="7">#REF!</definedName>
    <definedName name="淑">#REF!</definedName>
    <definedName name="新">#REF!</definedName>
    <definedName name="新名稱" localSheetId="10" hidden="1">{"'87-90'!$A$1:$R$28"}</definedName>
    <definedName name="新名稱" localSheetId="7" hidden="1">{"'87-90'!$A$1:$R$28"}</definedName>
    <definedName name="新名稱" localSheetId="2" hidden="1">{"'87-90'!$A$1:$R$28"}</definedName>
    <definedName name="新名稱" localSheetId="1" hidden="1">{"'87-90'!$A$1:$R$28"}</definedName>
    <definedName name="新名稱" localSheetId="4" hidden="1">{"'87-90'!$A$1:$R$28"}</definedName>
    <definedName name="新名稱" localSheetId="27" hidden="1">{"'87-90'!$A$1:$R$28"}</definedName>
    <definedName name="新名稱" localSheetId="28" hidden="1">{"'87-90'!$A$1:$R$28"}</definedName>
    <definedName name="新名稱" hidden="1">{"'87-90'!$A$1:$R$28"}</definedName>
    <definedName name="歲入" localSheetId="10" hidden="1">{"'Sheet1'!$A$1:$I$102","'Sheet1'!$A$1:$I$104"}</definedName>
    <definedName name="歲入" localSheetId="7" hidden="1">{"'Sheet1'!$A$1:$I$102","'Sheet1'!$A$1:$I$104"}</definedName>
    <definedName name="歲入" localSheetId="1" hidden="1">{"'Sheet1'!$A$1:$I$102","'Sheet1'!$A$1:$I$104"}</definedName>
    <definedName name="歲入" localSheetId="4" hidden="1">{"'Sheet1'!$A$1:$I$102","'Sheet1'!$A$1:$I$104"}</definedName>
    <definedName name="歲入" localSheetId="27" hidden="1">{"'Sheet1'!$A$1:$I$102","'Sheet1'!$A$1:$I$104"}</definedName>
    <definedName name="歲入" localSheetId="28" hidden="1">{"'Sheet1'!$A$1:$I$102","'Sheet1'!$A$1:$I$104"}</definedName>
    <definedName name="歲入" hidden="1">{"'Sheet1'!$A$1:$I$102","'Sheet1'!$A$1:$I$104"}</definedName>
    <definedName name="經常支出_______________或資本支出">#REF!</definedName>
    <definedName name="嘉義市" localSheetId="10" hidden="1">{"'Sheet1'!$A$1:$I$102","'Sheet1'!$A$1:$I$104"}</definedName>
    <definedName name="嘉義市" localSheetId="7" hidden="1">{"'Sheet1'!$A$1:$I$102","'Sheet1'!$A$1:$I$104"}</definedName>
    <definedName name="嘉義市" localSheetId="2" hidden="1">{"'Sheet1'!$A$1:$I$102","'Sheet1'!$A$1:$I$104"}</definedName>
    <definedName name="嘉義市" localSheetId="1" hidden="1">{"'Sheet1'!$A$1:$I$102","'Sheet1'!$A$1:$I$104"}</definedName>
    <definedName name="嘉義市" localSheetId="4" hidden="1">{"'Sheet1'!$A$1:$I$102","'Sheet1'!$A$1:$I$104"}</definedName>
    <definedName name="嘉義市" localSheetId="27" hidden="1">{"'Sheet1'!$A$1:$I$102","'Sheet1'!$A$1:$I$104"}</definedName>
    <definedName name="嘉義市" localSheetId="28" hidden="1">{"'Sheet1'!$A$1:$I$102","'Sheet1'!$A$1:$I$104"}</definedName>
    <definedName name="嘉義市" hidden="1">{"'Sheet1'!$A$1:$I$102","'Sheet1'!$A$1:$I$104"}</definedName>
    <definedName name="臺南市" localSheetId="10" hidden="1">{"'Sheet1'!$A$1:$I$102","'Sheet1'!$A$1:$I$104"}</definedName>
    <definedName name="臺南市" localSheetId="7" hidden="1">{"'Sheet1'!$A$1:$I$102","'Sheet1'!$A$1:$I$104"}</definedName>
    <definedName name="臺南市" localSheetId="2" hidden="1">{"'Sheet1'!$A$1:$I$102","'Sheet1'!$A$1:$I$104"}</definedName>
    <definedName name="臺南市" localSheetId="1" hidden="1">{"'Sheet1'!$A$1:$I$102","'Sheet1'!$A$1:$I$104"}</definedName>
    <definedName name="臺南市" localSheetId="4" hidden="1">{"'Sheet1'!$A$1:$I$102","'Sheet1'!$A$1:$I$104"}</definedName>
    <definedName name="臺南市" localSheetId="27" hidden="1">{"'Sheet1'!$A$1:$I$102","'Sheet1'!$A$1:$I$104"}</definedName>
    <definedName name="臺南市" localSheetId="28" hidden="1">{"'Sheet1'!$A$1:$I$102","'Sheet1'!$A$1:$I$104"}</definedName>
    <definedName name="臺南市" hidden="1">{"'Sheet1'!$A$1:$I$102","'Sheet1'!$A$1:$I$104"}</definedName>
    <definedName name="職能表預" localSheetId="26">'[11]員額(2)'!#REF!</definedName>
    <definedName name="職能表預" localSheetId="25">'[12]員額(2)'!#REF!</definedName>
    <definedName name="職能表預" localSheetId="21">'[12]員額(2)'!#REF!</definedName>
    <definedName name="職能表預" localSheetId="20">'[12]員額(2)'!#REF!</definedName>
    <definedName name="職能表預" localSheetId="8">'[11]員額(2)'!#REF!</definedName>
    <definedName name="職能表預" localSheetId="9">'[12]員額(2)'!#REF!</definedName>
    <definedName name="職能表預" localSheetId="10">'[12]員額(2)'!#REF!</definedName>
    <definedName name="職能表預" localSheetId="7">'[12]員額(2)'!#REF!</definedName>
    <definedName name="職能表預" localSheetId="2">'[11]員額(2)'!#REF!</definedName>
    <definedName name="職能表預">'[12]員額(2)'!#REF!</definedName>
  </definedNames>
  <calcPr calcId="191029"/>
</workbook>
</file>

<file path=xl/calcChain.xml><?xml version="1.0" encoding="utf-8"?>
<calcChain xmlns="http://schemas.openxmlformats.org/spreadsheetml/2006/main">
  <c r="Q9" i="165" l="1"/>
  <c r="Q8" i="165"/>
  <c r="Q7" i="165"/>
  <c r="Q6" i="165"/>
  <c r="Q5" i="165"/>
  <c r="Q4" i="165"/>
  <c r="K17" i="165" l="1"/>
  <c r="B17" i="165" s="1"/>
  <c r="K18" i="165"/>
  <c r="B18" i="165" s="1"/>
  <c r="M18" i="165" s="1"/>
  <c r="C4" i="165"/>
  <c r="D4" i="165"/>
  <c r="D20" i="165" s="1"/>
  <c r="E4" i="165"/>
  <c r="F4" i="165"/>
  <c r="G4" i="165"/>
  <c r="H4" i="165"/>
  <c r="I4" i="165"/>
  <c r="J4" i="165"/>
  <c r="K4" i="165"/>
  <c r="P4" i="165"/>
  <c r="B5" i="165"/>
  <c r="P5" i="165"/>
  <c r="B6" i="165"/>
  <c r="P6" i="165"/>
  <c r="B7" i="165"/>
  <c r="N7" i="165"/>
  <c r="O7" i="165" s="1"/>
  <c r="P7" i="165"/>
  <c r="B8" i="165"/>
  <c r="P8" i="165"/>
  <c r="B9" i="165"/>
  <c r="N9" i="165"/>
  <c r="O9" i="165" s="1"/>
  <c r="P9" i="165"/>
  <c r="D10" i="165"/>
  <c r="E10" i="165"/>
  <c r="G10" i="165"/>
  <c r="H10" i="165"/>
  <c r="I10" i="165"/>
  <c r="J10" i="165"/>
  <c r="K11" i="165"/>
  <c r="B11" i="165" s="1"/>
  <c r="M11" i="165" s="1"/>
  <c r="N11" i="165"/>
  <c r="O11" i="165"/>
  <c r="P11" i="165"/>
  <c r="Q11" i="165"/>
  <c r="C12" i="165"/>
  <c r="K12" i="165"/>
  <c r="B12" i="165" s="1"/>
  <c r="N12" i="165"/>
  <c r="O12" i="165" s="1"/>
  <c r="C13" i="165"/>
  <c r="Q13" i="165"/>
  <c r="K13" i="165"/>
  <c r="B13" i="165" s="1"/>
  <c r="N13" i="165"/>
  <c r="K14" i="165"/>
  <c r="B14" i="165" s="1"/>
  <c r="M14" i="165" s="1"/>
  <c r="N14" i="165"/>
  <c r="O14" i="165"/>
  <c r="P14" i="165"/>
  <c r="Q14" i="165"/>
  <c r="K15" i="165"/>
  <c r="B15" i="165" s="1"/>
  <c r="N15" i="165"/>
  <c r="O15" i="165" s="1"/>
  <c r="P15" i="165"/>
  <c r="Q15" i="165"/>
  <c r="K16" i="165"/>
  <c r="B16" i="165" s="1"/>
  <c r="N16" i="165"/>
  <c r="O16" i="165"/>
  <c r="P16" i="165"/>
  <c r="Q16" i="165"/>
  <c r="N17" i="165"/>
  <c r="O17" i="165"/>
  <c r="P17" i="165"/>
  <c r="Q17" i="165"/>
  <c r="N18" i="165"/>
  <c r="O18" i="165"/>
  <c r="P18" i="165"/>
  <c r="Q18" i="165"/>
  <c r="F19" i="165"/>
  <c r="B19" i="165"/>
  <c r="N19" i="165"/>
  <c r="O19" i="165"/>
  <c r="P19" i="165"/>
  <c r="Q19" i="165"/>
  <c r="C19" i="145"/>
  <c r="O19" i="145" s="1"/>
  <c r="C18" i="145"/>
  <c r="B18" i="145" s="1"/>
  <c r="C17" i="145"/>
  <c r="O17" i="145" s="1"/>
  <c r="C16" i="145"/>
  <c r="O16" i="145" s="1"/>
  <c r="C15" i="145"/>
  <c r="O15" i="145" s="1"/>
  <c r="C14" i="145"/>
  <c r="B14" i="145" s="1"/>
  <c r="C13" i="145"/>
  <c r="O13" i="145" s="1"/>
  <c r="C11" i="145"/>
  <c r="B11" i="145" s="1"/>
  <c r="C9" i="145"/>
  <c r="O9" i="145" s="1"/>
  <c r="C8" i="145"/>
  <c r="O8" i="145" s="1"/>
  <c r="C7" i="145"/>
  <c r="B7" i="145" s="1"/>
  <c r="C6" i="145"/>
  <c r="B6" i="145" s="1"/>
  <c r="C5" i="145"/>
  <c r="C19" i="146"/>
  <c r="O19" i="146" s="1"/>
  <c r="C18" i="146"/>
  <c r="O18" i="146" s="1"/>
  <c r="C17" i="146"/>
  <c r="B17" i="146" s="1"/>
  <c r="C16" i="146"/>
  <c r="O16" i="146" s="1"/>
  <c r="C15" i="146"/>
  <c r="B15" i="146" s="1"/>
  <c r="C14" i="146"/>
  <c r="B14" i="146" s="1"/>
  <c r="C13" i="146"/>
  <c r="O13" i="146" s="1"/>
  <c r="C11" i="146"/>
  <c r="O11" i="146" s="1"/>
  <c r="C9" i="146"/>
  <c r="O9" i="146" s="1"/>
  <c r="C8" i="146"/>
  <c r="B8" i="146" s="1"/>
  <c r="C7" i="146"/>
  <c r="B7" i="146" s="1"/>
  <c r="C6" i="146"/>
  <c r="B6" i="146" s="1"/>
  <c r="C5" i="146"/>
  <c r="B5" i="146" s="1"/>
  <c r="J9" i="146"/>
  <c r="J4" i="146" s="1"/>
  <c r="J9" i="145"/>
  <c r="J4" i="145" s="1"/>
  <c r="AF214" i="143"/>
  <c r="P214" i="143"/>
  <c r="H214" i="143"/>
  <c r="AF213" i="143"/>
  <c r="P213" i="143"/>
  <c r="E213" i="143" s="1"/>
  <c r="AI213" i="143" s="1"/>
  <c r="H213" i="143"/>
  <c r="AF212" i="143"/>
  <c r="P212" i="143"/>
  <c r="H212" i="143"/>
  <c r="AG211" i="143"/>
  <c r="AF211" i="143"/>
  <c r="R211" i="143"/>
  <c r="Q211" i="143"/>
  <c r="I211" i="143"/>
  <c r="I210" i="143"/>
  <c r="AH210" i="143"/>
  <c r="AG210" i="143"/>
  <c r="AE210" i="143"/>
  <c r="AD210" i="143"/>
  <c r="AC210" i="143"/>
  <c r="AB210" i="143"/>
  <c r="AA210" i="143"/>
  <c r="Z210" i="143"/>
  <c r="Y210" i="143"/>
  <c r="X210" i="143"/>
  <c r="W210" i="143"/>
  <c r="V210" i="143"/>
  <c r="U210" i="143"/>
  <c r="T210" i="143"/>
  <c r="S210" i="143"/>
  <c r="R210" i="143"/>
  <c r="O210" i="143"/>
  <c r="N210" i="143"/>
  <c r="M210" i="143"/>
  <c r="L210" i="143"/>
  <c r="K210" i="143"/>
  <c r="J210" i="143"/>
  <c r="G210" i="143"/>
  <c r="F210" i="143"/>
  <c r="AF209" i="143"/>
  <c r="F209" i="143"/>
  <c r="AI209" i="143" s="1"/>
  <c r="P209" i="143"/>
  <c r="H209" i="143"/>
  <c r="AF208" i="143"/>
  <c r="F208" i="143" s="1"/>
  <c r="P208" i="143"/>
  <c r="H208" i="143"/>
  <c r="AF207" i="143"/>
  <c r="P207" i="143"/>
  <c r="H207" i="143"/>
  <c r="G207" i="143"/>
  <c r="AF206" i="143"/>
  <c r="P206" i="143"/>
  <c r="H206" i="143"/>
  <c r="AF205" i="143"/>
  <c r="E205" i="143" s="1"/>
  <c r="AI205" i="143" s="1"/>
  <c r="P205" i="143"/>
  <c r="H205" i="143"/>
  <c r="AF204" i="143"/>
  <c r="P204" i="143"/>
  <c r="H204" i="143"/>
  <c r="AF203" i="143"/>
  <c r="P203" i="143"/>
  <c r="H203" i="143"/>
  <c r="E203" i="143" s="1"/>
  <c r="AI203" i="143" s="1"/>
  <c r="AF202" i="143"/>
  <c r="P202" i="143"/>
  <c r="E202" i="143" s="1"/>
  <c r="AI202" i="143" s="1"/>
  <c r="H202" i="143"/>
  <c r="AF201" i="143"/>
  <c r="P201" i="143"/>
  <c r="H201" i="143"/>
  <c r="AF200" i="143"/>
  <c r="P200" i="143"/>
  <c r="H200" i="143"/>
  <c r="E200" i="143"/>
  <c r="AI200" i="143" s="1"/>
  <c r="AF199" i="143"/>
  <c r="P199" i="143"/>
  <c r="H199" i="143"/>
  <c r="P198" i="143"/>
  <c r="H198" i="143"/>
  <c r="E198" i="143" s="1"/>
  <c r="AI198" i="143" s="1"/>
  <c r="AF197" i="143"/>
  <c r="P197" i="143"/>
  <c r="E197" i="143" s="1"/>
  <c r="AI197" i="143" s="1"/>
  <c r="H197" i="143"/>
  <c r="AF196" i="143"/>
  <c r="P196" i="143"/>
  <c r="H196" i="143"/>
  <c r="AF195" i="143"/>
  <c r="P195" i="143"/>
  <c r="E195" i="143" s="1"/>
  <c r="AI195" i="143" s="1"/>
  <c r="H195" i="143"/>
  <c r="AF194" i="143"/>
  <c r="P194" i="143"/>
  <c r="H194" i="143"/>
  <c r="E194" i="143"/>
  <c r="AI194" i="143" s="1"/>
  <c r="AF193" i="143"/>
  <c r="P193" i="143"/>
  <c r="H193" i="143"/>
  <c r="E193" i="143"/>
  <c r="AI193" i="143" s="1"/>
  <c r="AF192" i="143"/>
  <c r="AI192" i="143"/>
  <c r="P192" i="143"/>
  <c r="H192" i="143"/>
  <c r="E192" i="143" s="1"/>
  <c r="AF191" i="143"/>
  <c r="AE191" i="143"/>
  <c r="P191" i="143" s="1"/>
  <c r="N191" i="143"/>
  <c r="E191" i="143"/>
  <c r="I191" i="143"/>
  <c r="H191" i="143" s="1"/>
  <c r="F191" i="143"/>
  <c r="AF190" i="143"/>
  <c r="P190" i="143"/>
  <c r="H190" i="143"/>
  <c r="AN366" i="143"/>
  <c r="AF104" i="143"/>
  <c r="P104" i="143"/>
  <c r="N104" i="143"/>
  <c r="K104" i="143"/>
  <c r="J104" i="143"/>
  <c r="AF103" i="143"/>
  <c r="P103" i="143"/>
  <c r="H103" i="143"/>
  <c r="E103" i="143"/>
  <c r="AF102" i="143"/>
  <c r="P102" i="143"/>
  <c r="N102" i="143"/>
  <c r="K102" i="143"/>
  <c r="H102" i="143"/>
  <c r="E102" i="143"/>
  <c r="AF101" i="143"/>
  <c r="P101" i="143"/>
  <c r="H101" i="143"/>
  <c r="E101" i="143"/>
  <c r="AF100" i="143"/>
  <c r="P100" i="143"/>
  <c r="H100" i="143"/>
  <c r="E100" i="143"/>
  <c r="AF99" i="143"/>
  <c r="P99" i="143"/>
  <c r="H99" i="143"/>
  <c r="E99" i="143"/>
  <c r="AI99" i="143" s="1"/>
  <c r="AF97" i="143"/>
  <c r="P97" i="143"/>
  <c r="AI97" i="143" s="1"/>
  <c r="H97" i="143"/>
  <c r="E97" i="143"/>
  <c r="AF96" i="143"/>
  <c r="P96" i="143"/>
  <c r="H96" i="143"/>
  <c r="E96" i="143"/>
  <c r="AF95" i="143"/>
  <c r="P95" i="143"/>
  <c r="H95" i="143"/>
  <c r="E95" i="143"/>
  <c r="AF94" i="143"/>
  <c r="P94" i="143"/>
  <c r="H94" i="143"/>
  <c r="E94" i="143"/>
  <c r="AF93" i="143"/>
  <c r="P93" i="143"/>
  <c r="H93" i="143"/>
  <c r="E93" i="143"/>
  <c r="AF92" i="143"/>
  <c r="AI92" i="143"/>
  <c r="P92" i="143"/>
  <c r="H92" i="143"/>
  <c r="E92" i="143"/>
  <c r="AF91" i="143"/>
  <c r="P91" i="143"/>
  <c r="H91" i="143"/>
  <c r="E91" i="143"/>
  <c r="AF90" i="143"/>
  <c r="P90" i="143"/>
  <c r="H90" i="143"/>
  <c r="E90" i="143"/>
  <c r="AF89" i="143"/>
  <c r="P89" i="143"/>
  <c r="H89" i="143"/>
  <c r="E89" i="143"/>
  <c r="AF88" i="143"/>
  <c r="AI88" i="143" s="1"/>
  <c r="P88" i="143"/>
  <c r="H88" i="143"/>
  <c r="E88" i="143"/>
  <c r="AF87" i="143"/>
  <c r="P87" i="143"/>
  <c r="H87" i="143"/>
  <c r="E87" i="143"/>
  <c r="AI87" i="143" s="1"/>
  <c r="AF86" i="143"/>
  <c r="AI86" i="143" s="1"/>
  <c r="P86" i="143"/>
  <c r="H86" i="143"/>
  <c r="E86" i="143"/>
  <c r="AF85" i="143"/>
  <c r="AI85" i="143"/>
  <c r="P85" i="143"/>
  <c r="H85" i="143"/>
  <c r="E85" i="143"/>
  <c r="AF83" i="143"/>
  <c r="P83" i="143"/>
  <c r="J83" i="143"/>
  <c r="H83" i="143" s="1"/>
  <c r="F83" i="143" s="1"/>
  <c r="AF81" i="143"/>
  <c r="P81" i="143"/>
  <c r="H81" i="143"/>
  <c r="E81" i="143"/>
  <c r="AF80" i="143"/>
  <c r="AI80" i="143" s="1"/>
  <c r="P80" i="143"/>
  <c r="H80" i="143"/>
  <c r="E80" i="143"/>
  <c r="AF79" i="143"/>
  <c r="P79" i="143"/>
  <c r="H79" i="143"/>
  <c r="E79" i="143"/>
  <c r="AI79" i="143" s="1"/>
  <c r="AF78" i="143"/>
  <c r="P78" i="143"/>
  <c r="H78" i="143"/>
  <c r="E78" i="143"/>
  <c r="AF77" i="143"/>
  <c r="AI77" i="143"/>
  <c r="P77" i="143"/>
  <c r="H77" i="143"/>
  <c r="E77" i="143"/>
  <c r="AF76" i="143"/>
  <c r="AI76" i="143" s="1"/>
  <c r="P76" i="143"/>
  <c r="H76" i="143"/>
  <c r="E76" i="143"/>
  <c r="AF75" i="143"/>
  <c r="P75" i="143"/>
  <c r="H75" i="143"/>
  <c r="E75" i="143"/>
  <c r="AF74" i="143"/>
  <c r="P74" i="143"/>
  <c r="H74" i="143"/>
  <c r="AI74" i="143" s="1"/>
  <c r="E74" i="143"/>
  <c r="AF73" i="143"/>
  <c r="P73" i="143"/>
  <c r="H73" i="143"/>
  <c r="E73" i="143"/>
  <c r="AF72" i="143"/>
  <c r="P72" i="143"/>
  <c r="H72" i="143"/>
  <c r="E72" i="143"/>
  <c r="AF70" i="143"/>
  <c r="P70" i="143"/>
  <c r="H70" i="143"/>
  <c r="E70" i="143"/>
  <c r="AF69" i="143"/>
  <c r="P69" i="143"/>
  <c r="H69" i="143"/>
  <c r="E69" i="143"/>
  <c r="AF68" i="143"/>
  <c r="AI68" i="143" s="1"/>
  <c r="P68" i="143"/>
  <c r="H68" i="143"/>
  <c r="E68" i="143"/>
  <c r="AF67" i="143"/>
  <c r="P67" i="143"/>
  <c r="H67" i="143"/>
  <c r="E67" i="143"/>
  <c r="AF66" i="143"/>
  <c r="P66" i="143"/>
  <c r="H66" i="143"/>
  <c r="AI66" i="143" s="1"/>
  <c r="E66" i="143"/>
  <c r="AF65" i="143"/>
  <c r="AI65" i="143" s="1"/>
  <c r="P65" i="143"/>
  <c r="H65" i="143"/>
  <c r="E65" i="143"/>
  <c r="AF64" i="143"/>
  <c r="AI64" i="143"/>
  <c r="P64" i="143"/>
  <c r="H64" i="143"/>
  <c r="E64" i="143"/>
  <c r="AF63" i="143"/>
  <c r="P63" i="143"/>
  <c r="H63" i="143"/>
  <c r="E63" i="143"/>
  <c r="AF62" i="143"/>
  <c r="P62" i="143"/>
  <c r="H62" i="143"/>
  <c r="E62" i="143"/>
  <c r="AI62" i="143"/>
  <c r="AF61" i="143"/>
  <c r="P61" i="143"/>
  <c r="H61" i="143"/>
  <c r="AI61" i="143" s="1"/>
  <c r="E61" i="143"/>
  <c r="AF340" i="143"/>
  <c r="P340" i="143"/>
  <c r="E340" i="143" s="1"/>
  <c r="AI340" i="143"/>
  <c r="H340" i="143"/>
  <c r="AF339" i="143"/>
  <c r="P339" i="143"/>
  <c r="H339" i="143"/>
  <c r="AF338" i="143"/>
  <c r="P338" i="143"/>
  <c r="E338" i="143" s="1"/>
  <c r="AI338" i="143" s="1"/>
  <c r="H338" i="143"/>
  <c r="E333" i="143"/>
  <c r="AI333" i="143" s="1"/>
  <c r="E332" i="143"/>
  <c r="AI332" i="143" s="1"/>
  <c r="E331" i="143"/>
  <c r="E330" i="143"/>
  <c r="AI330" i="143" s="1"/>
  <c r="E329" i="143"/>
  <c r="E328" i="143"/>
  <c r="AI328" i="143" s="1"/>
  <c r="E327" i="143"/>
  <c r="AI327" i="143" s="1"/>
  <c r="E326" i="143"/>
  <c r="AI326" i="143" s="1"/>
  <c r="E325" i="143"/>
  <c r="AI325" i="143" s="1"/>
  <c r="E324" i="143"/>
  <c r="AI324" i="143" s="1"/>
  <c r="E323" i="143"/>
  <c r="AI323" i="143" s="1"/>
  <c r="E306" i="143"/>
  <c r="AI306" i="143" s="1"/>
  <c r="AI329" i="143"/>
  <c r="E320" i="143"/>
  <c r="AI320" i="143" s="1"/>
  <c r="E319" i="143"/>
  <c r="AI319" i="143"/>
  <c r="E317" i="143"/>
  <c r="AI317" i="143"/>
  <c r="E316" i="143"/>
  <c r="AI316" i="143"/>
  <c r="E315" i="143"/>
  <c r="AI315" i="143"/>
  <c r="E313" i="143"/>
  <c r="AI313" i="143"/>
  <c r="E312" i="143"/>
  <c r="AI312" i="143"/>
  <c r="E311" i="143"/>
  <c r="AI311" i="143"/>
  <c r="E310" i="143"/>
  <c r="AI310" i="143"/>
  <c r="E309" i="143"/>
  <c r="E308" i="143"/>
  <c r="AI308" i="143" s="1"/>
  <c r="AI336" i="143"/>
  <c r="AF335" i="143"/>
  <c r="P335" i="143"/>
  <c r="H335" i="143"/>
  <c r="AF334" i="143"/>
  <c r="P334" i="143"/>
  <c r="H334" i="143"/>
  <c r="E334" i="143" s="1"/>
  <c r="AI334" i="143" s="1"/>
  <c r="AI331" i="143"/>
  <c r="AF321" i="143"/>
  <c r="P321" i="143"/>
  <c r="H321" i="143"/>
  <c r="AF318" i="143"/>
  <c r="P318" i="143"/>
  <c r="E318" i="143"/>
  <c r="AI318" i="143" s="1"/>
  <c r="H318" i="143"/>
  <c r="AF314" i="143"/>
  <c r="P314" i="143"/>
  <c r="H314" i="143"/>
  <c r="E314" i="143"/>
  <c r="AI314" i="143" s="1"/>
  <c r="AI309" i="143"/>
  <c r="AF307" i="143"/>
  <c r="P307" i="143"/>
  <c r="H307" i="143"/>
  <c r="AF362" i="143"/>
  <c r="P362" i="143"/>
  <c r="AI362" i="143" s="1"/>
  <c r="H362" i="143"/>
  <c r="AM303" i="143"/>
  <c r="AK303" i="143"/>
  <c r="AJ303" i="143"/>
  <c r="AF303" i="143"/>
  <c r="AN303" i="143"/>
  <c r="P303" i="143"/>
  <c r="H303" i="143"/>
  <c r="AL303" i="143" s="1"/>
  <c r="AN302" i="143"/>
  <c r="AL302" i="143"/>
  <c r="AK302" i="143"/>
  <c r="AJ302" i="143"/>
  <c r="AF302" i="143"/>
  <c r="P302" i="143"/>
  <c r="AM302" i="143"/>
  <c r="H302" i="143"/>
  <c r="E302" i="143"/>
  <c r="AI302" i="143" s="1"/>
  <c r="AK301" i="143"/>
  <c r="AJ301" i="143"/>
  <c r="AF301" i="143"/>
  <c r="AN301" i="143" s="1"/>
  <c r="P301" i="143"/>
  <c r="AM301" i="143" s="1"/>
  <c r="H301" i="143"/>
  <c r="AL301" i="143" s="1"/>
  <c r="AK300" i="143"/>
  <c r="AJ300" i="143"/>
  <c r="AF300" i="143"/>
  <c r="AN300" i="143"/>
  <c r="P300" i="143"/>
  <c r="H300" i="143"/>
  <c r="AL300" i="143" s="1"/>
  <c r="AM299" i="143"/>
  <c r="AK299" i="143"/>
  <c r="AJ299" i="143"/>
  <c r="AF299" i="143"/>
  <c r="AN299" i="143"/>
  <c r="P299" i="143"/>
  <c r="H299" i="143"/>
  <c r="AL299" i="143" s="1"/>
  <c r="AK298" i="143"/>
  <c r="AJ298" i="143"/>
  <c r="AF298" i="143"/>
  <c r="AN298" i="143"/>
  <c r="P298" i="143"/>
  <c r="H298" i="143"/>
  <c r="AL298" i="143" s="1"/>
  <c r="AK297" i="143"/>
  <c r="AO297" i="143" s="1"/>
  <c r="AJ297" i="143"/>
  <c r="AF297" i="143"/>
  <c r="AN297" i="143"/>
  <c r="P297" i="143"/>
  <c r="E297" i="143"/>
  <c r="AI297" i="143" s="1"/>
  <c r="H297" i="143"/>
  <c r="AL297" i="143" s="1"/>
  <c r="AK296" i="143"/>
  <c r="AJ296" i="143"/>
  <c r="AF296" i="143"/>
  <c r="AN296" i="143" s="1"/>
  <c r="P296" i="143"/>
  <c r="AM296" i="143" s="1"/>
  <c r="H296" i="143"/>
  <c r="AL296" i="143"/>
  <c r="AK295" i="143"/>
  <c r="AJ295" i="143"/>
  <c r="AF295" i="143"/>
  <c r="AN295" i="143"/>
  <c r="P295" i="143"/>
  <c r="AM295" i="143"/>
  <c r="H295" i="143"/>
  <c r="E295" i="143"/>
  <c r="AL294" i="143"/>
  <c r="AK294" i="143"/>
  <c r="AJ294" i="143"/>
  <c r="AO294" i="143" s="1"/>
  <c r="AF294" i="143"/>
  <c r="AN294" i="143" s="1"/>
  <c r="P294" i="143"/>
  <c r="AM294" i="143"/>
  <c r="H294" i="143"/>
  <c r="E294" i="143"/>
  <c r="AI294" i="143" s="1"/>
  <c r="AN293" i="143"/>
  <c r="AK293" i="143"/>
  <c r="AJ293" i="143"/>
  <c r="AF293" i="143"/>
  <c r="P293" i="143"/>
  <c r="AM293" i="143" s="1"/>
  <c r="H293" i="143"/>
  <c r="AN292" i="143"/>
  <c r="AL292" i="143"/>
  <c r="AK292" i="143"/>
  <c r="AJ292" i="143"/>
  <c r="AF292" i="143"/>
  <c r="P292" i="143"/>
  <c r="AM292" i="143"/>
  <c r="H292" i="143"/>
  <c r="AL291" i="143"/>
  <c r="AK291" i="143"/>
  <c r="AJ291" i="143"/>
  <c r="AF291" i="143"/>
  <c r="AN291" i="143"/>
  <c r="P291" i="143"/>
  <c r="AM291" i="143"/>
  <c r="H291" i="143"/>
  <c r="AK289" i="143"/>
  <c r="AJ289" i="143"/>
  <c r="AF289" i="143"/>
  <c r="AN289" i="143" s="1"/>
  <c r="P289" i="143"/>
  <c r="AM289" i="143" s="1"/>
  <c r="H289" i="143"/>
  <c r="E289" i="143" s="1"/>
  <c r="AM288" i="143"/>
  <c r="AK288" i="143"/>
  <c r="AJ288" i="143"/>
  <c r="AF288" i="143"/>
  <c r="AN288" i="143"/>
  <c r="P288" i="143"/>
  <c r="H288" i="143"/>
  <c r="AL288" i="143" s="1"/>
  <c r="AN287" i="143"/>
  <c r="AK287" i="143"/>
  <c r="AJ287" i="143"/>
  <c r="AF287" i="143"/>
  <c r="P287" i="143"/>
  <c r="AM287" i="143" s="1"/>
  <c r="H287" i="143"/>
  <c r="AK286" i="143"/>
  <c r="AJ286" i="143"/>
  <c r="AF286" i="143"/>
  <c r="AN286" i="143"/>
  <c r="P286" i="143"/>
  <c r="AM286" i="143"/>
  <c r="H286" i="143"/>
  <c r="AL285" i="143"/>
  <c r="AK285" i="143"/>
  <c r="AJ285" i="143"/>
  <c r="AF285" i="143"/>
  <c r="AN285" i="143" s="1"/>
  <c r="P285" i="143"/>
  <c r="AM285" i="143"/>
  <c r="H285" i="143"/>
  <c r="AK284" i="143"/>
  <c r="AJ284" i="143"/>
  <c r="AF284" i="143"/>
  <c r="AN284" i="143" s="1"/>
  <c r="P284" i="143"/>
  <c r="AM284" i="143" s="1"/>
  <c r="H284" i="143"/>
  <c r="AL284" i="143" s="1"/>
  <c r="AM283" i="143"/>
  <c r="AK283" i="143"/>
  <c r="AJ283" i="143"/>
  <c r="AF283" i="143"/>
  <c r="AN283" i="143"/>
  <c r="P283" i="143"/>
  <c r="H283" i="143"/>
  <c r="AN282" i="143"/>
  <c r="AM282" i="143"/>
  <c r="AK282" i="143"/>
  <c r="AJ282" i="143"/>
  <c r="AF282" i="143"/>
  <c r="P282" i="143"/>
  <c r="H282" i="143"/>
  <c r="AL282" i="143"/>
  <c r="AK281" i="143"/>
  <c r="AJ281" i="143"/>
  <c r="AF281" i="143"/>
  <c r="AN281" i="143"/>
  <c r="P281" i="143"/>
  <c r="AM281" i="143" s="1"/>
  <c r="H281" i="143"/>
  <c r="AM280" i="143"/>
  <c r="AK280" i="143"/>
  <c r="AJ280" i="143"/>
  <c r="AF280" i="143"/>
  <c r="AN280" i="143"/>
  <c r="P280" i="143"/>
  <c r="H280" i="143"/>
  <c r="AN279" i="143"/>
  <c r="AK279" i="143"/>
  <c r="AJ279" i="143"/>
  <c r="AF279" i="143"/>
  <c r="P279" i="143"/>
  <c r="AM279" i="143" s="1"/>
  <c r="H279" i="143"/>
  <c r="AN277" i="143"/>
  <c r="AM277" i="143"/>
  <c r="AL277" i="143"/>
  <c r="AK277" i="143"/>
  <c r="AJ277" i="143"/>
  <c r="AO277" i="143"/>
  <c r="E277" i="143"/>
  <c r="AI277" i="143"/>
  <c r="AN276" i="143"/>
  <c r="AM276" i="143"/>
  <c r="AL276" i="143"/>
  <c r="AK276" i="143"/>
  <c r="AJ276" i="143"/>
  <c r="AO276" i="143"/>
  <c r="E276" i="143"/>
  <c r="AI276" i="143"/>
  <c r="AN275" i="143"/>
  <c r="AM275" i="143"/>
  <c r="AL275" i="143"/>
  <c r="AK275" i="143"/>
  <c r="AO275" i="143" s="1"/>
  <c r="AJ275" i="143"/>
  <c r="E275" i="143"/>
  <c r="AI275" i="143"/>
  <c r="AN274" i="143"/>
  <c r="AM274" i="143"/>
  <c r="AL274" i="143"/>
  <c r="AK274" i="143"/>
  <c r="AJ274" i="143"/>
  <c r="E274" i="143"/>
  <c r="AI274" i="143" s="1"/>
  <c r="AN273" i="143"/>
  <c r="AM273" i="143"/>
  <c r="AL273" i="143"/>
  <c r="AK273" i="143"/>
  <c r="AJ273" i="143"/>
  <c r="AO273" i="143" s="1"/>
  <c r="E273" i="143"/>
  <c r="AI273" i="143" s="1"/>
  <c r="AN272" i="143"/>
  <c r="AM272" i="143"/>
  <c r="AL272" i="143"/>
  <c r="AK272" i="143"/>
  <c r="AJ272" i="143"/>
  <c r="E272" i="143"/>
  <c r="AI272" i="143" s="1"/>
  <c r="AN271" i="143"/>
  <c r="AM271" i="143"/>
  <c r="AL271" i="143"/>
  <c r="AK271" i="143"/>
  <c r="AJ271" i="143"/>
  <c r="AO271" i="143" s="1"/>
  <c r="E271" i="143"/>
  <c r="AI271" i="143" s="1"/>
  <c r="AN270" i="143"/>
  <c r="AM270" i="143"/>
  <c r="AL270" i="143"/>
  <c r="AK270" i="143"/>
  <c r="AJ270" i="143"/>
  <c r="E270" i="143"/>
  <c r="AI270" i="143" s="1"/>
  <c r="AN269" i="143"/>
  <c r="AM269" i="143"/>
  <c r="AL269" i="143"/>
  <c r="AK269" i="143"/>
  <c r="AJ269" i="143"/>
  <c r="AO269" i="143" s="1"/>
  <c r="E269" i="143"/>
  <c r="AI269" i="143" s="1"/>
  <c r="AN268" i="143"/>
  <c r="AM268" i="143"/>
  <c r="AL268" i="143"/>
  <c r="AK268" i="143"/>
  <c r="AJ268" i="143"/>
  <c r="E268" i="143"/>
  <c r="AI268" i="143"/>
  <c r="AN267" i="143"/>
  <c r="AM267" i="143"/>
  <c r="AL267" i="143"/>
  <c r="AK267" i="143"/>
  <c r="AO267" i="143" s="1"/>
  <c r="AJ267" i="143"/>
  <c r="E267" i="143"/>
  <c r="AI267" i="143"/>
  <c r="AN265" i="143"/>
  <c r="AM265" i="143"/>
  <c r="AL265" i="143"/>
  <c r="AK265" i="143"/>
  <c r="AJ265" i="143"/>
  <c r="AO265" i="143"/>
  <c r="E265" i="143"/>
  <c r="AI265" i="143"/>
  <c r="AN264" i="143"/>
  <c r="AM264" i="143"/>
  <c r="AL264" i="143"/>
  <c r="AK264" i="143"/>
  <c r="AJ264" i="143"/>
  <c r="E264" i="143"/>
  <c r="AI264" i="143"/>
  <c r="AJ263" i="143"/>
  <c r="E263" i="143"/>
  <c r="AI263" i="143" s="1"/>
  <c r="AJ262" i="143"/>
  <c r="E262" i="143"/>
  <c r="AI262" i="143"/>
  <c r="AJ261" i="143"/>
  <c r="AI261" i="143"/>
  <c r="E261" i="143"/>
  <c r="AK259" i="143"/>
  <c r="AJ259" i="143"/>
  <c r="AF259" i="143"/>
  <c r="AN259" i="143" s="1"/>
  <c r="P259" i="143"/>
  <c r="AM259" i="143" s="1"/>
  <c r="H259" i="143"/>
  <c r="AN258" i="143"/>
  <c r="AK258" i="143"/>
  <c r="AJ258" i="143"/>
  <c r="AF258" i="143"/>
  <c r="P258" i="143"/>
  <c r="AM258" i="143" s="1"/>
  <c r="H258" i="143"/>
  <c r="AK257" i="143"/>
  <c r="AJ257" i="143"/>
  <c r="AO257" i="143"/>
  <c r="AF257" i="143"/>
  <c r="AN257" i="143" s="1"/>
  <c r="AI257" i="143"/>
  <c r="P257" i="143"/>
  <c r="AM257" i="143"/>
  <c r="H257" i="143"/>
  <c r="AL257" i="143"/>
  <c r="E257" i="143"/>
  <c r="AK256" i="143"/>
  <c r="AJ256" i="143"/>
  <c r="AF256" i="143"/>
  <c r="AN256" i="143" s="1"/>
  <c r="P256" i="143"/>
  <c r="AM256" i="143" s="1"/>
  <c r="H256" i="143"/>
  <c r="AL256" i="143" s="1"/>
  <c r="E256" i="143"/>
  <c r="AN255" i="143"/>
  <c r="AM255" i="143"/>
  <c r="AK255" i="143"/>
  <c r="AO255" i="143" s="1"/>
  <c r="AF255" i="143"/>
  <c r="P255" i="143"/>
  <c r="O255" i="143"/>
  <c r="H255" i="143"/>
  <c r="AL255" i="143" s="1"/>
  <c r="AJ255" i="143"/>
  <c r="E255" i="143"/>
  <c r="AI255" i="143"/>
  <c r="AM254" i="143"/>
  <c r="AK254" i="143"/>
  <c r="AJ254" i="143"/>
  <c r="AF254" i="143"/>
  <c r="AN254" i="143"/>
  <c r="P254" i="143"/>
  <c r="H254" i="143"/>
  <c r="AL254" i="143" s="1"/>
  <c r="E254" i="143"/>
  <c r="AI254" i="143" s="1"/>
  <c r="AL253" i="143"/>
  <c r="AK253" i="143"/>
  <c r="AJ253" i="143"/>
  <c r="AO253" i="143" s="1"/>
  <c r="AF253" i="143"/>
  <c r="AN253" i="143" s="1"/>
  <c r="P253" i="143"/>
  <c r="AM253" i="143"/>
  <c r="H253" i="143"/>
  <c r="E253" i="143"/>
  <c r="AK252" i="143"/>
  <c r="AJ252" i="143"/>
  <c r="AF252" i="143"/>
  <c r="AN252" i="143"/>
  <c r="P252" i="143"/>
  <c r="AM252" i="143"/>
  <c r="H252" i="143"/>
  <c r="AM251" i="143"/>
  <c r="AK251" i="143"/>
  <c r="AJ251" i="143"/>
  <c r="AO251" i="143" s="1"/>
  <c r="AF251" i="143"/>
  <c r="AN251" i="143" s="1"/>
  <c r="P251" i="143"/>
  <c r="H251" i="143"/>
  <c r="AL251" i="143"/>
  <c r="E251" i="143"/>
  <c r="AI251" i="143"/>
  <c r="AK250" i="143"/>
  <c r="AJ250" i="143"/>
  <c r="AF250" i="143"/>
  <c r="AN250" i="143" s="1"/>
  <c r="P250" i="143"/>
  <c r="AM250" i="143" s="1"/>
  <c r="H250" i="143"/>
  <c r="AL250" i="143"/>
  <c r="E250" i="143"/>
  <c r="AK249" i="143"/>
  <c r="AJ249" i="143"/>
  <c r="AF249" i="143"/>
  <c r="AN249" i="143" s="1"/>
  <c r="P249" i="143"/>
  <c r="AM249" i="143" s="1"/>
  <c r="H249" i="143"/>
  <c r="AK248" i="143"/>
  <c r="AJ248" i="143"/>
  <c r="AF248" i="143"/>
  <c r="AN248" i="143" s="1"/>
  <c r="P248" i="143"/>
  <c r="AM248" i="143" s="1"/>
  <c r="H248" i="143"/>
  <c r="AL248" i="143"/>
  <c r="AK247" i="143"/>
  <c r="AJ247" i="143"/>
  <c r="AF247" i="143"/>
  <c r="AN247" i="143" s="1"/>
  <c r="P247" i="143"/>
  <c r="AM247" i="143" s="1"/>
  <c r="H247" i="143"/>
  <c r="AL247" i="143" s="1"/>
  <c r="E247" i="143"/>
  <c r="AI247" i="143" s="1"/>
  <c r="AM246" i="143"/>
  <c r="AK246" i="143"/>
  <c r="AJ246" i="143"/>
  <c r="AO246" i="143"/>
  <c r="AF246" i="143"/>
  <c r="AN246" i="143"/>
  <c r="P246" i="143"/>
  <c r="H246" i="143"/>
  <c r="AL246" i="143" s="1"/>
  <c r="E246" i="143"/>
  <c r="AN245" i="143"/>
  <c r="AK245" i="143"/>
  <c r="AO245" i="143" s="1"/>
  <c r="AJ245" i="143"/>
  <c r="AF245" i="143"/>
  <c r="AI245" i="143"/>
  <c r="P245" i="143"/>
  <c r="AM245" i="143"/>
  <c r="H245" i="143"/>
  <c r="AL245" i="143"/>
  <c r="E245" i="143"/>
  <c r="AL244" i="143"/>
  <c r="AK244" i="143"/>
  <c r="AJ244" i="143"/>
  <c r="AF244" i="143"/>
  <c r="F244" i="143"/>
  <c r="P244" i="143"/>
  <c r="AM244" i="143"/>
  <c r="H244" i="143"/>
  <c r="AM243" i="143"/>
  <c r="AK243" i="143"/>
  <c r="AJ243" i="143"/>
  <c r="AO243" i="143" s="1"/>
  <c r="AF243" i="143"/>
  <c r="AN243" i="143" s="1"/>
  <c r="P243" i="143"/>
  <c r="H243" i="143"/>
  <c r="AL243" i="143"/>
  <c r="E243" i="143"/>
  <c r="AK241" i="143"/>
  <c r="AJ241" i="143"/>
  <c r="AO241" i="143" s="1"/>
  <c r="AF241" i="143"/>
  <c r="AN241" i="143" s="1"/>
  <c r="P241" i="143"/>
  <c r="AM241" i="143" s="1"/>
  <c r="H241" i="143"/>
  <c r="AL241" i="143" s="1"/>
  <c r="E241" i="143"/>
  <c r="AK240" i="143"/>
  <c r="AJ240" i="143"/>
  <c r="AO240" i="143" s="1"/>
  <c r="AF240" i="143"/>
  <c r="AN240" i="143" s="1"/>
  <c r="P240" i="143"/>
  <c r="H240" i="143"/>
  <c r="AL240" i="143"/>
  <c r="E240" i="143"/>
  <c r="AO239" i="143"/>
  <c r="AK239" i="143"/>
  <c r="AJ239" i="143"/>
  <c r="AF239" i="143"/>
  <c r="AN239" i="143"/>
  <c r="P239" i="143"/>
  <c r="AM239" i="143"/>
  <c r="H239" i="143"/>
  <c r="AL239" i="143"/>
  <c r="E239" i="143"/>
  <c r="AN238" i="143"/>
  <c r="AK238" i="143"/>
  <c r="AO238" i="143" s="1"/>
  <c r="AJ238" i="143"/>
  <c r="AF238" i="143"/>
  <c r="P238" i="143"/>
  <c r="AM238" i="143" s="1"/>
  <c r="H238" i="143"/>
  <c r="AL238" i="143" s="1"/>
  <c r="E238" i="143"/>
  <c r="AK237" i="143"/>
  <c r="AJ237" i="143"/>
  <c r="AO237" i="143" s="1"/>
  <c r="AF237" i="143"/>
  <c r="AN237" i="143" s="1"/>
  <c r="P237" i="143"/>
  <c r="AM237" i="143" s="1"/>
  <c r="H237" i="143"/>
  <c r="AL237" i="143" s="1"/>
  <c r="E237" i="143"/>
  <c r="AL236" i="143"/>
  <c r="AK236" i="143"/>
  <c r="AJ236" i="143"/>
  <c r="AF236" i="143"/>
  <c r="AN236" i="143"/>
  <c r="P236" i="143"/>
  <c r="AM236" i="143"/>
  <c r="H236" i="143"/>
  <c r="E236" i="143"/>
  <c r="AI236" i="143" s="1"/>
  <c r="AK235" i="143"/>
  <c r="AO235" i="143" s="1"/>
  <c r="AJ235" i="143"/>
  <c r="AF235" i="143"/>
  <c r="AN235" i="143"/>
  <c r="P235" i="143"/>
  <c r="AM235" i="143" s="1"/>
  <c r="H235" i="143"/>
  <c r="AL235" i="143" s="1"/>
  <c r="E235" i="143"/>
  <c r="AK234" i="143"/>
  <c r="AJ234" i="143"/>
  <c r="AF234" i="143"/>
  <c r="AN234" i="143"/>
  <c r="P234" i="143"/>
  <c r="AM234" i="143" s="1"/>
  <c r="H234" i="143"/>
  <c r="AL234" i="143" s="1"/>
  <c r="E234" i="143"/>
  <c r="AI234" i="143" s="1"/>
  <c r="AK233" i="143"/>
  <c r="AO233" i="143" s="1"/>
  <c r="AJ233" i="143"/>
  <c r="AF233" i="143"/>
  <c r="AN233" i="143"/>
  <c r="P233" i="143"/>
  <c r="AM233" i="143"/>
  <c r="H233" i="143"/>
  <c r="AL233" i="143"/>
  <c r="E233" i="143"/>
  <c r="AI233" i="143"/>
  <c r="AK232" i="143"/>
  <c r="AJ232" i="143"/>
  <c r="AF232" i="143"/>
  <c r="AN232" i="143" s="1"/>
  <c r="P232" i="143"/>
  <c r="AM232" i="143" s="1"/>
  <c r="H232" i="143"/>
  <c r="AL232" i="143"/>
  <c r="E232" i="143"/>
  <c r="AK231" i="143"/>
  <c r="AJ231" i="143"/>
  <c r="AO231" i="143" s="1"/>
  <c r="AF231" i="143"/>
  <c r="P231" i="143"/>
  <c r="AM231" i="143" s="1"/>
  <c r="H231" i="143"/>
  <c r="AL231" i="143" s="1"/>
  <c r="E231" i="143"/>
  <c r="AK230" i="143"/>
  <c r="AJ230" i="143"/>
  <c r="AF230" i="143"/>
  <c r="AN230" i="143" s="1"/>
  <c r="P230" i="143"/>
  <c r="AM230" i="143" s="1"/>
  <c r="H230" i="143"/>
  <c r="AL230" i="143" s="1"/>
  <c r="E230" i="143"/>
  <c r="AI230" i="143"/>
  <c r="AK229" i="143"/>
  <c r="AO229" i="143" s="1"/>
  <c r="AJ229" i="143"/>
  <c r="AF229" i="143"/>
  <c r="AN229" i="143"/>
  <c r="P229" i="143"/>
  <c r="AM229" i="143"/>
  <c r="H229" i="143"/>
  <c r="AL229" i="143" s="1"/>
  <c r="E229" i="143"/>
  <c r="AK228" i="143"/>
  <c r="AJ228" i="143"/>
  <c r="AF228" i="143"/>
  <c r="AN228" i="143" s="1"/>
  <c r="P228" i="143"/>
  <c r="H228" i="143"/>
  <c r="AL228" i="143"/>
  <c r="E228" i="143"/>
  <c r="AK227" i="143"/>
  <c r="AJ227" i="143"/>
  <c r="AO227" i="143" s="1"/>
  <c r="AF227" i="143"/>
  <c r="AN227" i="143" s="1"/>
  <c r="P227" i="143"/>
  <c r="AM227" i="143" s="1"/>
  <c r="H227" i="143"/>
  <c r="AL227" i="143"/>
  <c r="E227" i="143"/>
  <c r="AM226" i="143"/>
  <c r="AK226" i="143"/>
  <c r="AJ226" i="143"/>
  <c r="AO226" i="143" s="1"/>
  <c r="AF226" i="143"/>
  <c r="AN226" i="143" s="1"/>
  <c r="P226" i="143"/>
  <c r="H226" i="143"/>
  <c r="AL226" i="143"/>
  <c r="E226" i="143"/>
  <c r="AK225" i="143"/>
  <c r="AJ225" i="143"/>
  <c r="AF225" i="143"/>
  <c r="AN225" i="143" s="1"/>
  <c r="P225" i="143"/>
  <c r="AM225" i="143" s="1"/>
  <c r="H225" i="143"/>
  <c r="AL225" i="143" s="1"/>
  <c r="E225" i="143"/>
  <c r="AK224" i="143"/>
  <c r="AJ224" i="143"/>
  <c r="AF224" i="143"/>
  <c r="AN224" i="143" s="1"/>
  <c r="P224" i="143"/>
  <c r="H224" i="143"/>
  <c r="AL224" i="143" s="1"/>
  <c r="E224" i="143"/>
  <c r="AK223" i="143"/>
  <c r="AO223" i="143" s="1"/>
  <c r="AJ223" i="143"/>
  <c r="AF223" i="143"/>
  <c r="P223" i="143"/>
  <c r="AM223" i="143"/>
  <c r="H223" i="143"/>
  <c r="AL223" i="143"/>
  <c r="E223" i="143"/>
  <c r="AN222" i="143"/>
  <c r="AK222" i="143"/>
  <c r="AJ222" i="143"/>
  <c r="AF222" i="143"/>
  <c r="P222" i="143"/>
  <c r="AM222" i="143" s="1"/>
  <c r="H222" i="143"/>
  <c r="AL222" i="143" s="1"/>
  <c r="E222" i="143"/>
  <c r="AI222" i="143" s="1"/>
  <c r="AK221" i="143"/>
  <c r="AF221" i="143"/>
  <c r="AN221" i="143" s="1"/>
  <c r="AE221" i="143"/>
  <c r="P221" i="143" s="1"/>
  <c r="AM221" i="143" s="1"/>
  <c r="O221" i="143"/>
  <c r="H221" i="143"/>
  <c r="AL221" i="143" s="1"/>
  <c r="G221" i="143"/>
  <c r="E221" i="143" s="1"/>
  <c r="E284" i="143"/>
  <c r="AI284" i="143" s="1"/>
  <c r="AL252" i="143"/>
  <c r="AF187" i="143"/>
  <c r="P187" i="143"/>
  <c r="H187" i="143"/>
  <c r="AF186" i="143"/>
  <c r="V186" i="143"/>
  <c r="P186" i="143"/>
  <c r="E186" i="143" s="1"/>
  <c r="AI186" i="143" s="1"/>
  <c r="H186" i="143"/>
  <c r="AF185" i="143"/>
  <c r="P185" i="143"/>
  <c r="H185" i="143"/>
  <c r="AF184" i="143"/>
  <c r="P184" i="143"/>
  <c r="H184" i="143"/>
  <c r="AF183" i="143"/>
  <c r="P183" i="143"/>
  <c r="H183" i="143"/>
  <c r="AF182" i="143"/>
  <c r="P182" i="143"/>
  <c r="H182" i="143"/>
  <c r="AF181" i="143"/>
  <c r="P181" i="143"/>
  <c r="H181" i="143"/>
  <c r="AF180" i="143"/>
  <c r="P180" i="143"/>
  <c r="H180" i="143"/>
  <c r="E180" i="143" s="1"/>
  <c r="AI180" i="143" s="1"/>
  <c r="AF179" i="143"/>
  <c r="P179" i="143"/>
  <c r="H179" i="143"/>
  <c r="AH178" i="143"/>
  <c r="AG178" i="143"/>
  <c r="AE178" i="143"/>
  <c r="AD178" i="143"/>
  <c r="AC178" i="143"/>
  <c r="AB178" i="143"/>
  <c r="AA178" i="143"/>
  <c r="Z178" i="143"/>
  <c r="Y178" i="143"/>
  <c r="X178" i="143"/>
  <c r="W178" i="143"/>
  <c r="U178" i="143"/>
  <c r="T178" i="143"/>
  <c r="S178" i="143"/>
  <c r="R178" i="143"/>
  <c r="Q178" i="143"/>
  <c r="O178" i="143"/>
  <c r="N178" i="143"/>
  <c r="M178" i="143"/>
  <c r="L178" i="143"/>
  <c r="K178" i="143"/>
  <c r="J178" i="143"/>
  <c r="I178" i="143"/>
  <c r="G178" i="143"/>
  <c r="F178" i="143"/>
  <c r="AF177" i="143"/>
  <c r="P177" i="143"/>
  <c r="H177" i="143"/>
  <c r="E177" i="143"/>
  <c r="AF176" i="143"/>
  <c r="P176" i="143"/>
  <c r="H176" i="143"/>
  <c r="V178" i="143"/>
  <c r="AF218" i="143"/>
  <c r="P218" i="143"/>
  <c r="H218" i="143"/>
  <c r="P217" i="143"/>
  <c r="E217" i="143"/>
  <c r="AI217" i="143" s="1"/>
  <c r="H217" i="143"/>
  <c r="P216" i="143"/>
  <c r="H216" i="143"/>
  <c r="E216" i="143" s="1"/>
  <c r="AI216" i="143" s="1"/>
  <c r="AF163" i="143"/>
  <c r="P163" i="143"/>
  <c r="H163" i="143"/>
  <c r="E163" i="143" s="1"/>
  <c r="AI163" i="143" s="1"/>
  <c r="AF162" i="143"/>
  <c r="P162" i="143"/>
  <c r="H162" i="143"/>
  <c r="AF161" i="143"/>
  <c r="P161" i="143"/>
  <c r="E161" i="143" s="1"/>
  <c r="AI161" i="143" s="1"/>
  <c r="H161" i="143"/>
  <c r="AF159" i="143"/>
  <c r="P159" i="143"/>
  <c r="H159" i="143"/>
  <c r="AF158" i="143"/>
  <c r="P158" i="143"/>
  <c r="H158" i="143"/>
  <c r="AF157" i="143"/>
  <c r="P157" i="143"/>
  <c r="H157" i="143"/>
  <c r="AF156" i="143"/>
  <c r="P156" i="143"/>
  <c r="H156" i="143"/>
  <c r="AF155" i="143"/>
  <c r="P155" i="143"/>
  <c r="H155" i="143"/>
  <c r="AF154" i="143"/>
  <c r="P154" i="143"/>
  <c r="H154" i="143"/>
  <c r="AF152" i="143"/>
  <c r="P152" i="143"/>
  <c r="H152" i="143"/>
  <c r="AF151" i="143"/>
  <c r="P151" i="143"/>
  <c r="E151" i="143" s="1"/>
  <c r="AI151" i="143" s="1"/>
  <c r="H151" i="143"/>
  <c r="AF150" i="143"/>
  <c r="P150" i="143"/>
  <c r="H150" i="143"/>
  <c r="AF149" i="143"/>
  <c r="P149" i="143"/>
  <c r="H149" i="143"/>
  <c r="AF148" i="143"/>
  <c r="P148" i="143"/>
  <c r="E148" i="143"/>
  <c r="AI148" i="143" s="1"/>
  <c r="H148" i="143"/>
  <c r="AF147" i="143"/>
  <c r="P147" i="143"/>
  <c r="E147" i="143" s="1"/>
  <c r="AI147" i="143" s="1"/>
  <c r="H147" i="143"/>
  <c r="AF146" i="143"/>
  <c r="P146" i="143"/>
  <c r="H146" i="143"/>
  <c r="AF145" i="143"/>
  <c r="P145" i="143"/>
  <c r="H145" i="143"/>
  <c r="AF144" i="143"/>
  <c r="P144" i="143"/>
  <c r="H144" i="143"/>
  <c r="E144" i="143" s="1"/>
  <c r="AI144" i="143" s="1"/>
  <c r="AF142" i="143"/>
  <c r="P142" i="143"/>
  <c r="H142" i="143"/>
  <c r="AF141" i="143"/>
  <c r="AI141" i="143" s="1"/>
  <c r="P141" i="143"/>
  <c r="H141" i="143"/>
  <c r="AF140" i="143"/>
  <c r="AI140" i="143" s="1"/>
  <c r="P140" i="143"/>
  <c r="H140" i="143"/>
  <c r="AF139" i="143"/>
  <c r="P139" i="143"/>
  <c r="H139" i="143"/>
  <c r="AF138" i="143"/>
  <c r="P138" i="143"/>
  <c r="H138" i="143"/>
  <c r="AF137" i="143"/>
  <c r="AI137" i="143" s="1"/>
  <c r="P137" i="143"/>
  <c r="H137" i="143"/>
  <c r="AF136" i="143"/>
  <c r="P136" i="143"/>
  <c r="H136" i="143"/>
  <c r="AF135" i="143"/>
  <c r="AI135" i="143"/>
  <c r="P135" i="143"/>
  <c r="H135" i="143"/>
  <c r="AF134" i="143"/>
  <c r="AI134" i="143"/>
  <c r="P134" i="143"/>
  <c r="H134" i="143"/>
  <c r="AF133" i="143"/>
  <c r="P133" i="143"/>
  <c r="H133" i="143"/>
  <c r="AF132" i="143"/>
  <c r="P132" i="143"/>
  <c r="H132" i="143"/>
  <c r="AF131" i="143"/>
  <c r="P131" i="143"/>
  <c r="H131" i="143"/>
  <c r="AF130" i="143"/>
  <c r="AI130" i="143"/>
  <c r="P130" i="143"/>
  <c r="H130" i="143"/>
  <c r="AF129" i="143"/>
  <c r="P129" i="143"/>
  <c r="H129" i="143"/>
  <c r="AI129" i="143" s="1"/>
  <c r="AF128" i="143"/>
  <c r="P128" i="143"/>
  <c r="H128" i="143"/>
  <c r="AI128" i="143" s="1"/>
  <c r="AF127" i="143"/>
  <c r="P127" i="143"/>
  <c r="H127" i="143"/>
  <c r="AF126" i="143"/>
  <c r="P126" i="143"/>
  <c r="H126" i="143"/>
  <c r="AF125" i="143"/>
  <c r="AI125" i="143"/>
  <c r="P125" i="143"/>
  <c r="H125" i="143"/>
  <c r="AF124" i="143"/>
  <c r="P124" i="143"/>
  <c r="H124" i="143"/>
  <c r="AF123" i="143"/>
  <c r="AI123" i="143" s="1"/>
  <c r="P123" i="143"/>
  <c r="H123" i="143"/>
  <c r="AF122" i="143"/>
  <c r="AI122" i="143" s="1"/>
  <c r="P122" i="143"/>
  <c r="H122" i="143"/>
  <c r="AF121" i="143"/>
  <c r="P121" i="143"/>
  <c r="H121" i="143"/>
  <c r="AF120" i="143"/>
  <c r="P120" i="143"/>
  <c r="H120" i="143"/>
  <c r="AF119" i="143"/>
  <c r="AI119" i="143" s="1"/>
  <c r="P119" i="143"/>
  <c r="H119" i="143"/>
  <c r="AF118" i="143"/>
  <c r="P118" i="143"/>
  <c r="H118" i="143"/>
  <c r="AF117" i="143"/>
  <c r="AI117" i="143"/>
  <c r="P117" i="143"/>
  <c r="H117" i="143"/>
  <c r="AF116" i="143"/>
  <c r="AI116" i="143"/>
  <c r="P116" i="143"/>
  <c r="H116" i="143"/>
  <c r="AF115" i="143"/>
  <c r="P115" i="143"/>
  <c r="H115" i="143"/>
  <c r="H15" i="143"/>
  <c r="E15" i="143" s="1"/>
  <c r="AI15" i="143"/>
  <c r="P15" i="143"/>
  <c r="AF15" i="143"/>
  <c r="AF14" i="143"/>
  <c r="P14" i="143"/>
  <c r="H14" i="143"/>
  <c r="AF13" i="143"/>
  <c r="P13" i="143"/>
  <c r="H13" i="143"/>
  <c r="G13" i="143"/>
  <c r="AF12" i="143"/>
  <c r="P12" i="143"/>
  <c r="H12" i="143"/>
  <c r="E12" i="143"/>
  <c r="AI12" i="143" s="1"/>
  <c r="AF11" i="143"/>
  <c r="P11" i="143"/>
  <c r="H11" i="143"/>
  <c r="E11" i="143" s="1"/>
  <c r="AI11" i="143" s="1"/>
  <c r="AF10" i="143"/>
  <c r="P10" i="143"/>
  <c r="H10" i="143"/>
  <c r="AF9" i="143"/>
  <c r="P9" i="143"/>
  <c r="H9" i="143"/>
  <c r="AF112" i="143"/>
  <c r="P112" i="143"/>
  <c r="E112" i="143" s="1"/>
  <c r="AI112" i="143" s="1"/>
  <c r="H112" i="143"/>
  <c r="AF111" i="143"/>
  <c r="AF110" i="143" s="1"/>
  <c r="P111" i="143"/>
  <c r="H111" i="143"/>
  <c r="AH110" i="143"/>
  <c r="AG110" i="143"/>
  <c r="AE110" i="143"/>
  <c r="AD110" i="143"/>
  <c r="AC110" i="143"/>
  <c r="AB110" i="143"/>
  <c r="AA110" i="143"/>
  <c r="Z110" i="143"/>
  <c r="Y110" i="143"/>
  <c r="X110" i="143"/>
  <c r="W110" i="143"/>
  <c r="V110" i="143"/>
  <c r="U110" i="143"/>
  <c r="T110" i="143"/>
  <c r="S110" i="143"/>
  <c r="R110" i="143"/>
  <c r="Q110" i="143"/>
  <c r="O110" i="143"/>
  <c r="N110" i="143"/>
  <c r="M110" i="143"/>
  <c r="L110" i="143"/>
  <c r="K110" i="143"/>
  <c r="J110" i="143"/>
  <c r="I110" i="143"/>
  <c r="H110" i="143"/>
  <c r="G110" i="143"/>
  <c r="F110" i="143"/>
  <c r="AF109" i="143"/>
  <c r="P109" i="143"/>
  <c r="H109" i="143"/>
  <c r="F109" i="143" s="1"/>
  <c r="AF108" i="143"/>
  <c r="AF107" i="143"/>
  <c r="P108" i="143"/>
  <c r="H108" i="143"/>
  <c r="AH107" i="143"/>
  <c r="AG107" i="143"/>
  <c r="AE107" i="143"/>
  <c r="AD107" i="143"/>
  <c r="AC107" i="143"/>
  <c r="AB107" i="143"/>
  <c r="AA107" i="143"/>
  <c r="Z107" i="143"/>
  <c r="Y107" i="143"/>
  <c r="X107" i="143"/>
  <c r="W107" i="143"/>
  <c r="V107" i="143"/>
  <c r="U107" i="143"/>
  <c r="T107" i="143"/>
  <c r="S107" i="143"/>
  <c r="R107" i="143"/>
  <c r="Q107" i="143"/>
  <c r="O107" i="143"/>
  <c r="N107" i="143"/>
  <c r="M107" i="143"/>
  <c r="L107" i="143"/>
  <c r="K107" i="143"/>
  <c r="J107" i="143"/>
  <c r="I107" i="143"/>
  <c r="G107" i="143"/>
  <c r="AI106" i="143"/>
  <c r="AF43" i="143"/>
  <c r="Z43" i="143"/>
  <c r="X43" i="143"/>
  <c r="H43" i="143"/>
  <c r="G43" i="143"/>
  <c r="F43" i="143"/>
  <c r="AF42" i="143"/>
  <c r="AE42" i="143"/>
  <c r="P42" i="143"/>
  <c r="N42" i="143"/>
  <c r="H42" i="143"/>
  <c r="Z41" i="143"/>
  <c r="F41" i="143"/>
  <c r="AF40" i="143"/>
  <c r="AD40" i="143"/>
  <c r="AD41" i="143" s="1"/>
  <c r="AC40" i="143"/>
  <c r="AC41" i="143"/>
  <c r="AB40" i="143"/>
  <c r="AB41" i="143"/>
  <c r="AA40" i="143"/>
  <c r="AA41" i="143"/>
  <c r="Y40" i="143"/>
  <c r="Y41" i="143"/>
  <c r="X40" i="143"/>
  <c r="X41" i="143" s="1"/>
  <c r="W40" i="143"/>
  <c r="W41" i="143" s="1"/>
  <c r="V40" i="143"/>
  <c r="V41" i="143" s="1"/>
  <c r="U40" i="143"/>
  <c r="U41" i="143"/>
  <c r="T40" i="143"/>
  <c r="T41" i="143"/>
  <c r="S40" i="143"/>
  <c r="S41" i="143" s="1"/>
  <c r="R40" i="143"/>
  <c r="R41" i="143" s="1"/>
  <c r="Q40" i="143"/>
  <c r="Q41" i="143" s="1"/>
  <c r="N40" i="143"/>
  <c r="N41" i="143" s="1"/>
  <c r="M40" i="143"/>
  <c r="M41" i="143" s="1"/>
  <c r="L40" i="143"/>
  <c r="L41" i="143" s="1"/>
  <c r="K40" i="143"/>
  <c r="J40" i="143"/>
  <c r="J41" i="143" s="1"/>
  <c r="H40" i="143"/>
  <c r="I40" i="143"/>
  <c r="F40" i="143"/>
  <c r="AF39" i="143"/>
  <c r="P39" i="143"/>
  <c r="H39" i="143"/>
  <c r="AF38" i="143"/>
  <c r="P38" i="143"/>
  <c r="E38" i="143" s="1"/>
  <c r="AI38" i="143" s="1"/>
  <c r="H38" i="143"/>
  <c r="AF37" i="143"/>
  <c r="Y37" i="143"/>
  <c r="X37" i="143"/>
  <c r="P37" i="143" s="1"/>
  <c r="K37" i="143"/>
  <c r="H37" i="143"/>
  <c r="E37" i="143" s="1"/>
  <c r="G37" i="143"/>
  <c r="AF36" i="143"/>
  <c r="P36" i="143"/>
  <c r="H36" i="143"/>
  <c r="G36" i="143"/>
  <c r="AF35" i="143"/>
  <c r="P35" i="143"/>
  <c r="H35" i="143"/>
  <c r="AF34" i="143"/>
  <c r="AE34" i="143"/>
  <c r="P34" i="143"/>
  <c r="E34" i="143" s="1"/>
  <c r="AI34" i="143" s="1"/>
  <c r="H34" i="143"/>
  <c r="AF33" i="143"/>
  <c r="P33" i="143"/>
  <c r="H33" i="143"/>
  <c r="AF32" i="143"/>
  <c r="X32" i="143"/>
  <c r="P32" i="143" s="1"/>
  <c r="H32" i="143"/>
  <c r="E32" i="143" s="1"/>
  <c r="AI32" i="143" s="1"/>
  <c r="AF31" i="143"/>
  <c r="P31" i="143"/>
  <c r="E31" i="143" s="1"/>
  <c r="AI31" i="143" s="1"/>
  <c r="H31" i="143"/>
  <c r="AF30" i="143"/>
  <c r="P30" i="143"/>
  <c r="H30" i="143"/>
  <c r="AF29" i="143"/>
  <c r="E29" i="143"/>
  <c r="AI29" i="143" s="1"/>
  <c r="P29" i="143"/>
  <c r="H29" i="143"/>
  <c r="AF28" i="143"/>
  <c r="AE28" i="143"/>
  <c r="P28" i="143"/>
  <c r="E28" i="143" s="1"/>
  <c r="H28" i="143"/>
  <c r="G28" i="143"/>
  <c r="F28" i="143"/>
  <c r="AF27" i="143"/>
  <c r="P27" i="143"/>
  <c r="L27" i="143"/>
  <c r="H27" i="143" s="1"/>
  <c r="E27" i="143" s="1"/>
  <c r="F27" i="143"/>
  <c r="AF26" i="143"/>
  <c r="P26" i="143"/>
  <c r="H26" i="143"/>
  <c r="AF25" i="143"/>
  <c r="Z25" i="143"/>
  <c r="Y25" i="143"/>
  <c r="X25" i="143"/>
  <c r="H25" i="143"/>
  <c r="G25" i="143"/>
  <c r="F25" i="143"/>
  <c r="AF24" i="143"/>
  <c r="P24" i="143"/>
  <c r="H24" i="143"/>
  <c r="AF23" i="143"/>
  <c r="P23" i="143"/>
  <c r="N23" i="143"/>
  <c r="H23" i="143"/>
  <c r="G23" i="143"/>
  <c r="F23" i="143"/>
  <c r="AF22" i="143"/>
  <c r="P22" i="143"/>
  <c r="E22" i="143" s="1"/>
  <c r="AI22" i="143" s="1"/>
  <c r="H22" i="143"/>
  <c r="AF21" i="143"/>
  <c r="AE21" i="143"/>
  <c r="P21" i="143"/>
  <c r="E21" i="143" s="1"/>
  <c r="H21" i="143"/>
  <c r="F21" i="143"/>
  <c r="AI21" i="143" s="1"/>
  <c r="AF20" i="143"/>
  <c r="P20" i="143"/>
  <c r="N20" i="143"/>
  <c r="M20" i="143"/>
  <c r="L20" i="143"/>
  <c r="K20" i="143"/>
  <c r="J20" i="143"/>
  <c r="I20" i="143"/>
  <c r="AF19" i="143"/>
  <c r="Z19" i="143"/>
  <c r="P19" i="143" s="1"/>
  <c r="H19" i="143"/>
  <c r="E19" i="143" s="1"/>
  <c r="AI19" i="143" s="1"/>
  <c r="AF18" i="143"/>
  <c r="P18" i="143"/>
  <c r="H18" i="143"/>
  <c r="AF57" i="143"/>
  <c r="P57" i="143"/>
  <c r="H57" i="143"/>
  <c r="E57" i="143"/>
  <c r="AF56" i="143"/>
  <c r="P56" i="143"/>
  <c r="H56" i="143"/>
  <c r="E56" i="143"/>
  <c r="AI56" i="143"/>
  <c r="AF55" i="143"/>
  <c r="P55" i="143"/>
  <c r="H55" i="143"/>
  <c r="AI55" i="143"/>
  <c r="E55" i="143"/>
  <c r="AF54" i="143"/>
  <c r="P54" i="143"/>
  <c r="H54" i="143"/>
  <c r="E54" i="143"/>
  <c r="AF53" i="143"/>
  <c r="P53" i="143"/>
  <c r="H53" i="143"/>
  <c r="AI53" i="143" s="1"/>
  <c r="E53" i="143"/>
  <c r="P52" i="143"/>
  <c r="H52" i="143"/>
  <c r="E52" i="143"/>
  <c r="P51" i="143"/>
  <c r="AI51" i="143" s="1"/>
  <c r="H51" i="143"/>
  <c r="E51" i="143"/>
  <c r="P50" i="143"/>
  <c r="H50" i="143"/>
  <c r="E50" i="143"/>
  <c r="P49" i="143"/>
  <c r="H49" i="143"/>
  <c r="E49" i="143"/>
  <c r="P48" i="143"/>
  <c r="H48" i="143"/>
  <c r="E48" i="143"/>
  <c r="AF47" i="143"/>
  <c r="AI47" i="143" s="1"/>
  <c r="P47" i="143"/>
  <c r="H47" i="143"/>
  <c r="E47" i="143"/>
  <c r="AF46" i="143"/>
  <c r="P46" i="143"/>
  <c r="H46" i="143"/>
  <c r="E46" i="143"/>
  <c r="AF45" i="143"/>
  <c r="P45" i="143"/>
  <c r="H45" i="143"/>
  <c r="E45" i="143"/>
  <c r="AI45" i="143" s="1"/>
  <c r="AF174" i="143"/>
  <c r="P174" i="143"/>
  <c r="H174" i="143"/>
  <c r="AF173" i="143"/>
  <c r="P173" i="143"/>
  <c r="H173" i="143"/>
  <c r="AF172" i="143"/>
  <c r="P172" i="143"/>
  <c r="E172" i="143" s="1"/>
  <c r="AI172" i="143" s="1"/>
  <c r="H172" i="143"/>
  <c r="AF171" i="143"/>
  <c r="P171" i="143"/>
  <c r="H171" i="143"/>
  <c r="E171" i="143" s="1"/>
  <c r="AI171" i="143" s="1"/>
  <c r="AF170" i="143"/>
  <c r="P170" i="143"/>
  <c r="H170" i="143"/>
  <c r="AF169" i="143"/>
  <c r="P169" i="143"/>
  <c r="H169" i="143"/>
  <c r="AF168" i="143"/>
  <c r="P168" i="143"/>
  <c r="E168" i="143" s="1"/>
  <c r="AI168" i="143" s="1"/>
  <c r="H168" i="143"/>
  <c r="AF167" i="143"/>
  <c r="P167" i="143"/>
  <c r="H167" i="143"/>
  <c r="AF166" i="143"/>
  <c r="P166" i="143"/>
  <c r="H166" i="143"/>
  <c r="AF165" i="143"/>
  <c r="P165" i="143"/>
  <c r="E165" i="143"/>
  <c r="AI165" i="143" s="1"/>
  <c r="H165" i="143"/>
  <c r="AF361" i="143"/>
  <c r="P361" i="143"/>
  <c r="E361" i="143" s="1"/>
  <c r="AI361" i="143" s="1"/>
  <c r="H361" i="143"/>
  <c r="AF360" i="143"/>
  <c r="P360" i="143"/>
  <c r="H360" i="143"/>
  <c r="AF359" i="143"/>
  <c r="X359" i="143"/>
  <c r="W359" i="143"/>
  <c r="V359" i="143"/>
  <c r="U359" i="143"/>
  <c r="T359" i="143"/>
  <c r="P359" i="143" s="1"/>
  <c r="S359" i="143"/>
  <c r="H359" i="143"/>
  <c r="G359" i="143"/>
  <c r="AF358" i="143"/>
  <c r="P358" i="143"/>
  <c r="H358" i="143"/>
  <c r="AF356" i="143"/>
  <c r="P356" i="143"/>
  <c r="H356" i="143"/>
  <c r="E356" i="143" s="1"/>
  <c r="AI356" i="143"/>
  <c r="AF355" i="143"/>
  <c r="P355" i="143"/>
  <c r="H355" i="143"/>
  <c r="E355" i="143"/>
  <c r="AI355" i="143" s="1"/>
  <c r="AF354" i="143"/>
  <c r="P354" i="143"/>
  <c r="H354" i="143"/>
  <c r="AF353" i="143"/>
  <c r="P353" i="143"/>
  <c r="E353" i="143" s="1"/>
  <c r="AI353" i="143" s="1"/>
  <c r="H353" i="143"/>
  <c r="AF352" i="143"/>
  <c r="P352" i="143"/>
  <c r="H352" i="143"/>
  <c r="AF351" i="143"/>
  <c r="P351" i="143"/>
  <c r="H351" i="143"/>
  <c r="E351" i="143"/>
  <c r="AI351" i="143" s="1"/>
  <c r="AF350" i="143"/>
  <c r="AI350" i="143"/>
  <c r="P350" i="143"/>
  <c r="H350" i="143"/>
  <c r="E350" i="143" s="1"/>
  <c r="AF349" i="143"/>
  <c r="P349" i="143"/>
  <c r="H349" i="143"/>
  <c r="AF348" i="143"/>
  <c r="P348" i="143"/>
  <c r="H348" i="143"/>
  <c r="AF347" i="143"/>
  <c r="P347" i="143"/>
  <c r="H347" i="143"/>
  <c r="AF346" i="143"/>
  <c r="P346" i="143"/>
  <c r="H346" i="143"/>
  <c r="E346" i="143" s="1"/>
  <c r="AI346" i="143" s="1"/>
  <c r="AF345" i="143"/>
  <c r="P345" i="143"/>
  <c r="E345" i="143" s="1"/>
  <c r="AI345" i="143" s="1"/>
  <c r="H345" i="143"/>
  <c r="AF344" i="143"/>
  <c r="P344" i="143"/>
  <c r="H344" i="143"/>
  <c r="E344" i="143" s="1"/>
  <c r="AI344" i="143" s="1"/>
  <c r="AF343" i="143"/>
  <c r="P343" i="143"/>
  <c r="H343" i="143"/>
  <c r="AL117" i="154"/>
  <c r="AI112" i="154"/>
  <c r="S112" i="154"/>
  <c r="AL112" i="154" s="1"/>
  <c r="K112" i="154"/>
  <c r="H112" i="154"/>
  <c r="AM103" i="154"/>
  <c r="AI103" i="154"/>
  <c r="S103" i="154"/>
  <c r="AN103" i="154" s="1"/>
  <c r="K103" i="154"/>
  <c r="AO103" i="154"/>
  <c r="H103" i="154"/>
  <c r="AM102" i="154"/>
  <c r="AI102" i="154"/>
  <c r="S102" i="154"/>
  <c r="AN102" i="154"/>
  <c r="K102" i="154"/>
  <c r="H102" i="154"/>
  <c r="AO101" i="154"/>
  <c r="AN101" i="154"/>
  <c r="AM101" i="154"/>
  <c r="AL101" i="154"/>
  <c r="AI100" i="154"/>
  <c r="AM100" i="154"/>
  <c r="S100" i="154"/>
  <c r="AN100" i="154" s="1"/>
  <c r="K100" i="154"/>
  <c r="H100" i="154"/>
  <c r="AI99" i="154"/>
  <c r="S99" i="154"/>
  <c r="K99" i="154"/>
  <c r="AO99" i="154" s="1"/>
  <c r="H99" i="154"/>
  <c r="AK98" i="154"/>
  <c r="AK97" i="154"/>
  <c r="AJ98" i="154"/>
  <c r="AJ97" i="154" s="1"/>
  <c r="AH98" i="154"/>
  <c r="AH97" i="154" s="1"/>
  <c r="AG98" i="154"/>
  <c r="AG97" i="154" s="1"/>
  <c r="AF98" i="154"/>
  <c r="AF97" i="154" s="1"/>
  <c r="AE98" i="154"/>
  <c r="AE97" i="154"/>
  <c r="AD98" i="154"/>
  <c r="AD97" i="154"/>
  <c r="AC98" i="154"/>
  <c r="AC97" i="154" s="1"/>
  <c r="AB98" i="154"/>
  <c r="AB97" i="154"/>
  <c r="AA98" i="154"/>
  <c r="AA97" i="154" s="1"/>
  <c r="Z98" i="154"/>
  <c r="Y98" i="154"/>
  <c r="Y97" i="154" s="1"/>
  <c r="X98" i="154"/>
  <c r="W98" i="154"/>
  <c r="W97" i="154"/>
  <c r="V98" i="154"/>
  <c r="V97" i="154"/>
  <c r="U98" i="154"/>
  <c r="U97" i="154" s="1"/>
  <c r="T98" i="154"/>
  <c r="T97" i="154" s="1"/>
  <c r="R98" i="154"/>
  <c r="R97" i="154"/>
  <c r="Q98" i="154"/>
  <c r="Q97" i="154" s="1"/>
  <c r="P98" i="154"/>
  <c r="P97" i="154"/>
  <c r="O98" i="154"/>
  <c r="O97" i="154"/>
  <c r="N98" i="154"/>
  <c r="N97" i="154" s="1"/>
  <c r="M98" i="154"/>
  <c r="M97" i="154"/>
  <c r="L98" i="154"/>
  <c r="L97" i="154" s="1"/>
  <c r="J98" i="154"/>
  <c r="J97" i="154" s="1"/>
  <c r="I98" i="154"/>
  <c r="Z97" i="154"/>
  <c r="X97" i="154"/>
  <c r="I97" i="154"/>
  <c r="AI96" i="154"/>
  <c r="S96" i="154"/>
  <c r="R96" i="154" s="1"/>
  <c r="R94" i="154" s="1"/>
  <c r="K96" i="154"/>
  <c r="H96" i="154"/>
  <c r="AI95" i="154"/>
  <c r="S95" i="154"/>
  <c r="AN95" i="154"/>
  <c r="K95" i="154"/>
  <c r="AL95" i="154" s="1"/>
  <c r="H95" i="154"/>
  <c r="H94" i="154"/>
  <c r="AK94" i="154"/>
  <c r="AJ94" i="154"/>
  <c r="AH94" i="154"/>
  <c r="AG94" i="154"/>
  <c r="AF94" i="154"/>
  <c r="AE94" i="154"/>
  <c r="AD94" i="154"/>
  <c r="AC94" i="154"/>
  <c r="AB94" i="154"/>
  <c r="AA94" i="154"/>
  <c r="Z94" i="154"/>
  <c r="Y94" i="154"/>
  <c r="X94" i="154"/>
  <c r="W94" i="154"/>
  <c r="V94" i="154"/>
  <c r="U94" i="154"/>
  <c r="T94" i="154"/>
  <c r="Q94" i="154"/>
  <c r="P94" i="154"/>
  <c r="O94" i="154"/>
  <c r="N94" i="154"/>
  <c r="M94" i="154"/>
  <c r="L94" i="154"/>
  <c r="J94" i="154"/>
  <c r="I94" i="154"/>
  <c r="AN93" i="154"/>
  <c r="AM93" i="154"/>
  <c r="S93" i="154"/>
  <c r="K93" i="154"/>
  <c r="AL93" i="154" s="1"/>
  <c r="AM92" i="154"/>
  <c r="AI92" i="154"/>
  <c r="S92" i="154"/>
  <c r="AN92" i="154"/>
  <c r="K92" i="154"/>
  <c r="H92" i="154"/>
  <c r="AI91" i="154"/>
  <c r="AM91" i="154" s="1"/>
  <c r="AH91" i="154"/>
  <c r="V91" i="154"/>
  <c r="V90" i="154" s="1"/>
  <c r="K91" i="154"/>
  <c r="AO91" i="154" s="1"/>
  <c r="H91" i="154"/>
  <c r="H90" i="154" s="1"/>
  <c r="AK90" i="154"/>
  <c r="AJ90" i="154"/>
  <c r="AG90" i="154"/>
  <c r="AF90" i="154"/>
  <c r="AE90" i="154"/>
  <c r="AD90" i="154"/>
  <c r="AC90" i="154"/>
  <c r="AC83" i="154" s="1"/>
  <c r="AB90" i="154"/>
  <c r="AA90" i="154"/>
  <c r="Z90" i="154"/>
  <c r="Y90" i="154"/>
  <c r="X90" i="154"/>
  <c r="W90" i="154"/>
  <c r="U90" i="154"/>
  <c r="T90" i="154"/>
  <c r="R90" i="154"/>
  <c r="Q90" i="154"/>
  <c r="Q83" i="154"/>
  <c r="P90" i="154"/>
  <c r="O90" i="154"/>
  <c r="N90" i="154"/>
  <c r="M90" i="154"/>
  <c r="L90" i="154"/>
  <c r="J90" i="154"/>
  <c r="I90" i="154"/>
  <c r="AO88" i="154"/>
  <c r="AN88" i="154"/>
  <c r="AM88" i="154"/>
  <c r="AL88" i="154"/>
  <c r="AL87" i="154"/>
  <c r="AI87" i="154"/>
  <c r="AM87" i="154" s="1"/>
  <c r="S87" i="154"/>
  <c r="AN87" i="154"/>
  <c r="K87" i="154"/>
  <c r="AO87" i="154"/>
  <c r="H87" i="154"/>
  <c r="AM86" i="154"/>
  <c r="AI86" i="154"/>
  <c r="S86" i="154"/>
  <c r="K86" i="154"/>
  <c r="H86" i="154"/>
  <c r="H84" i="154" s="1"/>
  <c r="H83" i="154" s="1"/>
  <c r="AO85" i="154"/>
  <c r="AN85" i="154"/>
  <c r="AM85" i="154"/>
  <c r="AL85" i="154"/>
  <c r="AK84" i="154"/>
  <c r="AJ84" i="154"/>
  <c r="AI84" i="154"/>
  <c r="AH84" i="154"/>
  <c r="AG84" i="154"/>
  <c r="AG83" i="154" s="1"/>
  <c r="AF84" i="154"/>
  <c r="AF83" i="154"/>
  <c r="AE84" i="154"/>
  <c r="AE83" i="154"/>
  <c r="AD84" i="154"/>
  <c r="AD83" i="154" s="1"/>
  <c r="AC84" i="154"/>
  <c r="AB84" i="154"/>
  <c r="AA84" i="154"/>
  <c r="AA83" i="154" s="1"/>
  <c r="Z84" i="154"/>
  <c r="Z83" i="154"/>
  <c r="Y84" i="154"/>
  <c r="Y83" i="154" s="1"/>
  <c r="X84" i="154"/>
  <c r="W84" i="154"/>
  <c r="W83" i="154" s="1"/>
  <c r="V84" i="154"/>
  <c r="U84" i="154"/>
  <c r="T84" i="154"/>
  <c r="R84" i="154"/>
  <c r="R83" i="154"/>
  <c r="Q84" i="154"/>
  <c r="P84" i="154"/>
  <c r="O84" i="154"/>
  <c r="O83" i="154" s="1"/>
  <c r="N84" i="154"/>
  <c r="N83" i="154" s="1"/>
  <c r="M84" i="154"/>
  <c r="M83" i="154" s="1"/>
  <c r="L84" i="154"/>
  <c r="L83" i="154"/>
  <c r="J84" i="154"/>
  <c r="J83" i="154" s="1"/>
  <c r="I84" i="154"/>
  <c r="I83" i="154" s="1"/>
  <c r="AJ83" i="154"/>
  <c r="X83" i="154"/>
  <c r="T83" i="154"/>
  <c r="AO82" i="154"/>
  <c r="AN82" i="154"/>
  <c r="AM82" i="154"/>
  <c r="AK81" i="154"/>
  <c r="AJ81" i="154"/>
  <c r="AI81" i="154"/>
  <c r="AM81" i="154" s="1"/>
  <c r="AH81" i="154"/>
  <c r="AG81" i="154"/>
  <c r="AF81" i="154"/>
  <c r="AE81" i="154"/>
  <c r="AD81" i="154"/>
  <c r="AC81" i="154"/>
  <c r="AB81" i="154"/>
  <c r="AA81" i="154"/>
  <c r="Z81" i="154"/>
  <c r="Y81" i="154"/>
  <c r="X81" i="154"/>
  <c r="W81" i="154"/>
  <c r="V81" i="154"/>
  <c r="U81" i="154"/>
  <c r="T81" i="154"/>
  <c r="S81" i="154"/>
  <c r="AN81" i="154" s="1"/>
  <c r="R81" i="154"/>
  <c r="Q81" i="154"/>
  <c r="P81" i="154"/>
  <c r="O81" i="154"/>
  <c r="N81" i="154"/>
  <c r="AO81" i="154"/>
  <c r="M81" i="154"/>
  <c r="L81" i="154"/>
  <c r="K81" i="154"/>
  <c r="J81" i="154"/>
  <c r="I81" i="154"/>
  <c r="H81" i="154"/>
  <c r="AL81" i="154" s="1"/>
  <c r="AO80" i="154"/>
  <c r="AN80" i="154"/>
  <c r="AM80" i="154"/>
  <c r="AL80" i="154"/>
  <c r="AO79" i="154"/>
  <c r="AN79" i="154"/>
  <c r="AM79" i="154"/>
  <c r="AL79" i="154"/>
  <c r="AO78" i="154"/>
  <c r="AN78" i="154"/>
  <c r="AM78" i="154"/>
  <c r="AL78" i="154"/>
  <c r="AK77" i="154"/>
  <c r="AK62" i="154"/>
  <c r="AJ77" i="154"/>
  <c r="AI77" i="154"/>
  <c r="AH77" i="154"/>
  <c r="AN77" i="154"/>
  <c r="AG77" i="154"/>
  <c r="AF77" i="154"/>
  <c r="AE77" i="154"/>
  <c r="AD77" i="154"/>
  <c r="AC77" i="154"/>
  <c r="AB77" i="154"/>
  <c r="AA77" i="154"/>
  <c r="Z77" i="154"/>
  <c r="Y77" i="154"/>
  <c r="Y62" i="154"/>
  <c r="X77" i="154"/>
  <c r="W77" i="154"/>
  <c r="V77" i="154"/>
  <c r="U77" i="154"/>
  <c r="T77" i="154"/>
  <c r="S77" i="154"/>
  <c r="R77" i="154"/>
  <c r="Q77" i="154"/>
  <c r="P77" i="154"/>
  <c r="O77" i="154"/>
  <c r="O62" i="154"/>
  <c r="N77" i="154"/>
  <c r="M77" i="154"/>
  <c r="L77" i="154"/>
  <c r="L62" i="154" s="1"/>
  <c r="K77" i="154"/>
  <c r="K62" i="154"/>
  <c r="J77" i="154"/>
  <c r="I77" i="154"/>
  <c r="H77" i="154"/>
  <c r="AO76" i="154"/>
  <c r="AN76" i="154"/>
  <c r="AM76" i="154"/>
  <c r="AL76" i="154"/>
  <c r="AO75" i="154"/>
  <c r="AN75" i="154"/>
  <c r="AM75" i="154"/>
  <c r="AL75" i="154"/>
  <c r="AO74" i="154"/>
  <c r="AN74" i="154"/>
  <c r="AM74" i="154"/>
  <c r="AL74" i="154"/>
  <c r="AO73" i="154"/>
  <c r="AN73" i="154"/>
  <c r="AM73" i="154"/>
  <c r="AL73" i="154"/>
  <c r="AO72" i="154"/>
  <c r="AN72" i="154"/>
  <c r="AM72" i="154"/>
  <c r="AL72" i="154"/>
  <c r="AO71" i="154"/>
  <c r="AN71" i="154"/>
  <c r="AM71" i="154"/>
  <c r="AL71" i="154"/>
  <c r="AO70" i="154"/>
  <c r="AN70" i="154"/>
  <c r="AM70" i="154"/>
  <c r="AL70" i="154"/>
  <c r="AO69" i="154"/>
  <c r="AN69" i="154"/>
  <c r="AM69" i="154"/>
  <c r="AL69" i="154"/>
  <c r="AO68" i="154"/>
  <c r="AN68" i="154"/>
  <c r="AM68" i="154"/>
  <c r="AL68" i="154"/>
  <c r="AO67" i="154"/>
  <c r="AN67" i="154"/>
  <c r="AM67" i="154"/>
  <c r="AL67" i="154"/>
  <c r="AO66" i="154"/>
  <c r="AN66" i="154"/>
  <c r="AM66" i="154"/>
  <c r="AL66" i="154"/>
  <c r="AO65" i="154"/>
  <c r="AN65" i="154"/>
  <c r="AM65" i="154"/>
  <c r="AL65" i="154"/>
  <c r="AO64" i="154"/>
  <c r="AN64" i="154"/>
  <c r="AM64" i="154"/>
  <c r="AL64" i="154"/>
  <c r="AK63" i="154"/>
  <c r="AJ63" i="154"/>
  <c r="AJ62" i="154" s="1"/>
  <c r="AI63" i="154"/>
  <c r="AI62" i="154" s="1"/>
  <c r="AM63" i="154"/>
  <c r="AH63" i="154"/>
  <c r="AG63" i="154"/>
  <c r="AG62" i="154"/>
  <c r="AF63" i="154"/>
  <c r="AF62" i="154" s="1"/>
  <c r="AE63" i="154"/>
  <c r="AE62" i="154" s="1"/>
  <c r="AD63" i="154"/>
  <c r="AC63" i="154"/>
  <c r="AC62" i="154" s="1"/>
  <c r="AB63" i="154"/>
  <c r="AB62" i="154" s="1"/>
  <c r="AA63" i="154"/>
  <c r="AA62" i="154"/>
  <c r="Z63" i="154"/>
  <c r="Z62" i="154"/>
  <c r="Y63" i="154"/>
  <c r="X63" i="154"/>
  <c r="W63" i="154"/>
  <c r="W62" i="154"/>
  <c r="V63" i="154"/>
  <c r="V62" i="154" s="1"/>
  <c r="U63" i="154"/>
  <c r="U62" i="154" s="1"/>
  <c r="T63" i="154"/>
  <c r="T62" i="154" s="1"/>
  <c r="S63" i="154"/>
  <c r="R63" i="154"/>
  <c r="R62" i="154"/>
  <c r="Q63" i="154"/>
  <c r="P63" i="154"/>
  <c r="P62" i="154"/>
  <c r="O63" i="154"/>
  <c r="N63" i="154"/>
  <c r="N62" i="154"/>
  <c r="M63" i="154"/>
  <c r="M62" i="154"/>
  <c r="L63" i="154"/>
  <c r="K63" i="154"/>
  <c r="J63" i="154"/>
  <c r="J62" i="154" s="1"/>
  <c r="I63" i="154"/>
  <c r="I62" i="154" s="1"/>
  <c r="H63" i="154"/>
  <c r="AL63" i="154"/>
  <c r="AD62" i="154"/>
  <c r="S62" i="154"/>
  <c r="AO61" i="154"/>
  <c r="AN61" i="154"/>
  <c r="AM61" i="154"/>
  <c r="AL61" i="154"/>
  <c r="AO60" i="154"/>
  <c r="AI60" i="154"/>
  <c r="AM60" i="154" s="1"/>
  <c r="K60" i="154"/>
  <c r="H60" i="154"/>
  <c r="AI59" i="154"/>
  <c r="AM59" i="154" s="1"/>
  <c r="S59" i="154"/>
  <c r="AN59" i="154" s="1"/>
  <c r="K59" i="154"/>
  <c r="AO59" i="154"/>
  <c r="H59" i="154"/>
  <c r="AL59" i="154" s="1"/>
  <c r="AI58" i="154"/>
  <c r="S58" i="154"/>
  <c r="K58" i="154"/>
  <c r="AO58" i="154" s="1"/>
  <c r="H58" i="154"/>
  <c r="AM57" i="154"/>
  <c r="AI57" i="154"/>
  <c r="S57" i="154"/>
  <c r="AN57" i="154"/>
  <c r="K57" i="154"/>
  <c r="AO57" i="154" s="1"/>
  <c r="H57" i="154"/>
  <c r="AL57" i="154" s="1"/>
  <c r="AI56" i="154"/>
  <c r="AM56" i="154"/>
  <c r="S56" i="154"/>
  <c r="AN56" i="154" s="1"/>
  <c r="K56" i="154"/>
  <c r="AO56" i="154" s="1"/>
  <c r="H56" i="154"/>
  <c r="AK55" i="154"/>
  <c r="AJ55" i="154"/>
  <c r="AG55" i="154"/>
  <c r="AG50" i="154" s="1"/>
  <c r="AF55" i="154"/>
  <c r="AE55" i="154"/>
  <c r="AD55" i="154"/>
  <c r="AC55" i="154"/>
  <c r="AB55" i="154"/>
  <c r="AA55" i="154"/>
  <c r="Z55" i="154"/>
  <c r="Z50" i="154"/>
  <c r="Y55" i="154"/>
  <c r="X55" i="154"/>
  <c r="W55" i="154"/>
  <c r="W50" i="154" s="1"/>
  <c r="W5" i="154" s="1"/>
  <c r="V55" i="154"/>
  <c r="U55" i="154"/>
  <c r="T55" i="154"/>
  <c r="R55" i="154"/>
  <c r="Q55" i="154"/>
  <c r="P55" i="154"/>
  <c r="O55" i="154"/>
  <c r="N55" i="154"/>
  <c r="M55" i="154"/>
  <c r="M51" i="154" s="1"/>
  <c r="L55" i="154"/>
  <c r="J55" i="154"/>
  <c r="J50" i="154" s="1"/>
  <c r="I55" i="154"/>
  <c r="AO54" i="154"/>
  <c r="AN54" i="154"/>
  <c r="AM54" i="154"/>
  <c r="AL54" i="154"/>
  <c r="AO53" i="154"/>
  <c r="AN53" i="154"/>
  <c r="AM53" i="154"/>
  <c r="AL53" i="154"/>
  <c r="AK52" i="154"/>
  <c r="AK50" i="154"/>
  <c r="AJ52" i="154"/>
  <c r="AI52" i="154"/>
  <c r="AM52" i="154" s="1"/>
  <c r="AH52" i="154"/>
  <c r="AG52" i="154"/>
  <c r="AF52" i="154"/>
  <c r="AF50" i="154" s="1"/>
  <c r="AE52" i="154"/>
  <c r="AE50" i="154" s="1"/>
  <c r="AD52" i="154"/>
  <c r="AD50" i="154" s="1"/>
  <c r="AC52" i="154"/>
  <c r="AC50" i="154"/>
  <c r="AB52" i="154"/>
  <c r="AA52" i="154"/>
  <c r="AA50" i="154" s="1"/>
  <c r="Z52" i="154"/>
  <c r="Y52" i="154"/>
  <c r="Y50" i="154" s="1"/>
  <c r="X52" i="154"/>
  <c r="W52" i="154"/>
  <c r="V52" i="154"/>
  <c r="V50" i="154" s="1"/>
  <c r="U52" i="154"/>
  <c r="U50" i="154"/>
  <c r="T52" i="154"/>
  <c r="S52" i="154"/>
  <c r="AN52" i="154" s="1"/>
  <c r="R52" i="154"/>
  <c r="R50" i="154" s="1"/>
  <c r="Q52" i="154"/>
  <c r="Q50" i="154" s="1"/>
  <c r="P52" i="154"/>
  <c r="P50" i="154"/>
  <c r="O52" i="154"/>
  <c r="O50" i="154" s="1"/>
  <c r="N52" i="154"/>
  <c r="N50" i="154"/>
  <c r="M52" i="154"/>
  <c r="L52" i="154"/>
  <c r="K52" i="154"/>
  <c r="AL52" i="154" s="1"/>
  <c r="J52" i="154"/>
  <c r="I52" i="154"/>
  <c r="I50" i="154" s="1"/>
  <c r="H52" i="154"/>
  <c r="AI51" i="154"/>
  <c r="AM51" i="154" s="1"/>
  <c r="S51" i="154"/>
  <c r="AN51" i="154"/>
  <c r="H51" i="154"/>
  <c r="X50" i="154"/>
  <c r="AO49" i="154"/>
  <c r="AN49" i="154"/>
  <c r="AM49" i="154"/>
  <c r="AL49" i="154"/>
  <c r="AO48" i="154"/>
  <c r="AN48" i="154"/>
  <c r="AM48" i="154"/>
  <c r="AL48" i="154"/>
  <c r="AO47" i="154"/>
  <c r="AN47" i="154"/>
  <c r="AM47" i="154"/>
  <c r="AL47" i="154"/>
  <c r="AO46" i="154"/>
  <c r="AN46" i="154"/>
  <c r="AM46" i="154"/>
  <c r="AL46" i="154"/>
  <c r="AK45" i="154"/>
  <c r="AJ45" i="154"/>
  <c r="AJ29" i="154" s="1"/>
  <c r="AI45" i="154"/>
  <c r="AH45" i="154"/>
  <c r="AG45" i="154"/>
  <c r="AF45" i="154"/>
  <c r="AE45" i="154"/>
  <c r="AD45" i="154"/>
  <c r="AC45" i="154"/>
  <c r="AB45" i="154"/>
  <c r="AB29" i="154" s="1"/>
  <c r="AA45" i="154"/>
  <c r="Z45" i="154"/>
  <c r="Y45" i="154"/>
  <c r="X45" i="154"/>
  <c r="W45" i="154"/>
  <c r="V45" i="154"/>
  <c r="U45" i="154"/>
  <c r="T45" i="154"/>
  <c r="S45" i="154"/>
  <c r="R45" i="154"/>
  <c r="R29" i="154"/>
  <c r="Q45" i="154"/>
  <c r="P45" i="154"/>
  <c r="O45" i="154"/>
  <c r="N45" i="154"/>
  <c r="M45" i="154"/>
  <c r="AO45" i="154" s="1"/>
  <c r="L45" i="154"/>
  <c r="K45" i="154"/>
  <c r="J45" i="154"/>
  <c r="I45" i="154"/>
  <c r="I29" i="154" s="1"/>
  <c r="H45" i="154"/>
  <c r="AL44" i="154"/>
  <c r="AO43" i="154"/>
  <c r="AN43" i="154"/>
  <c r="AM43" i="154"/>
  <c r="AL43" i="154"/>
  <c r="AO42" i="154"/>
  <c r="AN42" i="154"/>
  <c r="AM42" i="154"/>
  <c r="AL42" i="154"/>
  <c r="AO41" i="154"/>
  <c r="AN41" i="154"/>
  <c r="AM41" i="154"/>
  <c r="AL41" i="154"/>
  <c r="AO40" i="154"/>
  <c r="AN40" i="154"/>
  <c r="AM40" i="154"/>
  <c r="AL40" i="154"/>
  <c r="AO39" i="154"/>
  <c r="AN39" i="154"/>
  <c r="AM39" i="154"/>
  <c r="AL39" i="154"/>
  <c r="AK38" i="154"/>
  <c r="AK29" i="154"/>
  <c r="AJ38" i="154"/>
  <c r="AI38" i="154"/>
  <c r="AM38" i="154" s="1"/>
  <c r="AH38" i="154"/>
  <c r="AG38" i="154"/>
  <c r="AF38" i="154"/>
  <c r="AE38" i="154"/>
  <c r="AD38" i="154"/>
  <c r="AC38" i="154"/>
  <c r="AB38" i="154"/>
  <c r="AA38" i="154"/>
  <c r="Z38" i="154"/>
  <c r="Z29" i="154"/>
  <c r="Y38" i="154"/>
  <c r="X38" i="154"/>
  <c r="W38" i="154"/>
  <c r="V38" i="154"/>
  <c r="U38" i="154"/>
  <c r="T38" i="154"/>
  <c r="S38" i="154"/>
  <c r="AN38" i="154" s="1"/>
  <c r="R38" i="154"/>
  <c r="Q38" i="154"/>
  <c r="P38" i="154"/>
  <c r="O38" i="154"/>
  <c r="N38" i="154"/>
  <c r="M38" i="154"/>
  <c r="L38" i="154"/>
  <c r="K38" i="154"/>
  <c r="J38" i="154"/>
  <c r="I38" i="154"/>
  <c r="H38" i="154"/>
  <c r="AL38" i="154" s="1"/>
  <c r="AO37" i="154"/>
  <c r="AN37" i="154"/>
  <c r="AM37" i="154"/>
  <c r="AL37" i="154"/>
  <c r="AO36" i="154"/>
  <c r="AN36" i="154"/>
  <c r="AM36" i="154"/>
  <c r="AL36" i="154"/>
  <c r="AO35" i="154"/>
  <c r="AN35" i="154"/>
  <c r="AM35" i="154"/>
  <c r="AL35" i="154"/>
  <c r="AO34" i="154"/>
  <c r="AN34" i="154"/>
  <c r="AM34" i="154"/>
  <c r="AL34" i="154"/>
  <c r="AO33" i="154"/>
  <c r="AN33" i="154"/>
  <c r="AM33" i="154"/>
  <c r="AL33" i="154"/>
  <c r="AO32" i="154"/>
  <c r="AN32" i="154"/>
  <c r="AM32" i="154"/>
  <c r="AL32" i="154"/>
  <c r="AO31" i="154"/>
  <c r="AN31" i="154"/>
  <c r="AM31" i="154"/>
  <c r="AL31" i="154"/>
  <c r="AK30" i="154"/>
  <c r="AJ30" i="154"/>
  <c r="AI30" i="154"/>
  <c r="AM30" i="154" s="1"/>
  <c r="AH30" i="154"/>
  <c r="AH29" i="154" s="1"/>
  <c r="AG30" i="154"/>
  <c r="AG29" i="154" s="1"/>
  <c r="AF30" i="154"/>
  <c r="AF29" i="154"/>
  <c r="AF5" i="154" s="1"/>
  <c r="AE30" i="154"/>
  <c r="AE29" i="154"/>
  <c r="AD30" i="154"/>
  <c r="AD29" i="154" s="1"/>
  <c r="AC30" i="154"/>
  <c r="AB30" i="154"/>
  <c r="AA30" i="154"/>
  <c r="Z30" i="154"/>
  <c r="Y30" i="154"/>
  <c r="Y29" i="154" s="1"/>
  <c r="X30" i="154"/>
  <c r="X29" i="154" s="1"/>
  <c r="W30" i="154"/>
  <c r="W29" i="154" s="1"/>
  <c r="V30" i="154"/>
  <c r="V29" i="154"/>
  <c r="U30" i="154"/>
  <c r="U29" i="154"/>
  <c r="T30" i="154"/>
  <c r="T29" i="154" s="1"/>
  <c r="S30" i="154"/>
  <c r="R30" i="154"/>
  <c r="Q30" i="154"/>
  <c r="Q29" i="154" s="1"/>
  <c r="P30" i="154"/>
  <c r="P29" i="154" s="1"/>
  <c r="O30" i="154"/>
  <c r="O29" i="154" s="1"/>
  <c r="N30" i="154"/>
  <c r="N29" i="154"/>
  <c r="M30" i="154"/>
  <c r="L30" i="154"/>
  <c r="L29" i="154" s="1"/>
  <c r="K30" i="154"/>
  <c r="K29" i="154"/>
  <c r="J30" i="154"/>
  <c r="J29" i="154" s="1"/>
  <c r="I30" i="154"/>
  <c r="H30" i="154"/>
  <c r="AL28" i="154"/>
  <c r="AK27" i="154"/>
  <c r="AJ27" i="154"/>
  <c r="AI27" i="154"/>
  <c r="AH27" i="154"/>
  <c r="AG27" i="154"/>
  <c r="AF27" i="154"/>
  <c r="AE27" i="154"/>
  <c r="AD27" i="154"/>
  <c r="AC27" i="154"/>
  <c r="AB27" i="154"/>
  <c r="AA27" i="154"/>
  <c r="Z27" i="154"/>
  <c r="Y27" i="154"/>
  <c r="X27" i="154"/>
  <c r="W27" i="154"/>
  <c r="V27" i="154"/>
  <c r="U27" i="154"/>
  <c r="T27" i="154"/>
  <c r="S27" i="154"/>
  <c r="R27" i="154"/>
  <c r="Q27" i="154"/>
  <c r="P27" i="154"/>
  <c r="O27" i="154"/>
  <c r="N27" i="154"/>
  <c r="M27" i="154"/>
  <c r="L27" i="154"/>
  <c r="K27" i="154"/>
  <c r="AL27" i="154"/>
  <c r="J27" i="154"/>
  <c r="I27" i="154"/>
  <c r="H27" i="154"/>
  <c r="AM26" i="154"/>
  <c r="AI26" i="154"/>
  <c r="S26" i="154"/>
  <c r="AN26" i="154" s="1"/>
  <c r="K26" i="154"/>
  <c r="AO26" i="154"/>
  <c r="H26" i="154"/>
  <c r="AL26" i="154" s="1"/>
  <c r="AI25" i="154"/>
  <c r="AM25" i="154" s="1"/>
  <c r="S25" i="154"/>
  <c r="AN25" i="154"/>
  <c r="K25" i="154"/>
  <c r="AO25" i="154" s="1"/>
  <c r="H25" i="154"/>
  <c r="AI24" i="154"/>
  <c r="AM24" i="154" s="1"/>
  <c r="S24" i="154"/>
  <c r="AN24" i="154" s="1"/>
  <c r="K24" i="154"/>
  <c r="AL24" i="154" s="1"/>
  <c r="H24" i="154"/>
  <c r="AO23" i="154"/>
  <c r="AN23" i="154"/>
  <c r="AM23" i="154"/>
  <c r="AL23" i="154"/>
  <c r="AI22" i="154"/>
  <c r="AM22" i="154"/>
  <c r="S22" i="154"/>
  <c r="AN22" i="154" s="1"/>
  <c r="K22" i="154"/>
  <c r="AO22" i="154"/>
  <c r="H22" i="154"/>
  <c r="AL21" i="154"/>
  <c r="AI21" i="154"/>
  <c r="AM21" i="154" s="1"/>
  <c r="S21" i="154"/>
  <c r="AN21" i="154" s="1"/>
  <c r="K21" i="154"/>
  <c r="AO21" i="154" s="1"/>
  <c r="H21" i="154"/>
  <c r="AN20" i="154"/>
  <c r="AI20" i="154"/>
  <c r="AM20" i="154" s="1"/>
  <c r="S20" i="154"/>
  <c r="K20" i="154"/>
  <c r="AO20" i="154" s="1"/>
  <c r="H20" i="154"/>
  <c r="AI19" i="154"/>
  <c r="AM19" i="154" s="1"/>
  <c r="S19" i="154"/>
  <c r="K19" i="154"/>
  <c r="AO19" i="154" s="1"/>
  <c r="H19" i="154"/>
  <c r="AK18" i="154"/>
  <c r="AJ18" i="154"/>
  <c r="AH18" i="154"/>
  <c r="AG18" i="154"/>
  <c r="AF18" i="154"/>
  <c r="AE18" i="154"/>
  <c r="AD18" i="154"/>
  <c r="AC18" i="154"/>
  <c r="AB18" i="154"/>
  <c r="AA18" i="154"/>
  <c r="Z18" i="154"/>
  <c r="Y18" i="154"/>
  <c r="Y14" i="154" s="1"/>
  <c r="X18" i="154"/>
  <c r="W18" i="154"/>
  <c r="V18" i="154"/>
  <c r="U18" i="154"/>
  <c r="T18" i="154"/>
  <c r="R18" i="154"/>
  <c r="Q18" i="154"/>
  <c r="P18" i="154"/>
  <c r="O18" i="154"/>
  <c r="N18" i="154"/>
  <c r="M18" i="154"/>
  <c r="M14" i="154" s="1"/>
  <c r="L18" i="154"/>
  <c r="J18" i="154"/>
  <c r="I18" i="154"/>
  <c r="AN17" i="154"/>
  <c r="AI17" i="154"/>
  <c r="AM17" i="154" s="1"/>
  <c r="S17" i="154"/>
  <c r="K17" i="154"/>
  <c r="H17" i="154"/>
  <c r="AI16" i="154"/>
  <c r="S16" i="154"/>
  <c r="AN16" i="154"/>
  <c r="K16" i="154"/>
  <c r="H16" i="154"/>
  <c r="AK15" i="154"/>
  <c r="AK14" i="154" s="1"/>
  <c r="AJ15" i="154"/>
  <c r="AH15" i="154"/>
  <c r="AH14" i="154" s="1"/>
  <c r="AG15" i="154"/>
  <c r="AG14" i="154" s="1"/>
  <c r="AF15" i="154"/>
  <c r="AE15" i="154"/>
  <c r="AD15" i="154"/>
  <c r="AD14" i="154" s="1"/>
  <c r="AC15" i="154"/>
  <c r="AC14" i="154" s="1"/>
  <c r="AB15" i="154"/>
  <c r="AB14" i="154" s="1"/>
  <c r="AA15" i="154"/>
  <c r="Z15" i="154"/>
  <c r="Z14" i="154" s="1"/>
  <c r="Y15" i="154"/>
  <c r="X15" i="154"/>
  <c r="W15" i="154"/>
  <c r="V15" i="154"/>
  <c r="V14" i="154" s="1"/>
  <c r="U15" i="154"/>
  <c r="U14" i="154" s="1"/>
  <c r="T15" i="154"/>
  <c r="T14" i="154" s="1"/>
  <c r="R15" i="154"/>
  <c r="Q15" i="154"/>
  <c r="Q14" i="154" s="1"/>
  <c r="P15" i="154"/>
  <c r="O15" i="154"/>
  <c r="N15" i="154"/>
  <c r="N14" i="154"/>
  <c r="M15" i="154"/>
  <c r="L15" i="154"/>
  <c r="L14" i="154" s="1"/>
  <c r="J15" i="154"/>
  <c r="J14" i="154" s="1"/>
  <c r="I15" i="154"/>
  <c r="I14" i="154"/>
  <c r="I5" i="154" s="1"/>
  <c r="AA14" i="154"/>
  <c r="AO13" i="154"/>
  <c r="AN13" i="154"/>
  <c r="AM13" i="154"/>
  <c r="AL13" i="154"/>
  <c r="AN12" i="154"/>
  <c r="AM12" i="154"/>
  <c r="S12" i="154"/>
  <c r="K12" i="154"/>
  <c r="AL12" i="154" s="1"/>
  <c r="H12" i="154"/>
  <c r="AO11" i="154"/>
  <c r="AN11" i="154"/>
  <c r="AM11" i="154"/>
  <c r="AL11" i="154"/>
  <c r="AM10" i="154"/>
  <c r="S10" i="154"/>
  <c r="K10" i="154"/>
  <c r="H10" i="154"/>
  <c r="AL10" i="154" s="1"/>
  <c r="AO9" i="154"/>
  <c r="AN9" i="154"/>
  <c r="AM9" i="154"/>
  <c r="AL9" i="154"/>
  <c r="AM8" i="154"/>
  <c r="AK8" i="154"/>
  <c r="AK6" i="154"/>
  <c r="AJ8" i="154"/>
  <c r="AI8" i="154"/>
  <c r="AI6" i="154" s="1"/>
  <c r="AH8" i="154"/>
  <c r="AH6" i="154" s="1"/>
  <c r="AG8" i="154"/>
  <c r="AG6" i="154"/>
  <c r="AF8" i="154"/>
  <c r="AF6" i="154" s="1"/>
  <c r="AE8" i="154"/>
  <c r="AE6" i="154" s="1"/>
  <c r="AD8" i="154"/>
  <c r="AC8" i="154"/>
  <c r="AC6" i="154" s="1"/>
  <c r="AB8" i="154"/>
  <c r="AA8" i="154"/>
  <c r="AA6" i="154" s="1"/>
  <c r="Z8" i="154"/>
  <c r="Z6" i="154" s="1"/>
  <c r="Y8" i="154"/>
  <c r="Y6" i="154" s="1"/>
  <c r="Y5" i="154" s="1"/>
  <c r="X8" i="154"/>
  <c r="X6" i="154"/>
  <c r="W8" i="154"/>
  <c r="W6" i="154"/>
  <c r="V8" i="154"/>
  <c r="V6" i="154" s="1"/>
  <c r="U8" i="154"/>
  <c r="U6" i="154"/>
  <c r="T8" i="154"/>
  <c r="R8" i="154"/>
  <c r="R6" i="154"/>
  <c r="Q8" i="154"/>
  <c r="Q6" i="154"/>
  <c r="P8" i="154"/>
  <c r="P6" i="154" s="1"/>
  <c r="O8" i="154"/>
  <c r="O6" i="154" s="1"/>
  <c r="N8" i="154"/>
  <c r="N6" i="154"/>
  <c r="M8" i="154"/>
  <c r="M6" i="154" s="1"/>
  <c r="L8" i="154"/>
  <c r="J8" i="154"/>
  <c r="J6" i="154" s="1"/>
  <c r="J5" i="154" s="1"/>
  <c r="I8" i="154"/>
  <c r="I6" i="154"/>
  <c r="AL7" i="154"/>
  <c r="H7" i="154"/>
  <c r="AJ6" i="154"/>
  <c r="AD6" i="154"/>
  <c r="AB6" i="154"/>
  <c r="T6" i="154"/>
  <c r="L6" i="154"/>
  <c r="AI130" i="153"/>
  <c r="S130" i="153"/>
  <c r="K130" i="153"/>
  <c r="AL130" i="153" s="1"/>
  <c r="H130" i="153"/>
  <c r="AI129" i="153"/>
  <c r="K129" i="153"/>
  <c r="H129" i="153"/>
  <c r="AI128" i="153"/>
  <c r="S128" i="153"/>
  <c r="AL128" i="153" s="1"/>
  <c r="K128" i="153"/>
  <c r="H128" i="153"/>
  <c r="AI127" i="153"/>
  <c r="AL127" i="153" s="1"/>
  <c r="S127" i="153"/>
  <c r="K127" i="153"/>
  <c r="H127" i="153"/>
  <c r="AI126" i="153"/>
  <c r="AI124" i="153"/>
  <c r="AL124" i="153" s="1"/>
  <c r="S124" i="153"/>
  <c r="K124" i="153"/>
  <c r="H124" i="153"/>
  <c r="AI123" i="153"/>
  <c r="S123" i="153"/>
  <c r="K123" i="153"/>
  <c r="H123" i="153"/>
  <c r="H118" i="153"/>
  <c r="AI117" i="153"/>
  <c r="AL117" i="153" s="1"/>
  <c r="AH117" i="153"/>
  <c r="S117" i="153"/>
  <c r="R117" i="153"/>
  <c r="K117" i="153"/>
  <c r="H117" i="153"/>
  <c r="AH116" i="153"/>
  <c r="R116" i="153"/>
  <c r="AI115" i="153"/>
  <c r="AH115" i="153"/>
  <c r="R115" i="153"/>
  <c r="K115" i="153"/>
  <c r="H115" i="153"/>
  <c r="AH113" i="153"/>
  <c r="R113" i="153"/>
  <c r="AI112" i="153"/>
  <c r="AH112" i="153"/>
  <c r="S112" i="153"/>
  <c r="AL112" i="153" s="1"/>
  <c r="R112" i="153"/>
  <c r="K112" i="153"/>
  <c r="H112" i="153"/>
  <c r="AH111" i="153"/>
  <c r="AO103" i="153"/>
  <c r="AN103" i="153"/>
  <c r="AM103" i="153"/>
  <c r="AL103" i="153"/>
  <c r="AO102" i="153"/>
  <c r="AN102" i="153"/>
  <c r="AM102" i="153"/>
  <c r="AL102" i="153"/>
  <c r="AO101" i="153"/>
  <c r="AN101" i="153"/>
  <c r="AM101" i="153"/>
  <c r="AL101" i="153"/>
  <c r="AO100" i="153"/>
  <c r="AN100" i="153"/>
  <c r="AM100" i="153"/>
  <c r="AL100" i="153"/>
  <c r="AI99" i="153"/>
  <c r="AM99" i="153" s="1"/>
  <c r="S99" i="153"/>
  <c r="K99" i="153"/>
  <c r="K98" i="153" s="1"/>
  <c r="K97" i="153" s="1"/>
  <c r="K131" i="153"/>
  <c r="H99" i="153"/>
  <c r="AK98" i="153"/>
  <c r="AK97" i="153" s="1"/>
  <c r="AJ98" i="153"/>
  <c r="AJ97" i="153" s="1"/>
  <c r="AH98" i="153"/>
  <c r="AH97" i="153"/>
  <c r="AG98" i="153"/>
  <c r="AG97" i="153" s="1"/>
  <c r="AF98" i="153"/>
  <c r="AE98" i="153"/>
  <c r="AD98" i="153"/>
  <c r="AD97" i="153"/>
  <c r="AC98" i="153"/>
  <c r="AC97" i="153"/>
  <c r="AB98" i="153"/>
  <c r="AB97" i="153" s="1"/>
  <c r="AA98" i="153"/>
  <c r="AA97" i="153"/>
  <c r="Z98" i="153"/>
  <c r="Z97" i="153" s="1"/>
  <c r="Y98" i="153"/>
  <c r="Y97" i="153"/>
  <c r="X98" i="153"/>
  <c r="W98" i="153"/>
  <c r="W97" i="153"/>
  <c r="V98" i="153"/>
  <c r="V97" i="153"/>
  <c r="U98" i="153"/>
  <c r="U97" i="153" s="1"/>
  <c r="T98" i="153"/>
  <c r="R98" i="153"/>
  <c r="AO98" i="153" s="1"/>
  <c r="R97" i="153"/>
  <c r="Q98" i="153"/>
  <c r="Q97" i="153"/>
  <c r="P98" i="153"/>
  <c r="P97" i="153" s="1"/>
  <c r="O98" i="153"/>
  <c r="O97" i="153" s="1"/>
  <c r="N98" i="153"/>
  <c r="N97" i="153" s="1"/>
  <c r="M98" i="153"/>
  <c r="L98" i="153"/>
  <c r="L97" i="153" s="1"/>
  <c r="J98" i="153"/>
  <c r="J97" i="153"/>
  <c r="I98" i="153"/>
  <c r="AF97" i="153"/>
  <c r="AE97" i="153"/>
  <c r="X97" i="153"/>
  <c r="T97" i="153"/>
  <c r="M97" i="153"/>
  <c r="AO96" i="153"/>
  <c r="AN96" i="153"/>
  <c r="AM96" i="153"/>
  <c r="AL96" i="153"/>
  <c r="AO95" i="153"/>
  <c r="AN95" i="153"/>
  <c r="AM95" i="153"/>
  <c r="AL95" i="153"/>
  <c r="AK94" i="153"/>
  <c r="AM94" i="153"/>
  <c r="AJ94" i="153"/>
  <c r="AI94" i="153"/>
  <c r="AH94" i="153"/>
  <c r="AG94" i="153"/>
  <c r="AF94" i="153"/>
  <c r="AE94" i="153"/>
  <c r="AD94" i="153"/>
  <c r="AC94" i="153"/>
  <c r="AB94" i="153"/>
  <c r="AA94" i="153"/>
  <c r="Z94" i="153"/>
  <c r="Y94" i="153"/>
  <c r="X94" i="153"/>
  <c r="W94" i="153"/>
  <c r="V94" i="153"/>
  <c r="U94" i="153"/>
  <c r="T94" i="153"/>
  <c r="S94" i="153"/>
  <c r="R94" i="153"/>
  <c r="Q94" i="153"/>
  <c r="P94" i="153"/>
  <c r="O94" i="153"/>
  <c r="N94" i="153"/>
  <c r="M94" i="153"/>
  <c r="L94" i="153"/>
  <c r="K94" i="153"/>
  <c r="AO94" i="153" s="1"/>
  <c r="J94" i="153"/>
  <c r="I94" i="153"/>
  <c r="H94" i="153"/>
  <c r="AO93" i="153"/>
  <c r="AN93" i="153"/>
  <c r="AM93" i="153"/>
  <c r="AL93" i="153"/>
  <c r="AO92" i="153"/>
  <c r="AN92" i="153"/>
  <c r="AM92" i="153"/>
  <c r="J92" i="153"/>
  <c r="AO91" i="153"/>
  <c r="AN91" i="153"/>
  <c r="AM91" i="153"/>
  <c r="AL91" i="153"/>
  <c r="AK90" i="153"/>
  <c r="AJ90" i="153"/>
  <c r="AM90" i="153" s="1"/>
  <c r="AI90" i="153"/>
  <c r="AH90" i="153"/>
  <c r="AG90" i="153"/>
  <c r="AF90" i="153"/>
  <c r="AE90" i="153"/>
  <c r="AE83" i="153" s="1"/>
  <c r="AD90" i="153"/>
  <c r="AC90" i="153"/>
  <c r="AB90" i="153"/>
  <c r="AA90" i="153"/>
  <c r="AA83" i="153" s="1"/>
  <c r="Z90" i="153"/>
  <c r="Y90" i="153"/>
  <c r="X90" i="153"/>
  <c r="W90" i="153"/>
  <c r="V90" i="153"/>
  <c r="U90" i="153"/>
  <c r="T90" i="153"/>
  <c r="S90" i="153"/>
  <c r="R90" i="153"/>
  <c r="Q90" i="153"/>
  <c r="P90" i="153"/>
  <c r="P83" i="153" s="1"/>
  <c r="O90" i="153"/>
  <c r="O83" i="153" s="1"/>
  <c r="N90" i="153"/>
  <c r="M90" i="153"/>
  <c r="L90" i="153"/>
  <c r="K90" i="153"/>
  <c r="I90" i="153"/>
  <c r="H90" i="153"/>
  <c r="AO89" i="153"/>
  <c r="AN89" i="153"/>
  <c r="AM89" i="153"/>
  <c r="AL89" i="153"/>
  <c r="AO88" i="153"/>
  <c r="AN88" i="153"/>
  <c r="AM88" i="153"/>
  <c r="AL88" i="153"/>
  <c r="AO87" i="153"/>
  <c r="AN87" i="153"/>
  <c r="AM87" i="153"/>
  <c r="J87" i="153"/>
  <c r="AL87" i="153" s="1"/>
  <c r="AO86" i="153"/>
  <c r="AM86" i="153"/>
  <c r="S86" i="153"/>
  <c r="S84" i="153"/>
  <c r="S83" i="153" s="1"/>
  <c r="AO85" i="153"/>
  <c r="AN85" i="153"/>
  <c r="AM85" i="153"/>
  <c r="AL85" i="153"/>
  <c r="AK84" i="153"/>
  <c r="AJ84" i="153"/>
  <c r="AM84" i="153" s="1"/>
  <c r="AI84" i="153"/>
  <c r="AH84" i="153"/>
  <c r="AH83" i="153" s="1"/>
  <c r="AG84" i="153"/>
  <c r="AG83" i="153"/>
  <c r="AF84" i="153"/>
  <c r="AE84" i="153"/>
  <c r="AD84" i="153"/>
  <c r="AC84" i="153"/>
  <c r="AC83" i="153" s="1"/>
  <c r="AB84" i="153"/>
  <c r="AB83" i="153" s="1"/>
  <c r="AA84" i="153"/>
  <c r="Z84" i="153"/>
  <c r="Z83" i="153" s="1"/>
  <c r="Y84" i="153"/>
  <c r="X84" i="153"/>
  <c r="W84" i="153"/>
  <c r="W83" i="153" s="1"/>
  <c r="V84" i="153"/>
  <c r="U84" i="153"/>
  <c r="T84" i="153"/>
  <c r="T83" i="153" s="1"/>
  <c r="R84" i="153"/>
  <c r="R83" i="153" s="1"/>
  <c r="Q84" i="153"/>
  <c r="P84" i="153"/>
  <c r="O84" i="153"/>
  <c r="N84" i="153"/>
  <c r="N83" i="153"/>
  <c r="M84" i="153"/>
  <c r="L84" i="153"/>
  <c r="L83" i="153"/>
  <c r="K84" i="153"/>
  <c r="K83" i="153"/>
  <c r="I84" i="153"/>
  <c r="I83" i="153" s="1"/>
  <c r="H84" i="153"/>
  <c r="H83" i="153"/>
  <c r="AF83" i="153"/>
  <c r="M83" i="153"/>
  <c r="AO82" i="153"/>
  <c r="AN82" i="153"/>
  <c r="AM82" i="153"/>
  <c r="AL82" i="153"/>
  <c r="AL81" i="153"/>
  <c r="AK81" i="153"/>
  <c r="AM81" i="153" s="1"/>
  <c r="AJ81" i="153"/>
  <c r="AI81" i="153"/>
  <c r="AH81" i="153"/>
  <c r="AG81" i="153"/>
  <c r="AF81" i="153"/>
  <c r="AE81" i="153"/>
  <c r="AD81" i="153"/>
  <c r="AC81" i="153"/>
  <c r="AB81" i="153"/>
  <c r="AA81" i="153"/>
  <c r="Z81" i="153"/>
  <c r="Y81" i="153"/>
  <c r="X81" i="153"/>
  <c r="W81" i="153"/>
  <c r="V81" i="153"/>
  <c r="U81" i="153"/>
  <c r="T81" i="153"/>
  <c r="S81" i="153"/>
  <c r="R81" i="153"/>
  <c r="Q81" i="153"/>
  <c r="P81" i="153"/>
  <c r="O81" i="153"/>
  <c r="N81" i="153"/>
  <c r="M81" i="153"/>
  <c r="L81" i="153"/>
  <c r="K81" i="153"/>
  <c r="AO81" i="153" s="1"/>
  <c r="J81" i="153"/>
  <c r="I81" i="153"/>
  <c r="H81" i="153"/>
  <c r="AM80" i="153"/>
  <c r="S80" i="153"/>
  <c r="K80" i="153"/>
  <c r="K126" i="153" s="1"/>
  <c r="AO79" i="153"/>
  <c r="AN79" i="153"/>
  <c r="AM79" i="153"/>
  <c r="AL79" i="153"/>
  <c r="AO78" i="153"/>
  <c r="AN78" i="153"/>
  <c r="AM78" i="153"/>
  <c r="AL78" i="153"/>
  <c r="AK77" i="153"/>
  <c r="AJ77" i="153"/>
  <c r="AI77" i="153"/>
  <c r="AM77" i="153" s="1"/>
  <c r="AH77" i="153"/>
  <c r="AG77" i="153"/>
  <c r="AG62" i="153"/>
  <c r="AF77" i="153"/>
  <c r="AE77" i="153"/>
  <c r="AD77" i="153"/>
  <c r="AC77" i="153"/>
  <c r="AC62" i="153" s="1"/>
  <c r="AB77" i="153"/>
  <c r="AA77" i="153"/>
  <c r="Z77" i="153"/>
  <c r="Y77" i="153"/>
  <c r="Y62" i="153" s="1"/>
  <c r="X77" i="153"/>
  <c r="W77" i="153"/>
  <c r="V77" i="153"/>
  <c r="U77" i="153"/>
  <c r="T77" i="153"/>
  <c r="R77" i="153"/>
  <c r="R62" i="153"/>
  <c r="Q77" i="153"/>
  <c r="P77" i="153"/>
  <c r="O77" i="153"/>
  <c r="O62" i="153" s="1"/>
  <c r="N77" i="153"/>
  <c r="N62" i="153" s="1"/>
  <c r="M77" i="153"/>
  <c r="L77" i="153"/>
  <c r="L62" i="153"/>
  <c r="I77" i="153"/>
  <c r="AO76" i="153"/>
  <c r="AN76" i="153"/>
  <c r="AM76" i="153"/>
  <c r="AL76" i="153"/>
  <c r="AO75" i="153"/>
  <c r="AN75" i="153"/>
  <c r="AM75" i="153"/>
  <c r="AL75" i="153"/>
  <c r="AO74" i="153"/>
  <c r="AN74" i="153"/>
  <c r="AM74" i="153"/>
  <c r="AL74" i="153"/>
  <c r="AO73" i="153"/>
  <c r="AN73" i="153"/>
  <c r="AM73" i="153"/>
  <c r="AL73" i="153"/>
  <c r="AO72" i="153"/>
  <c r="AN72" i="153"/>
  <c r="AM72" i="153"/>
  <c r="AL72" i="153"/>
  <c r="AO71" i="153"/>
  <c r="AN71" i="153"/>
  <c r="AM71" i="153"/>
  <c r="AL71" i="153"/>
  <c r="AO70" i="153"/>
  <c r="AN70" i="153"/>
  <c r="AM70" i="153"/>
  <c r="AL70" i="153"/>
  <c r="AO69" i="153"/>
  <c r="AN69" i="153"/>
  <c r="AM69" i="153"/>
  <c r="AL69" i="153"/>
  <c r="AO68" i="153"/>
  <c r="AN68" i="153"/>
  <c r="AM68" i="153"/>
  <c r="AL68" i="153"/>
  <c r="AO67" i="153"/>
  <c r="AN67" i="153"/>
  <c r="AM67" i="153"/>
  <c r="AL67" i="153"/>
  <c r="AO66" i="153"/>
  <c r="AN66" i="153"/>
  <c r="AM66" i="153"/>
  <c r="AL66" i="153"/>
  <c r="AO65" i="153"/>
  <c r="AN65" i="153"/>
  <c r="AM65" i="153"/>
  <c r="AL65" i="153"/>
  <c r="AO64" i="153"/>
  <c r="AN64" i="153"/>
  <c r="AM64" i="153"/>
  <c r="AL64" i="153"/>
  <c r="AK63" i="153"/>
  <c r="AJ63" i="153"/>
  <c r="AJ62" i="153"/>
  <c r="AI63" i="153"/>
  <c r="AH63" i="153"/>
  <c r="AG63" i="153"/>
  <c r="AF63" i="153"/>
  <c r="AF62" i="153"/>
  <c r="AE63" i="153"/>
  <c r="AE62" i="153" s="1"/>
  <c r="AD63" i="153"/>
  <c r="AD62" i="153"/>
  <c r="AC63" i="153"/>
  <c r="AB63" i="153"/>
  <c r="AB62" i="153" s="1"/>
  <c r="AA63" i="153"/>
  <c r="AA62" i="153" s="1"/>
  <c r="Z63" i="153"/>
  <c r="Z62" i="153" s="1"/>
  <c r="Y63" i="153"/>
  <c r="X63" i="153"/>
  <c r="W63" i="153"/>
  <c r="V63" i="153"/>
  <c r="V62" i="153" s="1"/>
  <c r="U63" i="153"/>
  <c r="U62" i="153" s="1"/>
  <c r="T63" i="153"/>
  <c r="T62" i="153" s="1"/>
  <c r="S63" i="153"/>
  <c r="R63" i="153"/>
  <c r="Q63" i="153"/>
  <c r="Q62" i="153" s="1"/>
  <c r="Q5" i="153" s="1"/>
  <c r="P63" i="153"/>
  <c r="O63" i="153"/>
  <c r="N63" i="153"/>
  <c r="M63" i="153"/>
  <c r="L63" i="153"/>
  <c r="K63" i="153"/>
  <c r="J63" i="153"/>
  <c r="AL63" i="153" s="1"/>
  <c r="I63" i="153"/>
  <c r="H63" i="153"/>
  <c r="W62" i="153"/>
  <c r="M62" i="153"/>
  <c r="AI61" i="153"/>
  <c r="AM61" i="153" s="1"/>
  <c r="S61" i="153"/>
  <c r="K61" i="153"/>
  <c r="AO61" i="153" s="1"/>
  <c r="H61" i="153"/>
  <c r="AO60" i="153"/>
  <c r="AN60" i="153"/>
  <c r="AM60" i="153"/>
  <c r="AL60" i="153"/>
  <c r="AO59" i="153"/>
  <c r="AI59" i="153"/>
  <c r="AM59" i="153" s="1"/>
  <c r="T59" i="153"/>
  <c r="S59" i="153"/>
  <c r="AL59" i="153" s="1"/>
  <c r="AN59" i="153"/>
  <c r="K59" i="153"/>
  <c r="H59" i="153"/>
  <c r="AI58" i="153"/>
  <c r="S58" i="153"/>
  <c r="AN58" i="153" s="1"/>
  <c r="K58" i="153"/>
  <c r="H58" i="153"/>
  <c r="AI57" i="153"/>
  <c r="AM57" i="153"/>
  <c r="S57" i="153"/>
  <c r="AN57" i="153"/>
  <c r="K57" i="153"/>
  <c r="H57" i="153"/>
  <c r="AI56" i="153"/>
  <c r="AM56" i="153" s="1"/>
  <c r="S56" i="153"/>
  <c r="AN56" i="153"/>
  <c r="K56" i="153"/>
  <c r="AO56" i="153"/>
  <c r="H56" i="153"/>
  <c r="H55" i="153" s="1"/>
  <c r="AK55" i="153"/>
  <c r="AJ55" i="153"/>
  <c r="AJ50" i="153" s="1"/>
  <c r="AH55" i="153"/>
  <c r="AG55" i="153"/>
  <c r="AF55" i="153"/>
  <c r="AE55" i="153"/>
  <c r="AD55" i="153"/>
  <c r="AD50" i="153"/>
  <c r="AC55" i="153"/>
  <c r="AB55" i="153"/>
  <c r="AA55" i="153"/>
  <c r="Z55" i="153"/>
  <c r="Y55" i="153"/>
  <c r="X55" i="153"/>
  <c r="X50" i="153" s="1"/>
  <c r="W55" i="153"/>
  <c r="V55" i="153"/>
  <c r="U55" i="153"/>
  <c r="R55" i="153"/>
  <c r="Q55" i="153"/>
  <c r="P55" i="153"/>
  <c r="O55" i="153"/>
  <c r="N55" i="153"/>
  <c r="M55" i="153"/>
  <c r="M51" i="153" s="1"/>
  <c r="L55" i="153"/>
  <c r="L50" i="153"/>
  <c r="J55" i="153"/>
  <c r="I55" i="153"/>
  <c r="AM54" i="153"/>
  <c r="AH54" i="153"/>
  <c r="AH114" i="153"/>
  <c r="S54" i="153"/>
  <c r="S52" i="153" s="1"/>
  <c r="R54" i="153"/>
  <c r="K54" i="153"/>
  <c r="J54" i="153"/>
  <c r="J52" i="153" s="1"/>
  <c r="H54" i="153"/>
  <c r="AN53" i="153"/>
  <c r="AM53" i="153"/>
  <c r="K53" i="153"/>
  <c r="AL53" i="153" s="1"/>
  <c r="H53" i="153"/>
  <c r="AK52" i="153"/>
  <c r="AK50" i="153" s="1"/>
  <c r="AJ52" i="153"/>
  <c r="AM52" i="153" s="1"/>
  <c r="AI52" i="153"/>
  <c r="AH52" i="153"/>
  <c r="AH50" i="153"/>
  <c r="AG52" i="153"/>
  <c r="AG50" i="153" s="1"/>
  <c r="AF52" i="153"/>
  <c r="AF50" i="153" s="1"/>
  <c r="AE52" i="153"/>
  <c r="AE50" i="153" s="1"/>
  <c r="AD52" i="153"/>
  <c r="AC52" i="153"/>
  <c r="AC50" i="153" s="1"/>
  <c r="AB52" i="153"/>
  <c r="AB50" i="153" s="1"/>
  <c r="AA52" i="153"/>
  <c r="Z52" i="153"/>
  <c r="Y52" i="153"/>
  <c r="Y50" i="153" s="1"/>
  <c r="X52" i="153"/>
  <c r="W52" i="153"/>
  <c r="W50" i="153" s="1"/>
  <c r="V52" i="153"/>
  <c r="V50" i="153" s="1"/>
  <c r="U52" i="153"/>
  <c r="U50" i="153" s="1"/>
  <c r="T52" i="153"/>
  <c r="R52" i="153"/>
  <c r="R50" i="153" s="1"/>
  <c r="Q52" i="153"/>
  <c r="P52" i="153"/>
  <c r="P50" i="153" s="1"/>
  <c r="O52" i="153"/>
  <c r="O50" i="153"/>
  <c r="N52" i="153"/>
  <c r="N50" i="153" s="1"/>
  <c r="M52" i="153"/>
  <c r="L52" i="153"/>
  <c r="I52" i="153"/>
  <c r="AI51" i="153"/>
  <c r="S51" i="153"/>
  <c r="Q50" i="153"/>
  <c r="I50" i="153"/>
  <c r="AO49" i="153"/>
  <c r="AN49" i="153"/>
  <c r="AM49" i="153"/>
  <c r="AL49" i="153"/>
  <c r="AO48" i="153"/>
  <c r="AN48" i="153"/>
  <c r="AM48" i="153"/>
  <c r="AL48" i="153"/>
  <c r="AO47" i="153"/>
  <c r="AN47" i="153"/>
  <c r="AM47" i="153"/>
  <c r="AL47" i="153"/>
  <c r="AO46" i="153"/>
  <c r="AN46" i="153"/>
  <c r="AM46" i="153"/>
  <c r="AL46" i="153"/>
  <c r="AM45" i="153"/>
  <c r="AK45" i="153"/>
  <c r="AJ45" i="153"/>
  <c r="AI45" i="153"/>
  <c r="AH45" i="153"/>
  <c r="AG45" i="153"/>
  <c r="AF45" i="153"/>
  <c r="AE45" i="153"/>
  <c r="AD45" i="153"/>
  <c r="AC45" i="153"/>
  <c r="AB45" i="153"/>
  <c r="AA45" i="153"/>
  <c r="Z45" i="153"/>
  <c r="Z29" i="153" s="1"/>
  <c r="Y45" i="153"/>
  <c r="X45" i="153"/>
  <c r="W45" i="153"/>
  <c r="V45" i="153"/>
  <c r="U45" i="153"/>
  <c r="T45" i="153"/>
  <c r="S45" i="153"/>
  <c r="R45" i="153"/>
  <c r="Q45" i="153"/>
  <c r="P45" i="153"/>
  <c r="AO45" i="153"/>
  <c r="O45" i="153"/>
  <c r="N45" i="153"/>
  <c r="M45" i="153"/>
  <c r="L45" i="153"/>
  <c r="K45" i="153"/>
  <c r="J45" i="153"/>
  <c r="I45" i="153"/>
  <c r="H45" i="153"/>
  <c r="AO44" i="153"/>
  <c r="AN44" i="153"/>
  <c r="AM44" i="153"/>
  <c r="AL44" i="153"/>
  <c r="AO43" i="153"/>
  <c r="AN43" i="153"/>
  <c r="AM43" i="153"/>
  <c r="AL43" i="153"/>
  <c r="AO42" i="153"/>
  <c r="AN42" i="153"/>
  <c r="AM42" i="153"/>
  <c r="AL42" i="153"/>
  <c r="AO41" i="153"/>
  <c r="AN41" i="153"/>
  <c r="AM41" i="153"/>
  <c r="AL41" i="153"/>
  <c r="AO40" i="153"/>
  <c r="AN40" i="153"/>
  <c r="AM40" i="153"/>
  <c r="AL40" i="153"/>
  <c r="AO39" i="153"/>
  <c r="AN39" i="153"/>
  <c r="AM39" i="153"/>
  <c r="AL39" i="153"/>
  <c r="AK38" i="153"/>
  <c r="AJ38" i="153"/>
  <c r="AI38" i="153"/>
  <c r="AM38" i="153" s="1"/>
  <c r="AH38" i="153"/>
  <c r="AH29" i="153" s="1"/>
  <c r="AG38" i="153"/>
  <c r="AF38" i="153"/>
  <c r="AE38" i="153"/>
  <c r="AD38" i="153"/>
  <c r="AC38" i="153"/>
  <c r="AB38" i="153"/>
  <c r="AA38" i="153"/>
  <c r="Z38" i="153"/>
  <c r="Y38" i="153"/>
  <c r="X38" i="153"/>
  <c r="W38" i="153"/>
  <c r="V38" i="153"/>
  <c r="V29" i="153" s="1"/>
  <c r="U38" i="153"/>
  <c r="T38" i="153"/>
  <c r="S38" i="153"/>
  <c r="R38" i="153"/>
  <c r="Q38" i="153"/>
  <c r="P38" i="153"/>
  <c r="O38" i="153"/>
  <c r="O29" i="153" s="1"/>
  <c r="N38" i="153"/>
  <c r="M38" i="153"/>
  <c r="L38" i="153"/>
  <c r="K38" i="153"/>
  <c r="J38" i="153"/>
  <c r="I38" i="153"/>
  <c r="H38" i="153"/>
  <c r="AO37" i="153"/>
  <c r="AN37" i="153"/>
  <c r="AM37" i="153"/>
  <c r="AL37" i="153"/>
  <c r="AO36" i="153"/>
  <c r="AN36" i="153"/>
  <c r="AM36" i="153"/>
  <c r="AL36" i="153"/>
  <c r="AO35" i="153"/>
  <c r="AN35" i="153"/>
  <c r="AM35" i="153"/>
  <c r="AL35" i="153"/>
  <c r="AO34" i="153"/>
  <c r="AN34" i="153"/>
  <c r="AM34" i="153"/>
  <c r="AL34" i="153"/>
  <c r="AO33" i="153"/>
  <c r="AN33" i="153"/>
  <c r="AM33" i="153"/>
  <c r="AL33" i="153"/>
  <c r="AO32" i="153"/>
  <c r="AN32" i="153"/>
  <c r="AM32" i="153"/>
  <c r="AL32" i="153"/>
  <c r="AO31" i="153"/>
  <c r="AN31" i="153"/>
  <c r="AM31" i="153"/>
  <c r="AL31" i="153"/>
  <c r="AK30" i="153"/>
  <c r="AK29" i="153"/>
  <c r="AJ30" i="153"/>
  <c r="AJ29" i="153"/>
  <c r="AI30" i="153"/>
  <c r="AM30" i="153" s="1"/>
  <c r="AH30" i="153"/>
  <c r="AG30" i="153"/>
  <c r="AG29" i="153"/>
  <c r="AF30" i="153"/>
  <c r="AE30" i="153"/>
  <c r="AE29" i="153"/>
  <c r="AD30" i="153"/>
  <c r="AD29" i="153"/>
  <c r="AC30" i="153"/>
  <c r="AC29" i="153" s="1"/>
  <c r="AB30" i="153"/>
  <c r="AB29" i="153" s="1"/>
  <c r="AA30" i="153"/>
  <c r="Z30" i="153"/>
  <c r="Y30" i="153"/>
  <c r="Y29" i="153" s="1"/>
  <c r="X30" i="153"/>
  <c r="X29" i="153" s="1"/>
  <c r="W30" i="153"/>
  <c r="W29" i="153" s="1"/>
  <c r="V30" i="153"/>
  <c r="U30" i="153"/>
  <c r="U29" i="153" s="1"/>
  <c r="T30" i="153"/>
  <c r="S30" i="153"/>
  <c r="AN30" i="153" s="1"/>
  <c r="R30" i="153"/>
  <c r="Q30" i="153"/>
  <c r="Q29" i="153" s="1"/>
  <c r="P30" i="153"/>
  <c r="O30" i="153"/>
  <c r="N30" i="153"/>
  <c r="N29" i="153" s="1"/>
  <c r="M30" i="153"/>
  <c r="L30" i="153"/>
  <c r="L29" i="153"/>
  <c r="K30" i="153"/>
  <c r="J30" i="153"/>
  <c r="I30" i="153"/>
  <c r="H30" i="153"/>
  <c r="H29" i="153"/>
  <c r="AI28" i="153"/>
  <c r="S28" i="153"/>
  <c r="S122" i="153"/>
  <c r="K28" i="153"/>
  <c r="AO28" i="153"/>
  <c r="K122" i="153"/>
  <c r="H28" i="153"/>
  <c r="H122" i="153"/>
  <c r="AK27" i="153"/>
  <c r="AJ27" i="153"/>
  <c r="AH27" i="153"/>
  <c r="AG27" i="153"/>
  <c r="AF27" i="153"/>
  <c r="AE27" i="153"/>
  <c r="AD27" i="153"/>
  <c r="AC27" i="153"/>
  <c r="AB27" i="153"/>
  <c r="AA27" i="153"/>
  <c r="Z27" i="153"/>
  <c r="Y27" i="153"/>
  <c r="X27" i="153"/>
  <c r="W27" i="153"/>
  <c r="V27" i="153"/>
  <c r="U27" i="153"/>
  <c r="T27" i="153"/>
  <c r="R27" i="153"/>
  <c r="Q27" i="153"/>
  <c r="P27" i="153"/>
  <c r="O27" i="153"/>
  <c r="N27" i="153"/>
  <c r="M27" i="153"/>
  <c r="L27" i="153"/>
  <c r="J27" i="153"/>
  <c r="I27" i="153"/>
  <c r="AM26" i="153"/>
  <c r="S26" i="153"/>
  <c r="K26" i="153"/>
  <c r="AO26" i="153" s="1"/>
  <c r="H26" i="153"/>
  <c r="AN25" i="153"/>
  <c r="AI25" i="153"/>
  <c r="AM25" i="153"/>
  <c r="S25" i="153"/>
  <c r="K25" i="153"/>
  <c r="AO25" i="153"/>
  <c r="H25" i="153"/>
  <c r="AM24" i="153"/>
  <c r="AI24" i="153"/>
  <c r="S24" i="153"/>
  <c r="AN24" i="153"/>
  <c r="K24" i="153"/>
  <c r="AO24" i="153"/>
  <c r="H24" i="153"/>
  <c r="AO23" i="153"/>
  <c r="AN23" i="153"/>
  <c r="AM23" i="153"/>
  <c r="AL23" i="153"/>
  <c r="AO22" i="153"/>
  <c r="AI22" i="153"/>
  <c r="S22" i="153"/>
  <c r="AN22" i="153"/>
  <c r="K22" i="153"/>
  <c r="H22" i="153"/>
  <c r="AN21" i="153"/>
  <c r="AM21" i="153"/>
  <c r="K21" i="153"/>
  <c r="AO21" i="153"/>
  <c r="H21" i="153"/>
  <c r="AL21" i="153"/>
  <c r="AM20" i="153"/>
  <c r="AI20" i="153"/>
  <c r="S20" i="153"/>
  <c r="AN20" i="153"/>
  <c r="K20" i="153"/>
  <c r="AO20" i="153"/>
  <c r="H20" i="153"/>
  <c r="AL20" i="153" s="1"/>
  <c r="AI19" i="153"/>
  <c r="S19" i="153"/>
  <c r="K19" i="153"/>
  <c r="K116" i="153" s="1"/>
  <c r="H19" i="153"/>
  <c r="H116" i="153" s="1"/>
  <c r="AK18" i="153"/>
  <c r="AJ18" i="153"/>
  <c r="AH18" i="153"/>
  <c r="AG18" i="153"/>
  <c r="AF18" i="153"/>
  <c r="AE18" i="153"/>
  <c r="AD18" i="153"/>
  <c r="AD14" i="153"/>
  <c r="AC18" i="153"/>
  <c r="AB18" i="153"/>
  <c r="AB14" i="153" s="1"/>
  <c r="AA18" i="153"/>
  <c r="Z18" i="153"/>
  <c r="Y18" i="153"/>
  <c r="X18" i="153"/>
  <c r="W18" i="153"/>
  <c r="V18" i="153"/>
  <c r="V14" i="153" s="1"/>
  <c r="U18" i="153"/>
  <c r="T18" i="153"/>
  <c r="R18" i="153"/>
  <c r="R14" i="153"/>
  <c r="Q18" i="153"/>
  <c r="Q14" i="153" s="1"/>
  <c r="P18" i="153"/>
  <c r="P14" i="153" s="1"/>
  <c r="O18" i="153"/>
  <c r="N18" i="153"/>
  <c r="N14" i="153" s="1"/>
  <c r="M18" i="153"/>
  <c r="L18" i="153"/>
  <c r="K18" i="153"/>
  <c r="J18" i="153"/>
  <c r="I18" i="153"/>
  <c r="AO17" i="153"/>
  <c r="AL17" i="153"/>
  <c r="AI17" i="153"/>
  <c r="AM17" i="153" s="1"/>
  <c r="S17" i="153"/>
  <c r="AN17" i="153" s="1"/>
  <c r="H17" i="153"/>
  <c r="AI16" i="153"/>
  <c r="S16" i="153"/>
  <c r="S15" i="153" s="1"/>
  <c r="AN16" i="153"/>
  <c r="K16" i="153"/>
  <c r="AO16" i="153" s="1"/>
  <c r="H16" i="153"/>
  <c r="AL16" i="153"/>
  <c r="AK15" i="153"/>
  <c r="AJ15" i="153"/>
  <c r="AJ14" i="153" s="1"/>
  <c r="AH15" i="153"/>
  <c r="AG15" i="153"/>
  <c r="AG14" i="153"/>
  <c r="AF15" i="153"/>
  <c r="AF14" i="153" s="1"/>
  <c r="AE15" i="153"/>
  <c r="AE14" i="153" s="1"/>
  <c r="AD15" i="153"/>
  <c r="AC15" i="153"/>
  <c r="AB15" i="153"/>
  <c r="AA15" i="153"/>
  <c r="AA14" i="153"/>
  <c r="Z15" i="153"/>
  <c r="Z14" i="153" s="1"/>
  <c r="Y15" i="153"/>
  <c r="X15" i="153"/>
  <c r="X14" i="153" s="1"/>
  <c r="W15" i="153"/>
  <c r="W14" i="153" s="1"/>
  <c r="V15" i="153"/>
  <c r="U15" i="153"/>
  <c r="U14" i="153" s="1"/>
  <c r="T15" i="153"/>
  <c r="T14" i="153" s="1"/>
  <c r="R15" i="153"/>
  <c r="Q15" i="153"/>
  <c r="P15" i="153"/>
  <c r="O15" i="153"/>
  <c r="O14" i="153"/>
  <c r="N15" i="153"/>
  <c r="M15" i="153"/>
  <c r="M14" i="153" s="1"/>
  <c r="L15" i="153"/>
  <c r="L14" i="153"/>
  <c r="L5" i="153" s="1"/>
  <c r="J15" i="153"/>
  <c r="J14" i="153" s="1"/>
  <c r="I15" i="153"/>
  <c r="I14" i="153" s="1"/>
  <c r="AK14" i="153"/>
  <c r="AH14" i="153"/>
  <c r="AO13" i="153"/>
  <c r="AM13" i="153"/>
  <c r="S13" i="153"/>
  <c r="K13" i="153"/>
  <c r="AO12" i="153"/>
  <c r="AM12" i="153"/>
  <c r="S12" i="153"/>
  <c r="AN12" i="153"/>
  <c r="K12" i="153"/>
  <c r="H12" i="153"/>
  <c r="AL12" i="153"/>
  <c r="AI11" i="153"/>
  <c r="S11" i="153"/>
  <c r="AN11" i="153" s="1"/>
  <c r="K11" i="153"/>
  <c r="AO11" i="153"/>
  <c r="H11" i="153"/>
  <c r="AM10" i="153"/>
  <c r="S10" i="153"/>
  <c r="AN10" i="153"/>
  <c r="K10" i="153"/>
  <c r="H10" i="153"/>
  <c r="AL10" i="153" s="1"/>
  <c r="AM9" i="153"/>
  <c r="S9" i="153"/>
  <c r="AN9" i="153"/>
  <c r="Q9" i="153"/>
  <c r="K9" i="153"/>
  <c r="K8" i="153" s="1"/>
  <c r="AK8" i="153"/>
  <c r="AK6" i="153" s="1"/>
  <c r="AJ8" i="153"/>
  <c r="AJ6" i="153"/>
  <c r="AH8" i="153"/>
  <c r="AH6" i="153" s="1"/>
  <c r="AG8" i="153"/>
  <c r="AG6" i="153" s="1"/>
  <c r="AF8" i="153"/>
  <c r="AF6" i="153"/>
  <c r="AE8" i="153"/>
  <c r="AE6" i="153" s="1"/>
  <c r="AD8" i="153"/>
  <c r="AD6" i="153"/>
  <c r="AC8" i="153"/>
  <c r="AC6" i="153"/>
  <c r="AB8" i="153"/>
  <c r="AB6" i="153" s="1"/>
  <c r="AA8" i="153"/>
  <c r="AA6" i="153"/>
  <c r="Z8" i="153"/>
  <c r="Z6" i="153"/>
  <c r="Y8" i="153"/>
  <c r="Y6" i="153" s="1"/>
  <c r="X8" i="153"/>
  <c r="X6" i="153"/>
  <c r="W8" i="153"/>
  <c r="W6" i="153"/>
  <c r="V8" i="153"/>
  <c r="V6" i="153"/>
  <c r="U8" i="153"/>
  <c r="T8" i="153"/>
  <c r="S8" i="153"/>
  <c r="R8" i="153"/>
  <c r="P8" i="153"/>
  <c r="O8" i="153"/>
  <c r="O6" i="153" s="1"/>
  <c r="N8" i="153"/>
  <c r="N6" i="153" s="1"/>
  <c r="M8" i="153"/>
  <c r="M6" i="153"/>
  <c r="L8" i="153"/>
  <c r="L6" i="153"/>
  <c r="J8" i="153"/>
  <c r="J6" i="153"/>
  <c r="I8" i="153"/>
  <c r="I6" i="153" s="1"/>
  <c r="AN7" i="153"/>
  <c r="AM7" i="153"/>
  <c r="R7" i="153"/>
  <c r="K7" i="153"/>
  <c r="I7" i="153"/>
  <c r="H7" i="153" s="1"/>
  <c r="U6" i="153"/>
  <c r="T6" i="153"/>
  <c r="P6" i="153"/>
  <c r="AL30" i="154"/>
  <c r="H29" i="154"/>
  <c r="AO86" i="154"/>
  <c r="K115" i="154"/>
  <c r="K84" i="154"/>
  <c r="I97" i="153"/>
  <c r="AM77" i="154"/>
  <c r="AN86" i="154"/>
  <c r="S84" i="154"/>
  <c r="Q8" i="153"/>
  <c r="Q6" i="153" s="1"/>
  <c r="AL54" i="153"/>
  <c r="Q62" i="154"/>
  <c r="AO63" i="154"/>
  <c r="AH90" i="154"/>
  <c r="AH83" i="154"/>
  <c r="S91" i="154"/>
  <c r="S115" i="154" s="1"/>
  <c r="S111" i="153"/>
  <c r="AN19" i="153"/>
  <c r="I62" i="153"/>
  <c r="R14" i="154"/>
  <c r="R5" i="154" s="1"/>
  <c r="L50" i="154"/>
  <c r="T50" i="154"/>
  <c r="AJ50" i="154"/>
  <c r="K98" i="154"/>
  <c r="AO102" i="154"/>
  <c r="AM19" i="153"/>
  <c r="AJ14" i="154"/>
  <c r="AN58" i="154"/>
  <c r="R29" i="153"/>
  <c r="Q83" i="153"/>
  <c r="K15" i="153"/>
  <c r="K14" i="153"/>
  <c r="Y83" i="153"/>
  <c r="H111" i="154"/>
  <c r="AI113" i="154"/>
  <c r="AI98" i="154"/>
  <c r="AM99" i="154"/>
  <c r="AL99" i="154"/>
  <c r="AN51" i="153"/>
  <c r="H98" i="153"/>
  <c r="H97" i="153"/>
  <c r="H131" i="153"/>
  <c r="H116" i="154"/>
  <c r="H18" i="154"/>
  <c r="H14" i="154" s="1"/>
  <c r="AN30" i="154"/>
  <c r="AL86" i="154"/>
  <c r="K113" i="153"/>
  <c r="AN28" i="153"/>
  <c r="AO54" i="153"/>
  <c r="S18" i="154"/>
  <c r="AN18" i="154"/>
  <c r="AL45" i="154"/>
  <c r="AH60" i="154"/>
  <c r="AL96" i="154"/>
  <c r="H113" i="153"/>
  <c r="AM6" i="154"/>
  <c r="W14" i="154"/>
  <c r="AE14" i="154"/>
  <c r="AE5" i="154" s="1"/>
  <c r="AL25" i="153"/>
  <c r="H52" i="153"/>
  <c r="S129" i="153"/>
  <c r="AL129" i="153" s="1"/>
  <c r="AO10" i="154"/>
  <c r="K8" i="154"/>
  <c r="K6" i="154" s="1"/>
  <c r="O14" i="154"/>
  <c r="X14" i="154"/>
  <c r="AF14" i="154"/>
  <c r="AO92" i="154"/>
  <c r="K90" i="154"/>
  <c r="AO90" i="154"/>
  <c r="AI131" i="153"/>
  <c r="AO30" i="154"/>
  <c r="S27" i="153"/>
  <c r="AA29" i="153"/>
  <c r="AI29" i="153"/>
  <c r="J86" i="153"/>
  <c r="AL86" i="153" s="1"/>
  <c r="AI113" i="153"/>
  <c r="S115" i="153"/>
  <c r="AL115" i="153" s="1"/>
  <c r="AN10" i="154"/>
  <c r="S8" i="154"/>
  <c r="H15" i="154"/>
  <c r="P14" i="154"/>
  <c r="AO24" i="154"/>
  <c r="K18" i="154"/>
  <c r="AO18" i="154"/>
  <c r="AN45" i="154"/>
  <c r="S29" i="154"/>
  <c r="AM45" i="154"/>
  <c r="AI29" i="154"/>
  <c r="AM29" i="154" s="1"/>
  <c r="AO77" i="154"/>
  <c r="AL77" i="154"/>
  <c r="AO95" i="154"/>
  <c r="K116" i="154"/>
  <c r="AI120" i="153"/>
  <c r="V83" i="153"/>
  <c r="AL25" i="154"/>
  <c r="K55" i="154"/>
  <c r="AL56" i="154"/>
  <c r="U83" i="154"/>
  <c r="AK83" i="154"/>
  <c r="AK5" i="154"/>
  <c r="H115" i="154"/>
  <c r="AL103" i="154"/>
  <c r="AN99" i="154"/>
  <c r="H62" i="154"/>
  <c r="AL62" i="154"/>
  <c r="AL9" i="153"/>
  <c r="AN84" i="154"/>
  <c r="AO84" i="154"/>
  <c r="AI97" i="154"/>
  <c r="AM97" i="154" s="1"/>
  <c r="AM98" i="154"/>
  <c r="K97" i="154"/>
  <c r="AO97" i="154" s="1"/>
  <c r="AO98" i="154"/>
  <c r="AO55" i="154"/>
  <c r="S6" i="154"/>
  <c r="AL91" i="154"/>
  <c r="H322" i="143"/>
  <c r="H421" i="143" s="1"/>
  <c r="P322" i="143"/>
  <c r="P421" i="143"/>
  <c r="AF322" i="143"/>
  <c r="AH322" i="143"/>
  <c r="AG322" i="143"/>
  <c r="AE322" i="143"/>
  <c r="AD322" i="143"/>
  <c r="AC322" i="143"/>
  <c r="AB322" i="143"/>
  <c r="AA322" i="143"/>
  <c r="Z322" i="143"/>
  <c r="Y322" i="143"/>
  <c r="Y304" i="143" s="1"/>
  <c r="X322" i="143"/>
  <c r="W322" i="143"/>
  <c r="V322" i="143"/>
  <c r="U322" i="143"/>
  <c r="U304" i="143"/>
  <c r="T322" i="143"/>
  <c r="S322" i="143"/>
  <c r="S304" i="143"/>
  <c r="R322" i="143"/>
  <c r="Q322" i="143"/>
  <c r="O322" i="143"/>
  <c r="N322" i="143"/>
  <c r="M322" i="143"/>
  <c r="L322" i="143"/>
  <c r="K322" i="143"/>
  <c r="J322" i="143"/>
  <c r="I322" i="143"/>
  <c r="G322" i="143"/>
  <c r="F322" i="143"/>
  <c r="AM380" i="143"/>
  <c r="AN380" i="143"/>
  <c r="AL380" i="143"/>
  <c r="AF421" i="143"/>
  <c r="AA305" i="143"/>
  <c r="Z305" i="143"/>
  <c r="Z304" i="143"/>
  <c r="X305" i="143"/>
  <c r="S305" i="143"/>
  <c r="Q305" i="143"/>
  <c r="Q304" i="143" s="1"/>
  <c r="N305" i="143"/>
  <c r="N304" i="143" s="1"/>
  <c r="Y305" i="143"/>
  <c r="I305" i="143"/>
  <c r="I304" i="143" s="1"/>
  <c r="AF305" i="143"/>
  <c r="AF419" i="143"/>
  <c r="K305" i="143"/>
  <c r="U305" i="143"/>
  <c r="AC305" i="143"/>
  <c r="Z357" i="143"/>
  <c r="W357" i="143"/>
  <c r="V357" i="143"/>
  <c r="AE368" i="143"/>
  <c r="AE369" i="143"/>
  <c r="AE370" i="143"/>
  <c r="AE371" i="143"/>
  <c r="AE372" i="143"/>
  <c r="AE373" i="143"/>
  <c r="AE374" i="143"/>
  <c r="AE375" i="143"/>
  <c r="AE376" i="143"/>
  <c r="AE367" i="143"/>
  <c r="O368" i="143"/>
  <c r="O369" i="143"/>
  <c r="O370" i="143"/>
  <c r="O371" i="143"/>
  <c r="O372" i="143"/>
  <c r="O373" i="143"/>
  <c r="O374" i="143"/>
  <c r="O375" i="143"/>
  <c r="O376" i="143"/>
  <c r="O367" i="143"/>
  <c r="AF423" i="143"/>
  <c r="P423" i="143"/>
  <c r="H423" i="143"/>
  <c r="AF422" i="143"/>
  <c r="P422" i="143"/>
  <c r="H422" i="143"/>
  <c r="AF420" i="143"/>
  <c r="P420" i="143"/>
  <c r="H420" i="143"/>
  <c r="AF409" i="143"/>
  <c r="P409" i="143"/>
  <c r="H409" i="143"/>
  <c r="AF407" i="143"/>
  <c r="P407" i="143"/>
  <c r="H407" i="143"/>
  <c r="AF406" i="143"/>
  <c r="P406" i="143"/>
  <c r="H406" i="143"/>
  <c r="AF397" i="143"/>
  <c r="P397" i="143"/>
  <c r="AF396" i="143"/>
  <c r="P396" i="143"/>
  <c r="H396" i="143"/>
  <c r="AF389" i="143"/>
  <c r="H389" i="143"/>
  <c r="H398" i="143"/>
  <c r="P398" i="143"/>
  <c r="AF398" i="143"/>
  <c r="AF399" i="143"/>
  <c r="H400" i="143"/>
  <c r="AF400" i="143"/>
  <c r="AM366" i="143"/>
  <c r="AL366" i="143"/>
  <c r="AF153" i="143"/>
  <c r="AF403" i="143" s="1"/>
  <c r="P44" i="143"/>
  <c r="P390" i="143"/>
  <c r="AF44" i="143"/>
  <c r="AF390" i="143" s="1"/>
  <c r="H44" i="143"/>
  <c r="H390" i="143"/>
  <c r="AF98" i="143"/>
  <c r="AF395" i="143"/>
  <c r="H98" i="143"/>
  <c r="H395" i="143" s="1"/>
  <c r="AH98" i="143"/>
  <c r="AG98" i="143"/>
  <c r="AE98" i="143"/>
  <c r="AD98" i="143"/>
  <c r="AC98" i="143"/>
  <c r="AB98" i="143"/>
  <c r="AA98" i="143"/>
  <c r="Z98" i="143"/>
  <c r="Y98" i="143"/>
  <c r="X98" i="143"/>
  <c r="W98" i="143"/>
  <c r="V98" i="143"/>
  <c r="U98" i="143"/>
  <c r="T98" i="143"/>
  <c r="S98" i="143"/>
  <c r="R98" i="143"/>
  <c r="Q98" i="143"/>
  <c r="O98" i="143"/>
  <c r="N98" i="143"/>
  <c r="M98" i="143"/>
  <c r="L98" i="143"/>
  <c r="K98" i="143"/>
  <c r="J98" i="143"/>
  <c r="I98" i="143"/>
  <c r="G98" i="143"/>
  <c r="F98" i="143"/>
  <c r="AH84" i="143"/>
  <c r="AG84" i="143"/>
  <c r="AE84" i="143"/>
  <c r="AD84" i="143"/>
  <c r="AC84" i="143"/>
  <c r="AB84" i="143"/>
  <c r="AA84" i="143"/>
  <c r="Z84" i="143"/>
  <c r="Y84" i="143"/>
  <c r="X84" i="143"/>
  <c r="W84" i="143"/>
  <c r="V84" i="143"/>
  <c r="U84" i="143"/>
  <c r="T84" i="143"/>
  <c r="S84" i="143"/>
  <c r="R84" i="143"/>
  <c r="Q84" i="143"/>
  <c r="O84" i="143"/>
  <c r="N84" i="143"/>
  <c r="M84" i="143"/>
  <c r="L84" i="143"/>
  <c r="K84" i="143"/>
  <c r="J84" i="143"/>
  <c r="I84" i="143"/>
  <c r="G84" i="143"/>
  <c r="F84" i="143"/>
  <c r="AF82" i="143"/>
  <c r="AF393" i="143" s="1"/>
  <c r="P82" i="143"/>
  <c r="P393" i="143"/>
  <c r="AH82" i="143"/>
  <c r="AG82" i="143"/>
  <c r="AE82" i="143"/>
  <c r="AD82" i="143"/>
  <c r="AC82" i="143"/>
  <c r="AB82" i="143"/>
  <c r="AA82" i="143"/>
  <c r="Z82" i="143"/>
  <c r="Y82" i="143"/>
  <c r="X82" i="143"/>
  <c r="W82" i="143"/>
  <c r="V82" i="143"/>
  <c r="U82" i="143"/>
  <c r="T82" i="143"/>
  <c r="S82" i="143"/>
  <c r="R82" i="143"/>
  <c r="Q82" i="143"/>
  <c r="O82" i="143"/>
  <c r="N82" i="143"/>
  <c r="M82" i="143"/>
  <c r="L82" i="143"/>
  <c r="K82" i="143"/>
  <c r="J82" i="143"/>
  <c r="I82" i="143"/>
  <c r="H82" i="143"/>
  <c r="H393" i="143"/>
  <c r="G82" i="143"/>
  <c r="AH71" i="143"/>
  <c r="AG71" i="143"/>
  <c r="AE71" i="143"/>
  <c r="AD71" i="143"/>
  <c r="AC71" i="143"/>
  <c r="AB71" i="143"/>
  <c r="AA71" i="143"/>
  <c r="Z71" i="143"/>
  <c r="Y71" i="143"/>
  <c r="X71" i="143"/>
  <c r="W71" i="143"/>
  <c r="V71" i="143"/>
  <c r="U71" i="143"/>
  <c r="T71" i="143"/>
  <c r="S71" i="143"/>
  <c r="R71" i="143"/>
  <c r="Q71" i="143"/>
  <c r="O71" i="143"/>
  <c r="N71" i="143"/>
  <c r="M71" i="143"/>
  <c r="L71" i="143"/>
  <c r="K71" i="143"/>
  <c r="J71" i="143"/>
  <c r="I71" i="143"/>
  <c r="G71" i="143"/>
  <c r="F71" i="143"/>
  <c r="H60" i="143"/>
  <c r="H391" i="143" s="1"/>
  <c r="P290" i="143"/>
  <c r="P418" i="143"/>
  <c r="AF278" i="143"/>
  <c r="AF417" i="143"/>
  <c r="AF260" i="143"/>
  <c r="AF415" i="143" s="1"/>
  <c r="AF375" i="143"/>
  <c r="P84" i="143"/>
  <c r="P394" i="143" s="1"/>
  <c r="H84" i="143"/>
  <c r="H394" i="143" s="1"/>
  <c r="AA175" i="143"/>
  <c r="F82" i="143"/>
  <c r="AI363" i="143"/>
  <c r="Y189" i="143"/>
  <c r="Y188" i="143"/>
  <c r="W189" i="143"/>
  <c r="W188" i="143" s="1"/>
  <c r="M189" i="143"/>
  <c r="M188" i="143" s="1"/>
  <c r="AF8" i="143"/>
  <c r="P8" i="143"/>
  <c r="P387" i="143"/>
  <c r="B12" i="146"/>
  <c r="B12" i="145"/>
  <c r="AF357" i="143"/>
  <c r="AF426" i="143" s="1"/>
  <c r="H342" i="143"/>
  <c r="H425" i="143"/>
  <c r="AF379" i="143"/>
  <c r="AF377" i="143"/>
  <c r="P377" i="143"/>
  <c r="H377" i="143"/>
  <c r="E368" i="143"/>
  <c r="E373" i="143"/>
  <c r="E374" i="143"/>
  <c r="E376" i="143"/>
  <c r="E377" i="143"/>
  <c r="I10" i="146"/>
  <c r="I20" i="146"/>
  <c r="I4" i="146"/>
  <c r="I10" i="145"/>
  <c r="I4" i="145"/>
  <c r="I20" i="145"/>
  <c r="AE17" i="143"/>
  <c r="AE16" i="143" s="1"/>
  <c r="Z17" i="143"/>
  <c r="Z16" i="143" s="1"/>
  <c r="Y17" i="143"/>
  <c r="Y16" i="143"/>
  <c r="X17" i="143"/>
  <c r="X16" i="143"/>
  <c r="U17" i="143"/>
  <c r="U16" i="143" s="1"/>
  <c r="N17" i="143"/>
  <c r="N16" i="143" s="1"/>
  <c r="G17" i="143"/>
  <c r="G16" i="143"/>
  <c r="C19" i="135"/>
  <c r="K19" i="135" s="1"/>
  <c r="C18" i="135"/>
  <c r="K18" i="135" s="1"/>
  <c r="C17" i="135"/>
  <c r="B17" i="135" s="1"/>
  <c r="J17" i="135" s="1"/>
  <c r="C16" i="135"/>
  <c r="K16" i="135" s="1"/>
  <c r="C15" i="135"/>
  <c r="K15" i="135" s="1"/>
  <c r="C14" i="135"/>
  <c r="K14" i="135" s="1"/>
  <c r="C13" i="135"/>
  <c r="M13" i="145" s="1"/>
  <c r="C12" i="135"/>
  <c r="K12" i="135" s="1"/>
  <c r="C11" i="135"/>
  <c r="M11" i="145" s="1"/>
  <c r="C6" i="135"/>
  <c r="B6" i="135" s="1"/>
  <c r="C7" i="135"/>
  <c r="K7" i="135" s="1"/>
  <c r="C8" i="135"/>
  <c r="M8" i="145" s="1"/>
  <c r="C9" i="135"/>
  <c r="M9" i="145" s="1"/>
  <c r="C5" i="135"/>
  <c r="K5" i="135" s="1"/>
  <c r="C19" i="136"/>
  <c r="M19" i="146" s="1"/>
  <c r="C18" i="136"/>
  <c r="K18" i="136" s="1"/>
  <c r="C17" i="136"/>
  <c r="K17" i="136" s="1"/>
  <c r="C16" i="136"/>
  <c r="B16" i="136" s="1"/>
  <c r="K16" i="146" s="1"/>
  <c r="C15" i="136"/>
  <c r="M15" i="146" s="1"/>
  <c r="C14" i="136"/>
  <c r="B14" i="136" s="1"/>
  <c r="K14" i="146" s="1"/>
  <c r="C13" i="136"/>
  <c r="M13" i="146" s="1"/>
  <c r="C12" i="136"/>
  <c r="K12" i="136" s="1"/>
  <c r="C11" i="136"/>
  <c r="B11" i="136" s="1"/>
  <c r="K11" i="146" s="1"/>
  <c r="C6" i="136"/>
  <c r="M6" i="146" s="1"/>
  <c r="C7" i="136"/>
  <c r="K7" i="136" s="1"/>
  <c r="C8" i="136"/>
  <c r="M8" i="146" s="1"/>
  <c r="C9" i="136"/>
  <c r="M9" i="146" s="1"/>
  <c r="C5" i="136"/>
  <c r="K5" i="136" s="1"/>
  <c r="AI6" i="138"/>
  <c r="AI7" i="138"/>
  <c r="AI9" i="138"/>
  <c r="AI10" i="138"/>
  <c r="AI15" i="138"/>
  <c r="AH160" i="143"/>
  <c r="AF160" i="143"/>
  <c r="AF404" i="143"/>
  <c r="AG160" i="143"/>
  <c r="AE160" i="143"/>
  <c r="AD160" i="143"/>
  <c r="AC160" i="143"/>
  <c r="AB160" i="143"/>
  <c r="AA160" i="143"/>
  <c r="Z160" i="143"/>
  <c r="Y160" i="143"/>
  <c r="X160" i="143"/>
  <c r="W160" i="143"/>
  <c r="V160" i="143"/>
  <c r="U160" i="143"/>
  <c r="T160" i="143"/>
  <c r="S160" i="143"/>
  <c r="R160" i="143"/>
  <c r="Q160" i="143"/>
  <c r="O160" i="143"/>
  <c r="N160" i="143"/>
  <c r="M160" i="143"/>
  <c r="L160" i="143"/>
  <c r="K160" i="143"/>
  <c r="J160" i="143"/>
  <c r="I160" i="143"/>
  <c r="G160" i="143"/>
  <c r="F160" i="143"/>
  <c r="F153" i="143"/>
  <c r="W305" i="143"/>
  <c r="W304" i="143"/>
  <c r="AI16" i="148"/>
  <c r="AF15" i="148"/>
  <c r="P15" i="148"/>
  <c r="H15" i="148"/>
  <c r="AF14" i="148"/>
  <c r="P14" i="148"/>
  <c r="E14" i="148"/>
  <c r="AI14" i="148" s="1"/>
  <c r="H14" i="148"/>
  <c r="AF13" i="148"/>
  <c r="P13" i="148"/>
  <c r="H13" i="148"/>
  <c r="AF12" i="148"/>
  <c r="P12" i="148"/>
  <c r="E12" i="148"/>
  <c r="AI12" i="148"/>
  <c r="H12" i="148"/>
  <c r="AF11" i="148"/>
  <c r="P11" i="148"/>
  <c r="AI11" i="148"/>
  <c r="H11" i="148"/>
  <c r="E11" i="148" s="1"/>
  <c r="AF10" i="148"/>
  <c r="P10" i="148"/>
  <c r="H10" i="148"/>
  <c r="AF9" i="148"/>
  <c r="P9" i="148"/>
  <c r="E9" i="148"/>
  <c r="H9" i="148"/>
  <c r="AH8" i="148"/>
  <c r="AH5" i="148"/>
  <c r="AG8" i="148"/>
  <c r="AG5" i="148"/>
  <c r="AE8" i="148"/>
  <c r="AE5" i="148" s="1"/>
  <c r="AD8" i="148"/>
  <c r="AD5" i="148" s="1"/>
  <c r="AC8" i="148"/>
  <c r="AC5" i="148" s="1"/>
  <c r="AB8" i="148"/>
  <c r="AB5" i="148"/>
  <c r="AA8" i="148"/>
  <c r="AA5" i="148"/>
  <c r="Z8" i="148"/>
  <c r="Z5" i="148" s="1"/>
  <c r="Y8" i="148"/>
  <c r="X8" i="148"/>
  <c r="X5" i="148" s="1"/>
  <c r="W8" i="148"/>
  <c r="W5" i="148" s="1"/>
  <c r="V8" i="148"/>
  <c r="V5" i="148" s="1"/>
  <c r="U8" i="148"/>
  <c r="U5" i="148" s="1"/>
  <c r="T8" i="148"/>
  <c r="T5" i="148"/>
  <c r="S8" i="148"/>
  <c r="R8" i="148"/>
  <c r="R5" i="148" s="1"/>
  <c r="Q8" i="148"/>
  <c r="Q5" i="148" s="1"/>
  <c r="O8" i="148"/>
  <c r="O5" i="148"/>
  <c r="N8" i="148"/>
  <c r="M8" i="148"/>
  <c r="M5" i="148" s="1"/>
  <c r="L8" i="148"/>
  <c r="K8" i="148"/>
  <c r="J8" i="148"/>
  <c r="I8" i="148"/>
  <c r="I5" i="148"/>
  <c r="G8" i="148"/>
  <c r="G5" i="148" s="1"/>
  <c r="F8" i="148"/>
  <c r="F5" i="148"/>
  <c r="AF7" i="148"/>
  <c r="P7" i="148"/>
  <c r="H7" i="148"/>
  <c r="E7" i="148" s="1"/>
  <c r="AI7" i="148" s="1"/>
  <c r="AF6" i="148"/>
  <c r="P6" i="148"/>
  <c r="H6" i="148"/>
  <c r="Y5" i="148"/>
  <c r="S5" i="148"/>
  <c r="N5" i="148"/>
  <c r="L5" i="148"/>
  <c r="K5" i="148"/>
  <c r="J5" i="148"/>
  <c r="AF215" i="143"/>
  <c r="AF412" i="143" s="1"/>
  <c r="AF374" i="143"/>
  <c r="N215" i="143"/>
  <c r="G175" i="143"/>
  <c r="I175" i="143"/>
  <c r="J175" i="143"/>
  <c r="K175" i="143"/>
  <c r="L175" i="143"/>
  <c r="M175" i="143"/>
  <c r="N175" i="143"/>
  <c r="O175" i="143"/>
  <c r="Q175" i="143"/>
  <c r="R175" i="143"/>
  <c r="S175" i="143"/>
  <c r="T175" i="143"/>
  <c r="U175" i="143"/>
  <c r="W175" i="143"/>
  <c r="X175" i="143"/>
  <c r="Y175" i="143"/>
  <c r="Z175" i="143"/>
  <c r="AB175" i="143"/>
  <c r="AC175" i="143"/>
  <c r="AD175" i="143"/>
  <c r="AE175" i="143"/>
  <c r="AG175" i="143"/>
  <c r="AH175" i="143"/>
  <c r="V175" i="143"/>
  <c r="AF371" i="147"/>
  <c r="P371" i="147"/>
  <c r="E371" i="147"/>
  <c r="AI371" i="147" s="1"/>
  <c r="H371" i="147"/>
  <c r="AF370" i="147"/>
  <c r="P370" i="147"/>
  <c r="H370" i="147"/>
  <c r="AF369" i="147"/>
  <c r="P369" i="147"/>
  <c r="H369" i="147"/>
  <c r="AF368" i="147"/>
  <c r="P368" i="147"/>
  <c r="H368" i="147"/>
  <c r="AF367" i="147"/>
  <c r="P367" i="147"/>
  <c r="H367" i="147"/>
  <c r="AH366" i="147"/>
  <c r="AH349" i="147"/>
  <c r="AG366" i="147"/>
  <c r="AE366" i="147"/>
  <c r="AD366" i="147"/>
  <c r="AC366" i="147"/>
  <c r="AB366" i="147"/>
  <c r="AA366" i="147"/>
  <c r="Z366" i="147"/>
  <c r="Z349" i="147" s="1"/>
  <c r="Y366" i="147"/>
  <c r="X366" i="147"/>
  <c r="W366" i="147"/>
  <c r="V366" i="147"/>
  <c r="U366" i="147"/>
  <c r="U349" i="147"/>
  <c r="T366" i="147"/>
  <c r="S366" i="147"/>
  <c r="R366" i="147"/>
  <c r="Q366" i="147"/>
  <c r="O366" i="147"/>
  <c r="O349" i="147"/>
  <c r="N366" i="147"/>
  <c r="M366" i="147"/>
  <c r="L366" i="147"/>
  <c r="K366" i="147"/>
  <c r="K349" i="147" s="1"/>
  <c r="J366" i="147"/>
  <c r="J349" i="147" s="1"/>
  <c r="I366" i="147"/>
  <c r="G366" i="147"/>
  <c r="F366" i="147"/>
  <c r="AF365" i="147"/>
  <c r="P365" i="147"/>
  <c r="H365" i="147"/>
  <c r="AF364" i="147"/>
  <c r="P364" i="147"/>
  <c r="H364" i="147"/>
  <c r="AF363" i="147"/>
  <c r="P363" i="147"/>
  <c r="E363" i="147" s="1"/>
  <c r="AI363" i="147" s="1"/>
  <c r="H363" i="147"/>
  <c r="AF362" i="147"/>
  <c r="P362" i="147"/>
  <c r="H362" i="147"/>
  <c r="E362" i="147" s="1"/>
  <c r="AI362" i="147" s="1"/>
  <c r="AF361" i="147"/>
  <c r="P361" i="147"/>
  <c r="H361" i="147"/>
  <c r="E361" i="147" s="1"/>
  <c r="AI361" i="147" s="1"/>
  <c r="AF360" i="147"/>
  <c r="P360" i="147"/>
  <c r="H360" i="147"/>
  <c r="E360" i="147" s="1"/>
  <c r="AI360" i="147" s="1"/>
  <c r="AF359" i="147"/>
  <c r="P359" i="147"/>
  <c r="H359" i="147"/>
  <c r="AF358" i="147"/>
  <c r="P358" i="147"/>
  <c r="H358" i="147"/>
  <c r="AF357" i="147"/>
  <c r="P357" i="147"/>
  <c r="H357" i="147"/>
  <c r="AF356" i="147"/>
  <c r="P356" i="147"/>
  <c r="H356" i="147"/>
  <c r="AF355" i="147"/>
  <c r="P355" i="147"/>
  <c r="E355" i="147" s="1"/>
  <c r="AI355" i="147" s="1"/>
  <c r="H355" i="147"/>
  <c r="AF354" i="147"/>
  <c r="P354" i="147"/>
  <c r="H354" i="147"/>
  <c r="AF353" i="147"/>
  <c r="P353" i="147"/>
  <c r="H353" i="147"/>
  <c r="AF352" i="147"/>
  <c r="E352" i="147" s="1"/>
  <c r="AI352" i="147" s="1"/>
  <c r="P352" i="147"/>
  <c r="H352" i="147"/>
  <c r="AF351" i="147"/>
  <c r="P351" i="147"/>
  <c r="H351" i="147"/>
  <c r="AH350" i="147"/>
  <c r="AG350" i="147"/>
  <c r="AG349" i="147"/>
  <c r="AE350" i="147"/>
  <c r="AD350" i="147"/>
  <c r="AD349" i="147" s="1"/>
  <c r="AC350" i="147"/>
  <c r="AC349" i="147"/>
  <c r="AB350" i="147"/>
  <c r="AB349" i="147" s="1"/>
  <c r="AA350" i="147"/>
  <c r="AA349" i="147"/>
  <c r="Z350" i="147"/>
  <c r="Y350" i="147"/>
  <c r="Y349" i="147" s="1"/>
  <c r="X350" i="147"/>
  <c r="X349" i="147"/>
  <c r="W350" i="147"/>
  <c r="V350" i="147"/>
  <c r="U350" i="147"/>
  <c r="T350" i="147"/>
  <c r="S350" i="147"/>
  <c r="S349" i="147"/>
  <c r="R350" i="147"/>
  <c r="Q350" i="147"/>
  <c r="Q349" i="147"/>
  <c r="O350" i="147"/>
  <c r="N350" i="147"/>
  <c r="N349" i="147" s="1"/>
  <c r="M350" i="147"/>
  <c r="M349" i="147" s="1"/>
  <c r="L350" i="147"/>
  <c r="K350" i="147"/>
  <c r="J350" i="147"/>
  <c r="I350" i="147"/>
  <c r="G350" i="147"/>
  <c r="G349" i="147"/>
  <c r="F350" i="147"/>
  <c r="AF348" i="147"/>
  <c r="E348" i="147" s="1"/>
  <c r="AI348" i="147" s="1"/>
  <c r="P348" i="147"/>
  <c r="H348" i="147"/>
  <c r="AF347" i="147"/>
  <c r="P347" i="147"/>
  <c r="H347" i="147"/>
  <c r="AF346" i="147"/>
  <c r="P346" i="147"/>
  <c r="H346" i="147"/>
  <c r="AH345" i="147"/>
  <c r="AG345" i="147"/>
  <c r="AE345" i="147"/>
  <c r="AD345" i="147"/>
  <c r="AC345" i="147"/>
  <c r="AB345" i="147"/>
  <c r="AA345" i="147"/>
  <c r="Z345" i="147"/>
  <c r="Y345" i="147"/>
  <c r="X345" i="147"/>
  <c r="W345" i="147"/>
  <c r="V345" i="147"/>
  <c r="U345" i="147"/>
  <c r="T345" i="147"/>
  <c r="S345" i="147"/>
  <c r="R345" i="147"/>
  <c r="Q345" i="147"/>
  <c r="O345" i="147"/>
  <c r="N345" i="147"/>
  <c r="M345" i="147"/>
  <c r="L345" i="147"/>
  <c r="K345" i="147"/>
  <c r="J345" i="147"/>
  <c r="I345" i="147"/>
  <c r="G345" i="147"/>
  <c r="F345" i="147"/>
  <c r="AF344" i="147"/>
  <c r="P344" i="147"/>
  <c r="H344" i="147"/>
  <c r="AF343" i="147"/>
  <c r="P343" i="147"/>
  <c r="H343" i="147"/>
  <c r="AF342" i="147"/>
  <c r="P342" i="147"/>
  <c r="H342" i="147"/>
  <c r="E342" i="147"/>
  <c r="AI342" i="147" s="1"/>
  <c r="AF341" i="147"/>
  <c r="E341" i="147"/>
  <c r="AI341" i="147" s="1"/>
  <c r="P341" i="147"/>
  <c r="H341" i="147"/>
  <c r="AF340" i="147"/>
  <c r="P340" i="147"/>
  <c r="H340" i="147"/>
  <c r="AF339" i="147"/>
  <c r="P339" i="147"/>
  <c r="H339" i="147"/>
  <c r="AF338" i="147"/>
  <c r="P338" i="147"/>
  <c r="H338" i="147"/>
  <c r="AF337" i="147"/>
  <c r="P337" i="147"/>
  <c r="H337" i="147"/>
  <c r="E337" i="147"/>
  <c r="AI337" i="147"/>
  <c r="AF336" i="147"/>
  <c r="P336" i="147"/>
  <c r="H336" i="147"/>
  <c r="AF335" i="147"/>
  <c r="P335" i="147"/>
  <c r="E335" i="147" s="1"/>
  <c r="AI335" i="147" s="1"/>
  <c r="H335" i="147"/>
  <c r="AF334" i="147"/>
  <c r="P334" i="147"/>
  <c r="H334" i="147"/>
  <c r="AI333" i="147"/>
  <c r="AF333" i="147"/>
  <c r="P333" i="147"/>
  <c r="H333" i="147"/>
  <c r="E333" i="147" s="1"/>
  <c r="AF332" i="147"/>
  <c r="P332" i="147"/>
  <c r="H332" i="147"/>
  <c r="AF331" i="147"/>
  <c r="E331" i="147" s="1"/>
  <c r="AI331" i="147" s="1"/>
  <c r="P331" i="147"/>
  <c r="H331" i="147"/>
  <c r="AF330" i="147"/>
  <c r="P330" i="147"/>
  <c r="H330" i="147"/>
  <c r="AH329" i="147"/>
  <c r="AG329" i="147"/>
  <c r="AE329" i="147"/>
  <c r="AE313" i="147" s="1"/>
  <c r="AD329" i="147"/>
  <c r="AC329" i="147"/>
  <c r="AB329" i="147"/>
  <c r="AB313" i="147" s="1"/>
  <c r="AA329" i="147"/>
  <c r="Z329" i="147"/>
  <c r="Y329" i="147"/>
  <c r="X329" i="147"/>
  <c r="W329" i="147"/>
  <c r="W313" i="147" s="1"/>
  <c r="V329" i="147"/>
  <c r="U329" i="147"/>
  <c r="T329" i="147"/>
  <c r="S329" i="147"/>
  <c r="S313" i="147" s="1"/>
  <c r="R329" i="147"/>
  <c r="Q329" i="147"/>
  <c r="O329" i="147"/>
  <c r="N329" i="147"/>
  <c r="N313" i="147"/>
  <c r="M329" i="147"/>
  <c r="L329" i="147"/>
  <c r="L313" i="147"/>
  <c r="K329" i="147"/>
  <c r="J329" i="147"/>
  <c r="I329" i="147"/>
  <c r="G329" i="147"/>
  <c r="F329" i="147"/>
  <c r="AF328" i="147"/>
  <c r="E328" i="147" s="1"/>
  <c r="AI328" i="147" s="1"/>
  <c r="P328" i="147"/>
  <c r="H328" i="147"/>
  <c r="AF327" i="147"/>
  <c r="P327" i="147"/>
  <c r="H327" i="147"/>
  <c r="AF326" i="147"/>
  <c r="P326" i="147"/>
  <c r="H326" i="147"/>
  <c r="E326" i="147" s="1"/>
  <c r="AI326" i="147" s="1"/>
  <c r="AF325" i="147"/>
  <c r="P325" i="147"/>
  <c r="E325" i="147"/>
  <c r="AI325" i="147"/>
  <c r="H325" i="147"/>
  <c r="AF324" i="147"/>
  <c r="P324" i="147"/>
  <c r="H324" i="147"/>
  <c r="AF323" i="147"/>
  <c r="P323" i="147"/>
  <c r="H323" i="147"/>
  <c r="E323" i="147" s="1"/>
  <c r="AI323" i="147" s="1"/>
  <c r="AF322" i="147"/>
  <c r="P322" i="147"/>
  <c r="H322" i="147"/>
  <c r="E322" i="147" s="1"/>
  <c r="AI322" i="147" s="1"/>
  <c r="AF321" i="147"/>
  <c r="P321" i="147"/>
  <c r="H321" i="147"/>
  <c r="AF320" i="147"/>
  <c r="P320" i="147"/>
  <c r="E320" i="147" s="1"/>
  <c r="AI320" i="147" s="1"/>
  <c r="H320" i="147"/>
  <c r="AF319" i="147"/>
  <c r="P319" i="147"/>
  <c r="H319" i="147"/>
  <c r="E319" i="147" s="1"/>
  <c r="AI319" i="147" s="1"/>
  <c r="AF318" i="147"/>
  <c r="P318" i="147"/>
  <c r="H318" i="147"/>
  <c r="E318" i="147" s="1"/>
  <c r="AI318" i="147" s="1"/>
  <c r="AF317" i="147"/>
  <c r="P317" i="147"/>
  <c r="H317" i="147"/>
  <c r="AF316" i="147"/>
  <c r="P316" i="147"/>
  <c r="H316" i="147"/>
  <c r="AF315" i="147"/>
  <c r="P315" i="147"/>
  <c r="H315" i="147"/>
  <c r="E315" i="147"/>
  <c r="AH314" i="147"/>
  <c r="AH313" i="147"/>
  <c r="AG314" i="147"/>
  <c r="AE314" i="147"/>
  <c r="AD314" i="147"/>
  <c r="AD313" i="147"/>
  <c r="AC314" i="147"/>
  <c r="AB314" i="147"/>
  <c r="AA314" i="147"/>
  <c r="AA313" i="147"/>
  <c r="Z314" i="147"/>
  <c r="Z313" i="147" s="1"/>
  <c r="Y314" i="147"/>
  <c r="Y313" i="147" s="1"/>
  <c r="X314" i="147"/>
  <c r="X313" i="147" s="1"/>
  <c r="W314" i="147"/>
  <c r="V314" i="147"/>
  <c r="U314" i="147"/>
  <c r="T314" i="147"/>
  <c r="S314" i="147"/>
  <c r="R314" i="147"/>
  <c r="R313" i="147" s="1"/>
  <c r="Q314" i="147"/>
  <c r="O314" i="147"/>
  <c r="O313" i="147" s="1"/>
  <c r="N314" i="147"/>
  <c r="M314" i="147"/>
  <c r="L314" i="147"/>
  <c r="K314" i="147"/>
  <c r="K313" i="147" s="1"/>
  <c r="J314" i="147"/>
  <c r="J313" i="147"/>
  <c r="I314" i="147"/>
  <c r="G314" i="147"/>
  <c r="G313" i="147" s="1"/>
  <c r="F314" i="147"/>
  <c r="AG313" i="147"/>
  <c r="Q313" i="147"/>
  <c r="AF312" i="147"/>
  <c r="E312" i="147" s="1"/>
  <c r="AI312" i="147" s="1"/>
  <c r="P312" i="147"/>
  <c r="H312" i="147"/>
  <c r="AF311" i="147"/>
  <c r="P311" i="147"/>
  <c r="H311" i="147"/>
  <c r="AF310" i="147"/>
  <c r="P310" i="147"/>
  <c r="E310" i="147" s="1"/>
  <c r="AI310" i="147" s="1"/>
  <c r="H310" i="147"/>
  <c r="AF309" i="147"/>
  <c r="P309" i="147"/>
  <c r="H309" i="147"/>
  <c r="AF308" i="147"/>
  <c r="P308" i="147"/>
  <c r="E308" i="147"/>
  <c r="AI308" i="147" s="1"/>
  <c r="H308" i="147"/>
  <c r="AF307" i="147"/>
  <c r="P307" i="147"/>
  <c r="H307" i="147"/>
  <c r="AF306" i="147"/>
  <c r="P306" i="147"/>
  <c r="H306" i="147"/>
  <c r="E306" i="147" s="1"/>
  <c r="AI306" i="147" s="1"/>
  <c r="AF305" i="147"/>
  <c r="P305" i="147"/>
  <c r="E305" i="147" s="1"/>
  <c r="AI305" i="147" s="1"/>
  <c r="H305" i="147"/>
  <c r="AF304" i="147"/>
  <c r="E304" i="147"/>
  <c r="AI304" i="147" s="1"/>
  <c r="P304" i="147"/>
  <c r="H304" i="147"/>
  <c r="AF303" i="147"/>
  <c r="P303" i="147"/>
  <c r="H303" i="147"/>
  <c r="AF302" i="147"/>
  <c r="P302" i="147"/>
  <c r="H302" i="147"/>
  <c r="AF301" i="147"/>
  <c r="P301" i="147"/>
  <c r="H301" i="147"/>
  <c r="AF300" i="147"/>
  <c r="P300" i="147"/>
  <c r="H300" i="147"/>
  <c r="E300" i="147" s="1"/>
  <c r="AI300" i="147"/>
  <c r="AF299" i="147"/>
  <c r="P299" i="147"/>
  <c r="H299" i="147"/>
  <c r="AH298" i="147"/>
  <c r="AG298" i="147"/>
  <c r="AE298" i="147"/>
  <c r="AD298" i="147"/>
  <c r="AC298" i="147"/>
  <c r="AB298" i="147"/>
  <c r="AA298" i="147"/>
  <c r="Z298" i="147"/>
  <c r="Y298" i="147"/>
  <c r="X298" i="147"/>
  <c r="W298" i="147"/>
  <c r="V298" i="147"/>
  <c r="U298" i="147"/>
  <c r="T298" i="147"/>
  <c r="S298" i="147"/>
  <c r="R298" i="147"/>
  <c r="Q298" i="147"/>
  <c r="O298" i="147"/>
  <c r="N298" i="147"/>
  <c r="M298" i="147"/>
  <c r="L298" i="147"/>
  <c r="K298" i="147"/>
  <c r="J298" i="147"/>
  <c r="I298" i="147"/>
  <c r="G298" i="147"/>
  <c r="F298" i="147"/>
  <c r="AF297" i="147"/>
  <c r="P297" i="147"/>
  <c r="H297" i="147"/>
  <c r="AF296" i="147"/>
  <c r="P296" i="147"/>
  <c r="H296" i="147"/>
  <c r="AF295" i="147"/>
  <c r="P295" i="147"/>
  <c r="H295" i="147"/>
  <c r="AF294" i="147"/>
  <c r="P294" i="147"/>
  <c r="H294" i="147"/>
  <c r="E294" i="147" s="1"/>
  <c r="AI294" i="147" s="1"/>
  <c r="AF293" i="147"/>
  <c r="P293" i="147"/>
  <c r="E293" i="147"/>
  <c r="AI293" i="147"/>
  <c r="H293" i="147"/>
  <c r="AF292" i="147"/>
  <c r="P292" i="147"/>
  <c r="H292" i="147"/>
  <c r="E292" i="147"/>
  <c r="AI292" i="147" s="1"/>
  <c r="AF291" i="147"/>
  <c r="P291" i="147"/>
  <c r="H291" i="147"/>
  <c r="E291" i="147" s="1"/>
  <c r="AI291" i="147"/>
  <c r="AF290" i="147"/>
  <c r="P290" i="147"/>
  <c r="H290" i="147"/>
  <c r="E290" i="147" s="1"/>
  <c r="AI290" i="147" s="1"/>
  <c r="AF289" i="147"/>
  <c r="P289" i="147"/>
  <c r="H289" i="147"/>
  <c r="AF288" i="147"/>
  <c r="E288" i="147" s="1"/>
  <c r="AI288" i="147" s="1"/>
  <c r="P288" i="147"/>
  <c r="H288" i="147"/>
  <c r="AF287" i="147"/>
  <c r="P287" i="147"/>
  <c r="E287" i="147" s="1"/>
  <c r="AI287" i="147" s="1"/>
  <c r="H287" i="147"/>
  <c r="AF286" i="147"/>
  <c r="P286" i="147"/>
  <c r="H286" i="147"/>
  <c r="AF285" i="147"/>
  <c r="P285" i="147"/>
  <c r="H285" i="147"/>
  <c r="E285" i="147"/>
  <c r="AI285" i="147" s="1"/>
  <c r="AF284" i="147"/>
  <c r="P284" i="147"/>
  <c r="H284" i="147"/>
  <c r="AH283" i="147"/>
  <c r="AG283" i="147"/>
  <c r="AE283" i="147"/>
  <c r="AD283" i="147"/>
  <c r="AC283" i="147"/>
  <c r="AB283" i="147"/>
  <c r="AA283" i="147"/>
  <c r="Z283" i="147"/>
  <c r="Y283" i="147"/>
  <c r="X283" i="147"/>
  <c r="W283" i="147"/>
  <c r="V283" i="147"/>
  <c r="U283" i="147"/>
  <c r="T283" i="147"/>
  <c r="S283" i="147"/>
  <c r="R283" i="147"/>
  <c r="Q283" i="147"/>
  <c r="O283" i="147"/>
  <c r="N283" i="147"/>
  <c r="M283" i="147"/>
  <c r="L283" i="147"/>
  <c r="K283" i="147"/>
  <c r="J283" i="147"/>
  <c r="I283" i="147"/>
  <c r="G283" i="147"/>
  <c r="F283" i="147"/>
  <c r="AF282" i="147"/>
  <c r="E282" i="147"/>
  <c r="AI282" i="147" s="1"/>
  <c r="P282" i="147"/>
  <c r="H282" i="147"/>
  <c r="AF281" i="147"/>
  <c r="P281" i="147"/>
  <c r="H281" i="147"/>
  <c r="AF280" i="147"/>
  <c r="E280" i="147" s="1"/>
  <c r="AI280" i="147" s="1"/>
  <c r="P280" i="147"/>
  <c r="H280" i="147"/>
  <c r="AF279" i="147"/>
  <c r="P279" i="147"/>
  <c r="H279" i="147"/>
  <c r="AF278" i="147"/>
  <c r="P278" i="147"/>
  <c r="H278" i="147"/>
  <c r="E278" i="147"/>
  <c r="AI278" i="147"/>
  <c r="AF277" i="147"/>
  <c r="P277" i="147"/>
  <c r="H277" i="147"/>
  <c r="AF276" i="147"/>
  <c r="P276" i="147"/>
  <c r="H276" i="147"/>
  <c r="AF275" i="147"/>
  <c r="P275" i="147"/>
  <c r="H275" i="147"/>
  <c r="E275" i="147" s="1"/>
  <c r="AI275" i="147" s="1"/>
  <c r="AF274" i="147"/>
  <c r="P274" i="147"/>
  <c r="H274" i="147"/>
  <c r="E274" i="147" s="1"/>
  <c r="AI274" i="147" s="1"/>
  <c r="AF273" i="147"/>
  <c r="P273" i="147"/>
  <c r="H273" i="147"/>
  <c r="AF272" i="147"/>
  <c r="P272" i="147"/>
  <c r="H272" i="147"/>
  <c r="E272" i="147"/>
  <c r="AI272" i="147"/>
  <c r="AF271" i="147"/>
  <c r="P271" i="147"/>
  <c r="H271" i="147"/>
  <c r="AF270" i="147"/>
  <c r="E270" i="147" s="1"/>
  <c r="AI270" i="147" s="1"/>
  <c r="P270" i="147"/>
  <c r="H270" i="147"/>
  <c r="AF269" i="147"/>
  <c r="P269" i="147"/>
  <c r="H269" i="147"/>
  <c r="E269" i="147" s="1"/>
  <c r="AI269" i="147" s="1"/>
  <c r="AF268" i="147"/>
  <c r="E268" i="147" s="1"/>
  <c r="AI268" i="147" s="1"/>
  <c r="P268" i="147"/>
  <c r="H268" i="147"/>
  <c r="AF267" i="147"/>
  <c r="P267" i="147"/>
  <c r="H267" i="147"/>
  <c r="AH266" i="147"/>
  <c r="AG266" i="147"/>
  <c r="AE266" i="147"/>
  <c r="AD266" i="147"/>
  <c r="AC266" i="147"/>
  <c r="AB266" i="147"/>
  <c r="AA266" i="147"/>
  <c r="Z266" i="147"/>
  <c r="Y266" i="147"/>
  <c r="X266" i="147"/>
  <c r="W266" i="147"/>
  <c r="V266" i="147"/>
  <c r="U266" i="147"/>
  <c r="T266" i="147"/>
  <c r="S266" i="147"/>
  <c r="R266" i="147"/>
  <c r="Q266" i="147"/>
  <c r="O266" i="147"/>
  <c r="N266" i="147"/>
  <c r="M266" i="147"/>
  <c r="L266" i="147"/>
  <c r="K266" i="147"/>
  <c r="J266" i="147"/>
  <c r="I266" i="147"/>
  <c r="G266" i="147"/>
  <c r="F266" i="147"/>
  <c r="AF265" i="147"/>
  <c r="E265" i="147"/>
  <c r="AI265" i="147"/>
  <c r="P265" i="147"/>
  <c r="H265" i="147"/>
  <c r="AF264" i="147"/>
  <c r="P264" i="147"/>
  <c r="H264" i="147"/>
  <c r="E264" i="147"/>
  <c r="AI264" i="147" s="1"/>
  <c r="AF263" i="147"/>
  <c r="P263" i="147"/>
  <c r="H263" i="147"/>
  <c r="E263" i="147" s="1"/>
  <c r="AI263" i="147" s="1"/>
  <c r="AF262" i="147"/>
  <c r="P262" i="147"/>
  <c r="H262" i="147"/>
  <c r="AF261" i="147"/>
  <c r="P261" i="147"/>
  <c r="H261" i="147"/>
  <c r="AH260" i="147"/>
  <c r="AG260" i="147"/>
  <c r="AE260" i="147"/>
  <c r="AD260" i="147"/>
  <c r="AC260" i="147"/>
  <c r="AB260" i="147"/>
  <c r="AA260" i="147"/>
  <c r="Z260" i="147"/>
  <c r="Y260" i="147"/>
  <c r="X260" i="147"/>
  <c r="W260" i="147"/>
  <c r="V260" i="147"/>
  <c r="U260" i="147"/>
  <c r="U224" i="147" s="1"/>
  <c r="T260" i="147"/>
  <c r="S260" i="147"/>
  <c r="R260" i="147"/>
  <c r="Q260" i="147"/>
  <c r="O260" i="147"/>
  <c r="N260" i="147"/>
  <c r="M260" i="147"/>
  <c r="L260" i="147"/>
  <c r="K260" i="147"/>
  <c r="J260" i="147"/>
  <c r="J224" i="147" s="1"/>
  <c r="I260" i="147"/>
  <c r="G260" i="147"/>
  <c r="F260" i="147"/>
  <c r="AF259" i="147"/>
  <c r="P259" i="147"/>
  <c r="H259" i="147"/>
  <c r="E259" i="147" s="1"/>
  <c r="AI259" i="147"/>
  <c r="AF258" i="147"/>
  <c r="E258" i="147" s="1"/>
  <c r="P258" i="147"/>
  <c r="H258" i="147"/>
  <c r="AI258" i="147"/>
  <c r="AF257" i="147"/>
  <c r="P257" i="147"/>
  <c r="H257" i="147"/>
  <c r="AF256" i="147"/>
  <c r="P256" i="147"/>
  <c r="H256" i="147"/>
  <c r="AF255" i="147"/>
  <c r="P255" i="147"/>
  <c r="E255" i="147" s="1"/>
  <c r="H255" i="147"/>
  <c r="AI255" i="147"/>
  <c r="AF254" i="147"/>
  <c r="E254" i="147" s="1"/>
  <c r="AI254" i="147" s="1"/>
  <c r="P254" i="147"/>
  <c r="H254" i="147"/>
  <c r="AF253" i="147"/>
  <c r="P253" i="147"/>
  <c r="H253" i="147"/>
  <c r="AF252" i="147"/>
  <c r="P252" i="147"/>
  <c r="H252" i="147"/>
  <c r="AF251" i="147"/>
  <c r="P251" i="147"/>
  <c r="H251" i="147"/>
  <c r="E251" i="147" s="1"/>
  <c r="AI251" i="147" s="1"/>
  <c r="AF250" i="147"/>
  <c r="P250" i="147"/>
  <c r="H250" i="147"/>
  <c r="E250" i="147"/>
  <c r="AI250" i="147"/>
  <c r="AF249" i="147"/>
  <c r="P249" i="147"/>
  <c r="H249" i="147"/>
  <c r="AF248" i="147"/>
  <c r="P248" i="147"/>
  <c r="P247" i="147" s="1"/>
  <c r="H248" i="147"/>
  <c r="AH247" i="147"/>
  <c r="AG247" i="147"/>
  <c r="AE247" i="147"/>
  <c r="AD247" i="147"/>
  <c r="AD224" i="147" s="1"/>
  <c r="AC247" i="147"/>
  <c r="AB247" i="147"/>
  <c r="AA247" i="147"/>
  <c r="Z247" i="147"/>
  <c r="Y247" i="147"/>
  <c r="X247" i="147"/>
  <c r="W247" i="147"/>
  <c r="V247" i="147"/>
  <c r="U247" i="147"/>
  <c r="T247" i="147"/>
  <c r="S247" i="147"/>
  <c r="R247" i="147"/>
  <c r="Q247" i="147"/>
  <c r="O247" i="147"/>
  <c r="N247" i="147"/>
  <c r="N224" i="147" s="1"/>
  <c r="M247" i="147"/>
  <c r="L247" i="147"/>
  <c r="K247" i="147"/>
  <c r="J247" i="147"/>
  <c r="I247" i="147"/>
  <c r="G247" i="147"/>
  <c r="F247" i="147"/>
  <c r="AF246" i="147"/>
  <c r="P246" i="147"/>
  <c r="H246" i="147"/>
  <c r="AF245" i="147"/>
  <c r="P245" i="147"/>
  <c r="H245" i="147"/>
  <c r="AF244" i="147"/>
  <c r="P244" i="147"/>
  <c r="H244" i="147"/>
  <c r="AF243" i="147"/>
  <c r="P243" i="147"/>
  <c r="E243" i="147"/>
  <c r="AI243" i="147"/>
  <c r="H243" i="147"/>
  <c r="AF242" i="147"/>
  <c r="P242" i="147"/>
  <c r="H242" i="147"/>
  <c r="AF241" i="147"/>
  <c r="P241" i="147"/>
  <c r="E241" i="147" s="1"/>
  <c r="AI241" i="147" s="1"/>
  <c r="H241" i="147"/>
  <c r="AF240" i="147"/>
  <c r="E240" i="147"/>
  <c r="AI240" i="147" s="1"/>
  <c r="P240" i="147"/>
  <c r="H240" i="147"/>
  <c r="AF239" i="147"/>
  <c r="P239" i="147"/>
  <c r="H239" i="147"/>
  <c r="AF238" i="147"/>
  <c r="P238" i="147"/>
  <c r="H238" i="147"/>
  <c r="AF237" i="147"/>
  <c r="P237" i="147"/>
  <c r="E237" i="147" s="1"/>
  <c r="AI237" i="147" s="1"/>
  <c r="H237" i="147"/>
  <c r="AF236" i="147"/>
  <c r="P236" i="147"/>
  <c r="H236" i="147"/>
  <c r="E236" i="147" s="1"/>
  <c r="AI236" i="147" s="1"/>
  <c r="AF235" i="147"/>
  <c r="P235" i="147"/>
  <c r="E235" i="147"/>
  <c r="AI235" i="147"/>
  <c r="H235" i="147"/>
  <c r="AF234" i="147"/>
  <c r="P234" i="147"/>
  <c r="H234" i="147"/>
  <c r="AF233" i="147"/>
  <c r="P233" i="147"/>
  <c r="E233" i="147" s="1"/>
  <c r="AI233" i="147" s="1"/>
  <c r="H233" i="147"/>
  <c r="AF232" i="147"/>
  <c r="P232" i="147"/>
  <c r="H232" i="147"/>
  <c r="E232" i="147" s="1"/>
  <c r="AI232" i="147" s="1"/>
  <c r="AF231" i="147"/>
  <c r="P231" i="147"/>
  <c r="H231" i="147"/>
  <c r="E231" i="147"/>
  <c r="AI231" i="147" s="1"/>
  <c r="AF230" i="147"/>
  <c r="P230" i="147"/>
  <c r="E230" i="147"/>
  <c r="AI230" i="147" s="1"/>
  <c r="H230" i="147"/>
  <c r="AF229" i="147"/>
  <c r="P229" i="147"/>
  <c r="H229" i="147"/>
  <c r="AF228" i="147"/>
  <c r="P228" i="147"/>
  <c r="H228" i="147"/>
  <c r="AF227" i="147"/>
  <c r="P227" i="147"/>
  <c r="H227" i="147"/>
  <c r="E227" i="147" s="1"/>
  <c r="AI227" i="147" s="1"/>
  <c r="AF226" i="147"/>
  <c r="P226" i="147"/>
  <c r="H226" i="147"/>
  <c r="AH225" i="147"/>
  <c r="AH224" i="147" s="1"/>
  <c r="AG225" i="147"/>
  <c r="AE225" i="147"/>
  <c r="AD225" i="147"/>
  <c r="AC225" i="147"/>
  <c r="AB225" i="147"/>
  <c r="AB224" i="147" s="1"/>
  <c r="AA225" i="147"/>
  <c r="Z225" i="147"/>
  <c r="Y225" i="147"/>
  <c r="X225" i="147"/>
  <c r="W225" i="147"/>
  <c r="V225" i="147"/>
  <c r="U225" i="147"/>
  <c r="T225" i="147"/>
  <c r="S225" i="147"/>
  <c r="R225" i="147"/>
  <c r="Q225" i="147"/>
  <c r="Q224" i="147" s="1"/>
  <c r="O225" i="147"/>
  <c r="O224" i="147" s="1"/>
  <c r="N225" i="147"/>
  <c r="M225" i="147"/>
  <c r="M224" i="147" s="1"/>
  <c r="L225" i="147"/>
  <c r="L224" i="147" s="1"/>
  <c r="K225" i="147"/>
  <c r="J225" i="147"/>
  <c r="I225" i="147"/>
  <c r="G225" i="147"/>
  <c r="F225" i="147"/>
  <c r="AF223" i="147"/>
  <c r="P223" i="147"/>
  <c r="H223" i="147"/>
  <c r="E223" i="147" s="1"/>
  <c r="AI223" i="147" s="1"/>
  <c r="AF222" i="147"/>
  <c r="P222" i="147"/>
  <c r="H222" i="147"/>
  <c r="AF221" i="147"/>
  <c r="P221" i="147"/>
  <c r="H221" i="147"/>
  <c r="E221" i="147" s="1"/>
  <c r="AI221" i="147" s="1"/>
  <c r="AH220" i="147"/>
  <c r="AG220" i="147"/>
  <c r="AE220" i="147"/>
  <c r="AD220" i="147"/>
  <c r="AC220" i="147"/>
  <c r="AB220" i="147"/>
  <c r="AA220" i="147"/>
  <c r="Z220" i="147"/>
  <c r="Y220" i="147"/>
  <c r="X220" i="147"/>
  <c r="W220" i="147"/>
  <c r="V220" i="147"/>
  <c r="U220" i="147"/>
  <c r="T220" i="147"/>
  <c r="S220" i="147"/>
  <c r="R220" i="147"/>
  <c r="Q220" i="147"/>
  <c r="O220" i="147"/>
  <c r="N220" i="147"/>
  <c r="M220" i="147"/>
  <c r="L220" i="147"/>
  <c r="K220" i="147"/>
  <c r="J220" i="147"/>
  <c r="I220" i="147"/>
  <c r="G220" i="147"/>
  <c r="F220" i="147"/>
  <c r="AF219" i="147"/>
  <c r="P219" i="147"/>
  <c r="H219" i="147"/>
  <c r="AF218" i="147"/>
  <c r="AF217" i="147"/>
  <c r="P218" i="147"/>
  <c r="H218" i="147"/>
  <c r="AH217" i="147"/>
  <c r="AG217" i="147"/>
  <c r="AE217" i="147"/>
  <c r="AD217" i="147"/>
  <c r="AC217" i="147"/>
  <c r="AC187" i="147"/>
  <c r="AB217" i="147"/>
  <c r="AA217" i="147"/>
  <c r="Z217" i="147"/>
  <c r="Y217" i="147"/>
  <c r="X217" i="147"/>
  <c r="W217" i="147"/>
  <c r="V217" i="147"/>
  <c r="U217" i="147"/>
  <c r="T217" i="147"/>
  <c r="T187" i="147"/>
  <c r="S217" i="147"/>
  <c r="R217" i="147"/>
  <c r="Q217" i="147"/>
  <c r="Q187" i="147" s="1"/>
  <c r="O217" i="147"/>
  <c r="N217" i="147"/>
  <c r="M217" i="147"/>
  <c r="L217" i="147"/>
  <c r="K217" i="147"/>
  <c r="J217" i="147"/>
  <c r="I217" i="147"/>
  <c r="G217" i="147"/>
  <c r="F217" i="147"/>
  <c r="AF216" i="147"/>
  <c r="E216" i="147"/>
  <c r="AI216" i="147"/>
  <c r="P216" i="147"/>
  <c r="H216" i="147"/>
  <c r="AF215" i="147"/>
  <c r="P215" i="147"/>
  <c r="E215" i="147" s="1"/>
  <c r="AI215" i="147" s="1"/>
  <c r="H215" i="147"/>
  <c r="AF214" i="147"/>
  <c r="P214" i="147"/>
  <c r="H214" i="147"/>
  <c r="E214" i="147" s="1"/>
  <c r="AI214" i="147" s="1"/>
  <c r="AF213" i="147"/>
  <c r="P213" i="147"/>
  <c r="H213" i="147"/>
  <c r="AF212" i="147"/>
  <c r="P212" i="147"/>
  <c r="H212" i="147"/>
  <c r="AF211" i="147"/>
  <c r="P211" i="147"/>
  <c r="H211" i="147"/>
  <c r="AF210" i="147"/>
  <c r="P210" i="147"/>
  <c r="H210" i="147"/>
  <c r="AF209" i="147"/>
  <c r="P209" i="147"/>
  <c r="H209" i="147"/>
  <c r="AF208" i="147"/>
  <c r="P208" i="147"/>
  <c r="E208" i="147"/>
  <c r="AI208" i="147" s="1"/>
  <c r="H208" i="147"/>
  <c r="AF207" i="147"/>
  <c r="P207" i="147"/>
  <c r="H207" i="147"/>
  <c r="E207" i="147"/>
  <c r="AI207" i="147"/>
  <c r="AF206" i="147"/>
  <c r="P206" i="147"/>
  <c r="H206" i="147"/>
  <c r="E206" i="147" s="1"/>
  <c r="AI206" i="147" s="1"/>
  <c r="AF205" i="147"/>
  <c r="E205" i="147" s="1"/>
  <c r="P205" i="147"/>
  <c r="H205" i="147"/>
  <c r="AF204" i="147"/>
  <c r="P204" i="147"/>
  <c r="H204" i="147"/>
  <c r="E204" i="147" s="1"/>
  <c r="AI204" i="147" s="1"/>
  <c r="AF203" i="147"/>
  <c r="P203" i="147"/>
  <c r="H203" i="147"/>
  <c r="AF202" i="147"/>
  <c r="P202" i="147"/>
  <c r="E202" i="147" s="1"/>
  <c r="AI202" i="147" s="1"/>
  <c r="H202" i="147"/>
  <c r="AF201" i="147"/>
  <c r="P201" i="147"/>
  <c r="H201" i="147"/>
  <c r="E201" i="147" s="1"/>
  <c r="AI201" i="147" s="1"/>
  <c r="AF200" i="147"/>
  <c r="P200" i="147"/>
  <c r="H200" i="147"/>
  <c r="E200" i="147"/>
  <c r="AI200" i="147" s="1"/>
  <c r="AF199" i="147"/>
  <c r="P199" i="147"/>
  <c r="H199" i="147"/>
  <c r="AF198" i="147"/>
  <c r="P198" i="147"/>
  <c r="H198" i="147"/>
  <c r="E198" i="147" s="1"/>
  <c r="AI198" i="147" s="1"/>
  <c r="AF197" i="147"/>
  <c r="P197" i="147"/>
  <c r="H197" i="147"/>
  <c r="E197" i="147" s="1"/>
  <c r="AI197" i="147" s="1"/>
  <c r="AF196" i="147"/>
  <c r="E196" i="147" s="1"/>
  <c r="AI196" i="147" s="1"/>
  <c r="P196" i="147"/>
  <c r="H196" i="147"/>
  <c r="AF195" i="147"/>
  <c r="E195" i="147" s="1"/>
  <c r="AI195" i="147" s="1"/>
  <c r="P195" i="147"/>
  <c r="H195" i="147"/>
  <c r="AF194" i="147"/>
  <c r="P194" i="147"/>
  <c r="H194" i="147"/>
  <c r="AF193" i="147"/>
  <c r="P193" i="147"/>
  <c r="H193" i="147"/>
  <c r="AF192" i="147"/>
  <c r="P192" i="147"/>
  <c r="H192" i="147"/>
  <c r="AF191" i="147"/>
  <c r="P191" i="147"/>
  <c r="H191" i="147"/>
  <c r="AF190" i="147"/>
  <c r="P190" i="147"/>
  <c r="H190" i="147"/>
  <c r="AF189" i="147"/>
  <c r="P189" i="147"/>
  <c r="H189" i="147"/>
  <c r="AH188" i="147"/>
  <c r="AG188" i="147"/>
  <c r="AG187" i="147"/>
  <c r="AE188" i="147"/>
  <c r="AD188" i="147"/>
  <c r="AD187" i="147"/>
  <c r="AC188" i="147"/>
  <c r="AB188" i="147"/>
  <c r="AA188" i="147"/>
  <c r="Z188" i="147"/>
  <c r="Z187" i="147"/>
  <c r="Y188" i="147"/>
  <c r="Y187" i="147"/>
  <c r="X188" i="147"/>
  <c r="X187" i="147" s="1"/>
  <c r="W188" i="147"/>
  <c r="W187" i="147" s="1"/>
  <c r="V188" i="147"/>
  <c r="V187" i="147"/>
  <c r="U188" i="147"/>
  <c r="T188" i="147"/>
  <c r="S188" i="147"/>
  <c r="R188" i="147"/>
  <c r="Q188" i="147"/>
  <c r="O188" i="147"/>
  <c r="O187" i="147" s="1"/>
  <c r="N188" i="147"/>
  <c r="N187" i="147" s="1"/>
  <c r="M188" i="147"/>
  <c r="M187" i="147"/>
  <c r="L188" i="147"/>
  <c r="K188" i="147"/>
  <c r="K187" i="147"/>
  <c r="J188" i="147"/>
  <c r="I188" i="147"/>
  <c r="G188" i="147"/>
  <c r="G187" i="147"/>
  <c r="F188" i="147"/>
  <c r="F187" i="147"/>
  <c r="R187" i="147"/>
  <c r="AF186" i="147"/>
  <c r="P186" i="147"/>
  <c r="H186" i="147"/>
  <c r="AF185" i="147"/>
  <c r="E185" i="147" s="1"/>
  <c r="AI185" i="147" s="1"/>
  <c r="P185" i="147"/>
  <c r="H185" i="147"/>
  <c r="AF184" i="147"/>
  <c r="P184" i="147"/>
  <c r="E184" i="147"/>
  <c r="AI184" i="147" s="1"/>
  <c r="H184" i="147"/>
  <c r="AF183" i="147"/>
  <c r="P183" i="147"/>
  <c r="H183" i="147"/>
  <c r="AF182" i="147"/>
  <c r="P182" i="147"/>
  <c r="H182" i="147"/>
  <c r="AF181" i="147"/>
  <c r="P181" i="147"/>
  <c r="H181" i="147"/>
  <c r="AF180" i="147"/>
  <c r="E180" i="147"/>
  <c r="AI180" i="147" s="1"/>
  <c r="P180" i="147"/>
  <c r="H180" i="147"/>
  <c r="AF179" i="147"/>
  <c r="P179" i="147"/>
  <c r="H179" i="147"/>
  <c r="AF178" i="147"/>
  <c r="P178" i="147"/>
  <c r="H178" i="147"/>
  <c r="E178" i="147" s="1"/>
  <c r="AI178" i="147"/>
  <c r="AF177" i="147"/>
  <c r="P177" i="147"/>
  <c r="H177" i="147"/>
  <c r="AF176" i="147"/>
  <c r="P176" i="147"/>
  <c r="H176" i="147"/>
  <c r="AH175" i="147"/>
  <c r="AH173" i="147" s="1"/>
  <c r="AG175" i="147"/>
  <c r="AG173" i="147" s="1"/>
  <c r="AE175" i="147"/>
  <c r="AE173" i="147"/>
  <c r="AD175" i="147"/>
  <c r="AD173" i="147"/>
  <c r="AC175" i="147"/>
  <c r="AC173" i="147"/>
  <c r="AB175" i="147"/>
  <c r="AB173" i="147" s="1"/>
  <c r="AA175" i="147"/>
  <c r="AA173" i="147" s="1"/>
  <c r="Z175" i="147"/>
  <c r="Z173" i="147" s="1"/>
  <c r="Y175" i="147"/>
  <c r="X175" i="147"/>
  <c r="W175" i="147"/>
  <c r="W173" i="147" s="1"/>
  <c r="V175" i="147"/>
  <c r="V173" i="147"/>
  <c r="U175" i="147"/>
  <c r="U173" i="147" s="1"/>
  <c r="T175" i="147"/>
  <c r="T173" i="147" s="1"/>
  <c r="S175" i="147"/>
  <c r="S173" i="147"/>
  <c r="R175" i="147"/>
  <c r="R173" i="147" s="1"/>
  <c r="Q175" i="147"/>
  <c r="Q173" i="147"/>
  <c r="O175" i="147"/>
  <c r="N175" i="147"/>
  <c r="N173" i="147"/>
  <c r="M175" i="147"/>
  <c r="M173" i="147"/>
  <c r="L175" i="147"/>
  <c r="L173" i="147" s="1"/>
  <c r="K175" i="147"/>
  <c r="K173" i="147" s="1"/>
  <c r="J175" i="147"/>
  <c r="I175" i="147"/>
  <c r="I173" i="147" s="1"/>
  <c r="G175" i="147"/>
  <c r="G173" i="147"/>
  <c r="F175" i="147"/>
  <c r="F173" i="147"/>
  <c r="AF174" i="147"/>
  <c r="P174" i="147"/>
  <c r="H174" i="147"/>
  <c r="E174" i="147"/>
  <c r="Y173" i="147"/>
  <c r="X173" i="147"/>
  <c r="O173" i="147"/>
  <c r="J173" i="147"/>
  <c r="AF172" i="147"/>
  <c r="P172" i="147"/>
  <c r="H172" i="147"/>
  <c r="AF171" i="147"/>
  <c r="P171" i="147"/>
  <c r="H171" i="147"/>
  <c r="E171" i="147" s="1"/>
  <c r="AI171" i="147"/>
  <c r="AF170" i="147"/>
  <c r="P170" i="147"/>
  <c r="H170" i="147"/>
  <c r="AF169" i="147"/>
  <c r="P169" i="147"/>
  <c r="H169" i="147"/>
  <c r="AF168" i="147"/>
  <c r="P168" i="147"/>
  <c r="H168" i="147"/>
  <c r="E168" i="147"/>
  <c r="AI168" i="147"/>
  <c r="AF167" i="147"/>
  <c r="P167" i="147"/>
  <c r="H167" i="147"/>
  <c r="E167" i="147" s="1"/>
  <c r="AI167" i="147"/>
  <c r="AF166" i="147"/>
  <c r="P166" i="147"/>
  <c r="H166" i="147"/>
  <c r="AF165" i="147"/>
  <c r="P165" i="147"/>
  <c r="H165" i="147"/>
  <c r="AF164" i="147"/>
  <c r="P164" i="147"/>
  <c r="H164" i="147"/>
  <c r="E164" i="147"/>
  <c r="AI164" i="147" s="1"/>
  <c r="AF163" i="147"/>
  <c r="P163" i="147"/>
  <c r="H163" i="147"/>
  <c r="E163" i="147" s="1"/>
  <c r="AI163" i="147" s="1"/>
  <c r="AF162" i="147"/>
  <c r="P162" i="147"/>
  <c r="H162" i="147"/>
  <c r="AF161" i="147"/>
  <c r="P161" i="147"/>
  <c r="H161" i="147"/>
  <c r="AF160" i="147"/>
  <c r="P160" i="147"/>
  <c r="H160" i="147"/>
  <c r="AF159" i="147"/>
  <c r="P159" i="147"/>
  <c r="H159" i="147"/>
  <c r="AH158" i="147"/>
  <c r="AG158" i="147"/>
  <c r="AE158" i="147"/>
  <c r="AD158" i="147"/>
  <c r="AC158" i="147"/>
  <c r="AB158" i="147"/>
  <c r="AA158" i="147"/>
  <c r="Z158" i="147"/>
  <c r="Y158" i="147"/>
  <c r="X158" i="147"/>
  <c r="W158" i="147"/>
  <c r="V158" i="147"/>
  <c r="U158" i="147"/>
  <c r="T158" i="147"/>
  <c r="S158" i="147"/>
  <c r="R158" i="147"/>
  <c r="Q158" i="147"/>
  <c r="O158" i="147"/>
  <c r="N158" i="147"/>
  <c r="M158" i="147"/>
  <c r="L158" i="147"/>
  <c r="K158" i="147"/>
  <c r="J158" i="147"/>
  <c r="I158" i="147"/>
  <c r="G158" i="147"/>
  <c r="F158" i="147"/>
  <c r="AF157" i="147"/>
  <c r="P157" i="147"/>
  <c r="AI157" i="147"/>
  <c r="H157" i="147"/>
  <c r="E157" i="147" s="1"/>
  <c r="AF156" i="147"/>
  <c r="P156" i="147"/>
  <c r="H156" i="147"/>
  <c r="AF155" i="147"/>
  <c r="P155" i="147"/>
  <c r="E155" i="147"/>
  <c r="AI155" i="147"/>
  <c r="H155" i="147"/>
  <c r="AF154" i="147"/>
  <c r="P154" i="147"/>
  <c r="H154" i="147"/>
  <c r="AF153" i="147"/>
  <c r="AF148" i="147" s="1"/>
  <c r="P153" i="147"/>
  <c r="H153" i="147"/>
  <c r="AF152" i="147"/>
  <c r="P152" i="147"/>
  <c r="H152" i="147"/>
  <c r="AF151" i="147"/>
  <c r="P151" i="147"/>
  <c r="H151" i="147"/>
  <c r="AF150" i="147"/>
  <c r="P150" i="147"/>
  <c r="H150" i="147"/>
  <c r="AF149" i="147"/>
  <c r="P149" i="147"/>
  <c r="H149" i="147"/>
  <c r="E149" i="147" s="1"/>
  <c r="AH148" i="147"/>
  <c r="AH112" i="147" s="1"/>
  <c r="AG148" i="147"/>
  <c r="AE148" i="147"/>
  <c r="AD148" i="147"/>
  <c r="AC148" i="147"/>
  <c r="AB148" i="147"/>
  <c r="AA148" i="147"/>
  <c r="Z148" i="147"/>
  <c r="Y148" i="147"/>
  <c r="X148" i="147"/>
  <c r="W148" i="147"/>
  <c r="V148" i="147"/>
  <c r="V112" i="147" s="1"/>
  <c r="U148" i="147"/>
  <c r="T148" i="147"/>
  <c r="S148" i="147"/>
  <c r="R148" i="147"/>
  <c r="Q148" i="147"/>
  <c r="O148" i="147"/>
  <c r="N148" i="147"/>
  <c r="M148" i="147"/>
  <c r="L148" i="147"/>
  <c r="K148" i="147"/>
  <c r="J148" i="147"/>
  <c r="J112" i="147" s="1"/>
  <c r="I148" i="147"/>
  <c r="I112" i="147" s="1"/>
  <c r="G148" i="147"/>
  <c r="G112" i="147" s="1"/>
  <c r="F148" i="147"/>
  <c r="AF147" i="147"/>
  <c r="P147" i="147"/>
  <c r="E147" i="147"/>
  <c r="AI147" i="147" s="1"/>
  <c r="H147" i="147"/>
  <c r="AF146" i="147"/>
  <c r="P146" i="147"/>
  <c r="H146" i="147"/>
  <c r="AF145" i="147"/>
  <c r="P145" i="147"/>
  <c r="H145" i="147"/>
  <c r="AF144" i="147"/>
  <c r="P144" i="147"/>
  <c r="H144" i="147"/>
  <c r="AF143" i="147"/>
  <c r="P143" i="147"/>
  <c r="H143" i="147"/>
  <c r="AF142" i="147"/>
  <c r="P142" i="147"/>
  <c r="H142" i="147"/>
  <c r="AF141" i="147"/>
  <c r="P141" i="147"/>
  <c r="H141" i="147"/>
  <c r="AF140" i="147"/>
  <c r="P140" i="147"/>
  <c r="H140" i="147"/>
  <c r="AH139" i="147"/>
  <c r="AG139" i="147"/>
  <c r="AE139" i="147"/>
  <c r="AD139" i="147"/>
  <c r="AC139" i="147"/>
  <c r="AC112" i="147" s="1"/>
  <c r="AB139" i="147"/>
  <c r="AA139" i="147"/>
  <c r="Z139" i="147"/>
  <c r="Y139" i="147"/>
  <c r="X139" i="147"/>
  <c r="W139" i="147"/>
  <c r="V139" i="147"/>
  <c r="U139" i="147"/>
  <c r="T139" i="147"/>
  <c r="S139" i="147"/>
  <c r="S112" i="147" s="1"/>
  <c r="R139" i="147"/>
  <c r="Q139" i="147"/>
  <c r="O139" i="147"/>
  <c r="N139" i="147"/>
  <c r="N112" i="147" s="1"/>
  <c r="M139" i="147"/>
  <c r="L139" i="147"/>
  <c r="K139" i="147"/>
  <c r="J139" i="147"/>
  <c r="I139" i="147"/>
  <c r="G139" i="147"/>
  <c r="F139" i="147"/>
  <c r="AF138" i="147"/>
  <c r="P138" i="147"/>
  <c r="H138" i="147"/>
  <c r="AF137" i="147"/>
  <c r="P137" i="147"/>
  <c r="E137" i="147" s="1"/>
  <c r="AI137" i="147" s="1"/>
  <c r="H137" i="147"/>
  <c r="AF136" i="147"/>
  <c r="E136" i="147" s="1"/>
  <c r="P136" i="147"/>
  <c r="H136" i="147"/>
  <c r="AI136" i="147"/>
  <c r="AF135" i="147"/>
  <c r="P135" i="147"/>
  <c r="H135" i="147"/>
  <c r="AF134" i="147"/>
  <c r="E134" i="147"/>
  <c r="AI134" i="147" s="1"/>
  <c r="P134" i="147"/>
  <c r="H134" i="147"/>
  <c r="AF133" i="147"/>
  <c r="P133" i="147"/>
  <c r="H133" i="147"/>
  <c r="AF132" i="147"/>
  <c r="P132" i="147"/>
  <c r="H132" i="147"/>
  <c r="AF131" i="147"/>
  <c r="P131" i="147"/>
  <c r="E131" i="147"/>
  <c r="AI131" i="147" s="1"/>
  <c r="H131" i="147"/>
  <c r="AF130" i="147"/>
  <c r="P130" i="147"/>
  <c r="H130" i="147"/>
  <c r="AF129" i="147"/>
  <c r="P129" i="147"/>
  <c r="H129" i="147"/>
  <c r="E129" i="147" s="1"/>
  <c r="AI129" i="147" s="1"/>
  <c r="AF128" i="147"/>
  <c r="P128" i="147"/>
  <c r="H128" i="147"/>
  <c r="AF127" i="147"/>
  <c r="P127" i="147"/>
  <c r="H127" i="147"/>
  <c r="AF126" i="147"/>
  <c r="E126" i="147" s="1"/>
  <c r="AI126" i="147" s="1"/>
  <c r="P126" i="147"/>
  <c r="H126" i="147"/>
  <c r="AF125" i="147"/>
  <c r="P125" i="147"/>
  <c r="E125" i="147" s="1"/>
  <c r="AI125" i="147" s="1"/>
  <c r="H125" i="147"/>
  <c r="AF124" i="147"/>
  <c r="P124" i="147"/>
  <c r="H124" i="147"/>
  <c r="AF123" i="147"/>
  <c r="P123" i="147"/>
  <c r="H123" i="147"/>
  <c r="AF122" i="147"/>
  <c r="P122" i="147"/>
  <c r="H122" i="147"/>
  <c r="AF121" i="147"/>
  <c r="P121" i="147"/>
  <c r="H121" i="147"/>
  <c r="AF120" i="147"/>
  <c r="P120" i="147"/>
  <c r="H120" i="147"/>
  <c r="E120" i="147" s="1"/>
  <c r="AI120" i="147" s="1"/>
  <c r="AF119" i="147"/>
  <c r="P119" i="147"/>
  <c r="H119" i="147"/>
  <c r="AF118" i="147"/>
  <c r="P118" i="147"/>
  <c r="H118" i="147"/>
  <c r="AF117" i="147"/>
  <c r="P117" i="147"/>
  <c r="H117" i="147"/>
  <c r="AF116" i="147"/>
  <c r="P116" i="147"/>
  <c r="H116" i="147"/>
  <c r="E116" i="147" s="1"/>
  <c r="AI116" i="147" s="1"/>
  <c r="AF115" i="147"/>
  <c r="P115" i="147"/>
  <c r="H115" i="147"/>
  <c r="AF114" i="147"/>
  <c r="P114" i="147"/>
  <c r="E114" i="147" s="1"/>
  <c r="H114" i="147"/>
  <c r="AH113" i="147"/>
  <c r="AG113" i="147"/>
  <c r="AE113" i="147"/>
  <c r="AE112" i="147"/>
  <c r="AD113" i="147"/>
  <c r="AD112" i="147"/>
  <c r="AC113" i="147"/>
  <c r="AB113" i="147"/>
  <c r="AA113" i="147"/>
  <c r="Z113" i="147"/>
  <c r="Z112" i="147" s="1"/>
  <c r="Y113" i="147"/>
  <c r="X113" i="147"/>
  <c r="X112" i="147" s="1"/>
  <c r="W113" i="147"/>
  <c r="W112" i="147"/>
  <c r="V113" i="147"/>
  <c r="U113" i="147"/>
  <c r="T113" i="147"/>
  <c r="S113" i="147"/>
  <c r="R113" i="147"/>
  <c r="Q113" i="147"/>
  <c r="Q112" i="147" s="1"/>
  <c r="O113" i="147"/>
  <c r="N113" i="147"/>
  <c r="M113" i="147"/>
  <c r="M112" i="147"/>
  <c r="L113" i="147"/>
  <c r="L112" i="147" s="1"/>
  <c r="K113" i="147"/>
  <c r="J113" i="147"/>
  <c r="I113" i="147"/>
  <c r="G113" i="147"/>
  <c r="F113" i="147"/>
  <c r="Y112" i="147"/>
  <c r="R112" i="147"/>
  <c r="AF111" i="147"/>
  <c r="AF109" i="147" s="1"/>
  <c r="P111" i="147"/>
  <c r="H111" i="147"/>
  <c r="AF110" i="147"/>
  <c r="P110" i="147"/>
  <c r="H110" i="147"/>
  <c r="AH109" i="147"/>
  <c r="AG109" i="147"/>
  <c r="AE109" i="147"/>
  <c r="AD109" i="147"/>
  <c r="AC109" i="147"/>
  <c r="AB109" i="147"/>
  <c r="AA109" i="147"/>
  <c r="Z109" i="147"/>
  <c r="Y109" i="147"/>
  <c r="X109" i="147"/>
  <c r="W109" i="147"/>
  <c r="V109" i="147"/>
  <c r="U109" i="147"/>
  <c r="T109" i="147"/>
  <c r="S109" i="147"/>
  <c r="R109" i="147"/>
  <c r="Q109" i="147"/>
  <c r="O109" i="147"/>
  <c r="N109" i="147"/>
  <c r="M109" i="147"/>
  <c r="L109" i="147"/>
  <c r="K109" i="147"/>
  <c r="J109" i="147"/>
  <c r="I109" i="147"/>
  <c r="G109" i="147"/>
  <c r="F109" i="147"/>
  <c r="AF108" i="147"/>
  <c r="P108" i="147"/>
  <c r="H108" i="147"/>
  <c r="AF107" i="147"/>
  <c r="AF106" i="147" s="1"/>
  <c r="P107" i="147"/>
  <c r="P106" i="147" s="1"/>
  <c r="H107" i="147"/>
  <c r="H106" i="147"/>
  <c r="AH106" i="147"/>
  <c r="AH104" i="147"/>
  <c r="AG106" i="147"/>
  <c r="AG104" i="147" s="1"/>
  <c r="AE106" i="147"/>
  <c r="AD106" i="147"/>
  <c r="AC106" i="147"/>
  <c r="AB106" i="147"/>
  <c r="AB104" i="147" s="1"/>
  <c r="AA106" i="147"/>
  <c r="Z106" i="147"/>
  <c r="Z104" i="147" s="1"/>
  <c r="Y106" i="147"/>
  <c r="X106" i="147"/>
  <c r="X104" i="147" s="1"/>
  <c r="W106" i="147"/>
  <c r="V106" i="147"/>
  <c r="U106" i="147"/>
  <c r="T106" i="147"/>
  <c r="T104" i="147" s="1"/>
  <c r="S106" i="147"/>
  <c r="S104" i="147" s="1"/>
  <c r="R106" i="147"/>
  <c r="R104" i="147" s="1"/>
  <c r="Q106" i="147"/>
  <c r="O106" i="147"/>
  <c r="N106" i="147"/>
  <c r="M106" i="147"/>
  <c r="M104" i="147" s="1"/>
  <c r="L106" i="147"/>
  <c r="K106" i="147"/>
  <c r="J106" i="147"/>
  <c r="J104" i="147" s="1"/>
  <c r="I106" i="147"/>
  <c r="G106" i="147"/>
  <c r="F106" i="147"/>
  <c r="AF105" i="147"/>
  <c r="P105" i="147"/>
  <c r="H105" i="147"/>
  <c r="AC104" i="147"/>
  <c r="W104" i="147"/>
  <c r="Q104" i="147"/>
  <c r="AF103" i="147"/>
  <c r="P103" i="147"/>
  <c r="H103" i="147"/>
  <c r="E103" i="147" s="1"/>
  <c r="AI103" i="147" s="1"/>
  <c r="AF102" i="147"/>
  <c r="P102" i="147"/>
  <c r="H102" i="147"/>
  <c r="AF101" i="147"/>
  <c r="P101" i="147"/>
  <c r="H101" i="147"/>
  <c r="AF100" i="147"/>
  <c r="P100" i="147"/>
  <c r="H100" i="147"/>
  <c r="E100" i="147" s="1"/>
  <c r="AI100" i="147" s="1"/>
  <c r="AF99" i="147"/>
  <c r="P99" i="147"/>
  <c r="H99" i="147"/>
  <c r="AF98" i="147"/>
  <c r="E98" i="147" s="1"/>
  <c r="AI98" i="147" s="1"/>
  <c r="P98" i="147"/>
  <c r="P97" i="147" s="1"/>
  <c r="H98" i="147"/>
  <c r="AH97" i="147"/>
  <c r="AG97" i="147"/>
  <c r="AE97" i="147"/>
  <c r="AD97" i="147"/>
  <c r="AC97" i="147"/>
  <c r="AB97" i="147"/>
  <c r="AA97" i="147"/>
  <c r="Z97" i="147"/>
  <c r="Y97" i="147"/>
  <c r="X97" i="147"/>
  <c r="W97" i="147"/>
  <c r="V97" i="147"/>
  <c r="U97" i="147"/>
  <c r="T97" i="147"/>
  <c r="S97" i="147"/>
  <c r="R97" i="147"/>
  <c r="Q97" i="147"/>
  <c r="O97" i="147"/>
  <c r="N97" i="147"/>
  <c r="M97" i="147"/>
  <c r="L97" i="147"/>
  <c r="K97" i="147"/>
  <c r="J97" i="147"/>
  <c r="I97" i="147"/>
  <c r="G97" i="147"/>
  <c r="F97" i="147"/>
  <c r="AF96" i="147"/>
  <c r="E96" i="147" s="1"/>
  <c r="AI96" i="147" s="1"/>
  <c r="P96" i="147"/>
  <c r="H96" i="147"/>
  <c r="AF95" i="147"/>
  <c r="P95" i="147"/>
  <c r="H95" i="147"/>
  <c r="AF94" i="147"/>
  <c r="P94" i="147"/>
  <c r="H94" i="147"/>
  <c r="AF93" i="147"/>
  <c r="P93" i="147"/>
  <c r="H93" i="147"/>
  <c r="AF92" i="147"/>
  <c r="P92" i="147"/>
  <c r="H92" i="147"/>
  <c r="E92" i="147" s="1"/>
  <c r="AI92" i="147" s="1"/>
  <c r="AF91" i="147"/>
  <c r="P91" i="147"/>
  <c r="H91" i="147"/>
  <c r="AF90" i="147"/>
  <c r="P90" i="147"/>
  <c r="H90" i="147"/>
  <c r="E90" i="147"/>
  <c r="AI90" i="147" s="1"/>
  <c r="AF89" i="147"/>
  <c r="P89" i="147"/>
  <c r="H89" i="147"/>
  <c r="E89" i="147" s="1"/>
  <c r="AI89" i="147" s="1"/>
  <c r="AF88" i="147"/>
  <c r="P88" i="147"/>
  <c r="E88" i="147" s="1"/>
  <c r="H88" i="147"/>
  <c r="AI88" i="147"/>
  <c r="AF87" i="147"/>
  <c r="P87" i="147"/>
  <c r="H87" i="147"/>
  <c r="AF86" i="147"/>
  <c r="P86" i="147"/>
  <c r="H86" i="147"/>
  <c r="AF85" i="147"/>
  <c r="P85" i="147"/>
  <c r="H85" i="147"/>
  <c r="AH84" i="147"/>
  <c r="AG84" i="147"/>
  <c r="AE84" i="147"/>
  <c r="AD84" i="147"/>
  <c r="AC84" i="147"/>
  <c r="AB84" i="147"/>
  <c r="AA84" i="147"/>
  <c r="Z84" i="147"/>
  <c r="Y84" i="147"/>
  <c r="X84" i="147"/>
  <c r="X61" i="147" s="1"/>
  <c r="W84" i="147"/>
  <c r="V84" i="147"/>
  <c r="U84" i="147"/>
  <c r="T84" i="147"/>
  <c r="S84" i="147"/>
  <c r="R84" i="147"/>
  <c r="Q84" i="147"/>
  <c r="O84" i="147"/>
  <c r="N84" i="147"/>
  <c r="M84" i="147"/>
  <c r="L84" i="147"/>
  <c r="K84" i="147"/>
  <c r="J84" i="147"/>
  <c r="I84" i="147"/>
  <c r="G84" i="147"/>
  <c r="F84" i="147"/>
  <c r="F61" i="147" s="1"/>
  <c r="AF83" i="147"/>
  <c r="P83" i="147"/>
  <c r="H83" i="147"/>
  <c r="AF82" i="147"/>
  <c r="P82" i="147"/>
  <c r="H82" i="147"/>
  <c r="E82" i="147" s="1"/>
  <c r="AI82" i="147" s="1"/>
  <c r="AF81" i="147"/>
  <c r="P81" i="147"/>
  <c r="H81" i="147"/>
  <c r="AF80" i="147"/>
  <c r="P80" i="147"/>
  <c r="H80" i="147"/>
  <c r="AF79" i="147"/>
  <c r="P79" i="147"/>
  <c r="E79" i="147"/>
  <c r="AI79" i="147"/>
  <c r="H79" i="147"/>
  <c r="AF78" i="147"/>
  <c r="P78" i="147"/>
  <c r="E78" i="147"/>
  <c r="AI78" i="147" s="1"/>
  <c r="H78" i="147"/>
  <c r="AF77" i="147"/>
  <c r="P77" i="147"/>
  <c r="H77" i="147"/>
  <c r="E77" i="147"/>
  <c r="AI77" i="147"/>
  <c r="AF76" i="147"/>
  <c r="P76" i="147"/>
  <c r="H76" i="147"/>
  <c r="AF75" i="147"/>
  <c r="P75" i="147"/>
  <c r="H75" i="147"/>
  <c r="E75" i="147" s="1"/>
  <c r="AI75" i="147" s="1"/>
  <c r="AF74" i="147"/>
  <c r="P74" i="147"/>
  <c r="E74" i="147"/>
  <c r="AI74" i="147" s="1"/>
  <c r="H74" i="147"/>
  <c r="AF73" i="147"/>
  <c r="P73" i="147"/>
  <c r="H73" i="147"/>
  <c r="AF72" i="147"/>
  <c r="P72" i="147"/>
  <c r="H72" i="147"/>
  <c r="AH71" i="147"/>
  <c r="AG71" i="147"/>
  <c r="AE71" i="147"/>
  <c r="AD71" i="147"/>
  <c r="AC71" i="147"/>
  <c r="AB71" i="147"/>
  <c r="AB61" i="147" s="1"/>
  <c r="AA71" i="147"/>
  <c r="Z71" i="147"/>
  <c r="Y71" i="147"/>
  <c r="X71" i="147"/>
  <c r="W71" i="147"/>
  <c r="W61" i="147" s="1"/>
  <c r="V71" i="147"/>
  <c r="U71" i="147"/>
  <c r="T71" i="147"/>
  <c r="S71" i="147"/>
  <c r="R71" i="147"/>
  <c r="Q71" i="147"/>
  <c r="Q61" i="147" s="1"/>
  <c r="Q7" i="147" s="1"/>
  <c r="O71" i="147"/>
  <c r="N71" i="147"/>
  <c r="M71" i="147"/>
  <c r="L71" i="147"/>
  <c r="K71" i="147"/>
  <c r="J71" i="147"/>
  <c r="J61" i="147" s="1"/>
  <c r="I71" i="147"/>
  <c r="I61" i="147" s="1"/>
  <c r="G71" i="147"/>
  <c r="F71" i="147"/>
  <c r="AF70" i="147"/>
  <c r="P70" i="147"/>
  <c r="E70" i="147" s="1"/>
  <c r="AI70" i="147" s="1"/>
  <c r="H70" i="147"/>
  <c r="AF69" i="147"/>
  <c r="P69" i="147"/>
  <c r="H69" i="147"/>
  <c r="AF68" i="147"/>
  <c r="P68" i="147"/>
  <c r="AI68" i="147"/>
  <c r="H68" i="147"/>
  <c r="E68" i="147" s="1"/>
  <c r="AF67" i="147"/>
  <c r="E67" i="147" s="1"/>
  <c r="AI67" i="147" s="1"/>
  <c r="P67" i="147"/>
  <c r="H67" i="147"/>
  <c r="AF66" i="147"/>
  <c r="P66" i="147"/>
  <c r="H66" i="147"/>
  <c r="AF65" i="147"/>
  <c r="P65" i="147"/>
  <c r="H65" i="147"/>
  <c r="E65" i="147" s="1"/>
  <c r="AI65" i="147" s="1"/>
  <c r="AF64" i="147"/>
  <c r="P64" i="147"/>
  <c r="H64" i="147"/>
  <c r="AF63" i="147"/>
  <c r="P63" i="147"/>
  <c r="H63" i="147"/>
  <c r="AH62" i="147"/>
  <c r="AG62" i="147"/>
  <c r="AE62" i="147"/>
  <c r="AD62" i="147"/>
  <c r="AD61" i="147" s="1"/>
  <c r="AC62" i="147"/>
  <c r="AC61" i="147"/>
  <c r="AB62" i="147"/>
  <c r="AA62" i="147"/>
  <c r="Z62" i="147"/>
  <c r="Y62" i="147"/>
  <c r="X62" i="147"/>
  <c r="W62" i="147"/>
  <c r="V62" i="147"/>
  <c r="V61" i="147" s="1"/>
  <c r="U62" i="147"/>
  <c r="T62" i="147"/>
  <c r="S62" i="147"/>
  <c r="R62" i="147"/>
  <c r="R61" i="147" s="1"/>
  <c r="Q62" i="147"/>
  <c r="O62" i="147"/>
  <c r="N62" i="147"/>
  <c r="M62" i="147"/>
  <c r="L62" i="147"/>
  <c r="K62" i="147"/>
  <c r="K61" i="147" s="1"/>
  <c r="J62" i="147"/>
  <c r="I62" i="147"/>
  <c r="G62" i="147"/>
  <c r="F62" i="147"/>
  <c r="AF60" i="147"/>
  <c r="P60" i="147"/>
  <c r="H60" i="147"/>
  <c r="AF59" i="147"/>
  <c r="P59" i="147"/>
  <c r="H59" i="147"/>
  <c r="AF58" i="147"/>
  <c r="P58" i="147"/>
  <c r="H58" i="147"/>
  <c r="E58" i="147"/>
  <c r="AI58" i="147" s="1"/>
  <c r="AF57" i="147"/>
  <c r="P57" i="147"/>
  <c r="H57" i="147"/>
  <c r="E57" i="147"/>
  <c r="AI57" i="147"/>
  <c r="AF56" i="147"/>
  <c r="P56" i="147"/>
  <c r="H56" i="147"/>
  <c r="AF55" i="147"/>
  <c r="E55" i="147"/>
  <c r="AI55" i="147"/>
  <c r="P55" i="147"/>
  <c r="H55" i="147"/>
  <c r="AF54" i="147"/>
  <c r="P54" i="147"/>
  <c r="H54" i="147"/>
  <c r="AF53" i="147"/>
  <c r="P53" i="147"/>
  <c r="H53" i="147"/>
  <c r="E53" i="147" s="1"/>
  <c r="AI53" i="147"/>
  <c r="AF52" i="147"/>
  <c r="P52" i="147"/>
  <c r="H52" i="147"/>
  <c r="E52" i="147"/>
  <c r="AI52" i="147"/>
  <c r="AF51" i="147"/>
  <c r="E51" i="147" s="1"/>
  <c r="AI51" i="147" s="1"/>
  <c r="P51" i="147"/>
  <c r="H51" i="147"/>
  <c r="AF50" i="147"/>
  <c r="E50" i="147" s="1"/>
  <c r="AI50" i="147" s="1"/>
  <c r="P50" i="147"/>
  <c r="H50" i="147"/>
  <c r="AF49" i="147"/>
  <c r="P49" i="147"/>
  <c r="H49" i="147"/>
  <c r="AF48" i="147"/>
  <c r="P48" i="147"/>
  <c r="H48" i="147"/>
  <c r="AF47" i="147"/>
  <c r="P47" i="147"/>
  <c r="H47" i="147"/>
  <c r="AH46" i="147"/>
  <c r="AG46" i="147"/>
  <c r="AE46" i="147"/>
  <c r="AD46" i="147"/>
  <c r="AC46" i="147"/>
  <c r="AB46" i="147"/>
  <c r="AA46" i="147"/>
  <c r="Z46" i="147"/>
  <c r="Y46" i="147"/>
  <c r="X46" i="147"/>
  <c r="W46" i="147"/>
  <c r="V46" i="147"/>
  <c r="U46" i="147"/>
  <c r="T46" i="147"/>
  <c r="S46" i="147"/>
  <c r="R46" i="147"/>
  <c r="Q46" i="147"/>
  <c r="O46" i="147"/>
  <c r="N46" i="147"/>
  <c r="M46" i="147"/>
  <c r="L46" i="147"/>
  <c r="K46" i="147"/>
  <c r="J46" i="147"/>
  <c r="I46" i="147"/>
  <c r="G46" i="147"/>
  <c r="F46" i="147"/>
  <c r="AF45" i="147"/>
  <c r="P45" i="147"/>
  <c r="E45" i="147" s="1"/>
  <c r="AI45" i="147" s="1"/>
  <c r="H45" i="147"/>
  <c r="AF44" i="147"/>
  <c r="E44" i="147" s="1"/>
  <c r="AI44" i="147" s="1"/>
  <c r="P44" i="147"/>
  <c r="H44" i="147"/>
  <c r="AF43" i="147"/>
  <c r="P43" i="147"/>
  <c r="H43" i="147"/>
  <c r="AF42" i="147"/>
  <c r="E42" i="147" s="1"/>
  <c r="AI42" i="147" s="1"/>
  <c r="P42" i="147"/>
  <c r="H42" i="147"/>
  <c r="AF41" i="147"/>
  <c r="P41" i="147"/>
  <c r="H41" i="147"/>
  <c r="AF40" i="147"/>
  <c r="P40" i="147"/>
  <c r="H40" i="147"/>
  <c r="AF39" i="147"/>
  <c r="P39" i="147"/>
  <c r="E39" i="147" s="1"/>
  <c r="AI39" i="147" s="1"/>
  <c r="H39" i="147"/>
  <c r="AF38" i="147"/>
  <c r="P38" i="147"/>
  <c r="H38" i="147"/>
  <c r="AF37" i="147"/>
  <c r="P37" i="147"/>
  <c r="H37" i="147"/>
  <c r="E37" i="147"/>
  <c r="AI37" i="147"/>
  <c r="AF36" i="147"/>
  <c r="E36" i="147" s="1"/>
  <c r="AI36" i="147" s="1"/>
  <c r="P36" i="147"/>
  <c r="H36" i="147"/>
  <c r="AF35" i="147"/>
  <c r="P35" i="147"/>
  <c r="H35" i="147"/>
  <c r="AF34" i="147"/>
  <c r="P34" i="147"/>
  <c r="H34" i="147"/>
  <c r="AF33" i="147"/>
  <c r="P33" i="147"/>
  <c r="H33" i="147"/>
  <c r="E33" i="147"/>
  <c r="AI33" i="147" s="1"/>
  <c r="AF32" i="147"/>
  <c r="E32" i="147" s="1"/>
  <c r="AI32" i="147" s="1"/>
  <c r="P32" i="147"/>
  <c r="H32" i="147"/>
  <c r="AF31" i="147"/>
  <c r="P31" i="147"/>
  <c r="H31" i="147"/>
  <c r="AF30" i="147"/>
  <c r="P30" i="147"/>
  <c r="H30" i="147"/>
  <c r="E30" i="147" s="1"/>
  <c r="AI30" i="147"/>
  <c r="AF29" i="147"/>
  <c r="E29" i="147" s="1"/>
  <c r="AI29" i="147" s="1"/>
  <c r="P29" i="147"/>
  <c r="H29" i="147"/>
  <c r="AF28" i="147"/>
  <c r="P28" i="147"/>
  <c r="H28" i="147"/>
  <c r="AF27" i="147"/>
  <c r="E27" i="147"/>
  <c r="AI27" i="147"/>
  <c r="P27" i="147"/>
  <c r="H27" i="147"/>
  <c r="AF26" i="147"/>
  <c r="P26" i="147"/>
  <c r="H26" i="147"/>
  <c r="E26" i="147"/>
  <c r="AI26" i="147" s="1"/>
  <c r="AF25" i="147"/>
  <c r="P25" i="147"/>
  <c r="H25" i="147"/>
  <c r="AF24" i="147"/>
  <c r="P24" i="147"/>
  <c r="H24" i="147"/>
  <c r="AF23" i="147"/>
  <c r="P23" i="147"/>
  <c r="H23" i="147"/>
  <c r="E23" i="147" s="1"/>
  <c r="AI23" i="147" s="1"/>
  <c r="AF22" i="147"/>
  <c r="P22" i="147"/>
  <c r="H22" i="147"/>
  <c r="AF21" i="147"/>
  <c r="E21" i="147" s="1"/>
  <c r="AI21" i="147" s="1"/>
  <c r="P21" i="147"/>
  <c r="H21" i="147"/>
  <c r="AF20" i="147"/>
  <c r="P20" i="147"/>
  <c r="H20" i="147"/>
  <c r="E20" i="147" s="1"/>
  <c r="AI20" i="147" s="1"/>
  <c r="AF19" i="147"/>
  <c r="P19" i="147"/>
  <c r="E19" i="147"/>
  <c r="AI19" i="147" s="1"/>
  <c r="H19" i="147"/>
  <c r="AF18" i="147"/>
  <c r="P18" i="147"/>
  <c r="H18" i="147"/>
  <c r="E18" i="147" s="1"/>
  <c r="AI18" i="147" s="1"/>
  <c r="AF17" i="147"/>
  <c r="P17" i="147"/>
  <c r="H17" i="147"/>
  <c r="AH16" i="147"/>
  <c r="AH15" i="147"/>
  <c r="AG16" i="147"/>
  <c r="AG15" i="147"/>
  <c r="AE16" i="147"/>
  <c r="AE15" i="147" s="1"/>
  <c r="AD16" i="147"/>
  <c r="AD15" i="147"/>
  <c r="AC16" i="147"/>
  <c r="AC15" i="147" s="1"/>
  <c r="AB16" i="147"/>
  <c r="AB15" i="147" s="1"/>
  <c r="AA16" i="147"/>
  <c r="Z16" i="147"/>
  <c r="Z15" i="147"/>
  <c r="Y16" i="147"/>
  <c r="Y15" i="147" s="1"/>
  <c r="X16" i="147"/>
  <c r="X15" i="147" s="1"/>
  <c r="W16" i="147"/>
  <c r="W15" i="147"/>
  <c r="V16" i="147"/>
  <c r="V15" i="147"/>
  <c r="U16" i="147"/>
  <c r="U15" i="147" s="1"/>
  <c r="T16" i="147"/>
  <c r="T15" i="147"/>
  <c r="S16" i="147"/>
  <c r="S15" i="147" s="1"/>
  <c r="R16" i="147"/>
  <c r="Q16" i="147"/>
  <c r="Q15" i="147" s="1"/>
  <c r="O16" i="147"/>
  <c r="N16" i="147"/>
  <c r="N15" i="147"/>
  <c r="M16" i="147"/>
  <c r="M15" i="147"/>
  <c r="L16" i="147"/>
  <c r="L15" i="147" s="1"/>
  <c r="K16" i="147"/>
  <c r="J16" i="147"/>
  <c r="J15" i="147" s="1"/>
  <c r="I16" i="147"/>
  <c r="I15" i="147" s="1"/>
  <c r="G16" i="147"/>
  <c r="G15" i="147" s="1"/>
  <c r="F16" i="147"/>
  <c r="AA15" i="147"/>
  <c r="R15" i="147"/>
  <c r="O15" i="147"/>
  <c r="K15" i="147"/>
  <c r="AF14" i="147"/>
  <c r="P14" i="147"/>
  <c r="H14" i="147"/>
  <c r="AF13" i="147"/>
  <c r="P13" i="147"/>
  <c r="E13" i="147" s="1"/>
  <c r="AI13" i="147" s="1"/>
  <c r="H13" i="147"/>
  <c r="AF12" i="147"/>
  <c r="E12" i="147"/>
  <c r="AI12" i="147" s="1"/>
  <c r="P12" i="147"/>
  <c r="H12" i="147"/>
  <c r="AF11" i="147"/>
  <c r="P11" i="147"/>
  <c r="H11" i="147"/>
  <c r="AF10" i="147"/>
  <c r="P10" i="147"/>
  <c r="H10" i="147"/>
  <c r="E10" i="147"/>
  <c r="AI10" i="147" s="1"/>
  <c r="AF9" i="147"/>
  <c r="P9" i="147"/>
  <c r="H9" i="147"/>
  <c r="AH8" i="147"/>
  <c r="AG8" i="147"/>
  <c r="AE8" i="147"/>
  <c r="AD8" i="147"/>
  <c r="AC8" i="147"/>
  <c r="AB8" i="147"/>
  <c r="AA8" i="147"/>
  <c r="Z8" i="147"/>
  <c r="Y8" i="147"/>
  <c r="X8" i="147"/>
  <c r="W8" i="147"/>
  <c r="V8" i="147"/>
  <c r="U8" i="147"/>
  <c r="T8" i="147"/>
  <c r="S8" i="147"/>
  <c r="R8" i="147"/>
  <c r="Q8" i="147"/>
  <c r="O8" i="147"/>
  <c r="N8" i="147"/>
  <c r="M8" i="147"/>
  <c r="L8" i="147"/>
  <c r="K8" i="147"/>
  <c r="J8" i="147"/>
  <c r="I8" i="147"/>
  <c r="G8" i="147"/>
  <c r="F8" i="147"/>
  <c r="O12" i="146"/>
  <c r="J10" i="146"/>
  <c r="H10" i="146"/>
  <c r="G10" i="146"/>
  <c r="F10" i="146"/>
  <c r="E10" i="146"/>
  <c r="D10" i="146"/>
  <c r="H4" i="146"/>
  <c r="G4" i="146"/>
  <c r="G20" i="146" s="1"/>
  <c r="F4" i="146"/>
  <c r="E4" i="146"/>
  <c r="E20" i="146"/>
  <c r="O12" i="145"/>
  <c r="J10" i="145"/>
  <c r="H10" i="145"/>
  <c r="H20" i="145" s="1"/>
  <c r="G10" i="145"/>
  <c r="F10" i="145"/>
  <c r="F20" i="145"/>
  <c r="E10" i="145"/>
  <c r="D10" i="145"/>
  <c r="D9" i="145" s="1"/>
  <c r="H4" i="145"/>
  <c r="G4" i="145"/>
  <c r="G20" i="145"/>
  <c r="F4" i="145"/>
  <c r="E4" i="145"/>
  <c r="C5" i="134"/>
  <c r="E25" i="134" s="1"/>
  <c r="C6" i="134"/>
  <c r="E26" i="134" s="1"/>
  <c r="C8" i="134"/>
  <c r="E28" i="134" s="1"/>
  <c r="B7" i="134"/>
  <c r="L7" i="165"/>
  <c r="B9" i="134"/>
  <c r="L9" i="165"/>
  <c r="M9" i="165" s="1"/>
  <c r="B11" i="134"/>
  <c r="L11" i="165" s="1"/>
  <c r="B12" i="134"/>
  <c r="L12" i="165"/>
  <c r="B13" i="134"/>
  <c r="L13" i="165"/>
  <c r="B14" i="134"/>
  <c r="L14" i="165" s="1"/>
  <c r="B15" i="134"/>
  <c r="L15" i="165"/>
  <c r="B16" i="134"/>
  <c r="L16" i="165"/>
  <c r="B17" i="134"/>
  <c r="L17" i="165" s="1"/>
  <c r="B18" i="134"/>
  <c r="L18" i="165"/>
  <c r="B19" i="134"/>
  <c r="B43" i="134" s="1"/>
  <c r="L19" i="165"/>
  <c r="F8" i="143"/>
  <c r="F44" i="143"/>
  <c r="F60" i="143"/>
  <c r="F114" i="143"/>
  <c r="F143" i="143"/>
  <c r="F113" i="143" s="1"/>
  <c r="F164" i="143"/>
  <c r="F220" i="143"/>
  <c r="F266" i="143"/>
  <c r="F278" i="143"/>
  <c r="F290" i="143"/>
  <c r="F305" i="143"/>
  <c r="F304" i="143"/>
  <c r="F337" i="143"/>
  <c r="F342" i="143"/>
  <c r="F357" i="143"/>
  <c r="G8" i="143"/>
  <c r="G44" i="143"/>
  <c r="G60" i="143"/>
  <c r="G105" i="143"/>
  <c r="G114" i="143"/>
  <c r="G143" i="143"/>
  <c r="G153" i="143"/>
  <c r="G164" i="143"/>
  <c r="G215" i="143"/>
  <c r="G220" i="143"/>
  <c r="G260" i="143"/>
  <c r="G266" i="143"/>
  <c r="G278" i="143"/>
  <c r="G290" i="143"/>
  <c r="G337" i="143"/>
  <c r="G342" i="143"/>
  <c r="G357" i="143"/>
  <c r="G341" i="143" s="1"/>
  <c r="I8" i="143"/>
  <c r="I44" i="143"/>
  <c r="I60" i="143"/>
  <c r="I105" i="143"/>
  <c r="I114" i="143"/>
  <c r="I143" i="143"/>
  <c r="I153" i="143"/>
  <c r="I164" i="143"/>
  <c r="I189" i="143"/>
  <c r="I188" i="143" s="1"/>
  <c r="I215" i="143"/>
  <c r="I220" i="143"/>
  <c r="I242" i="143"/>
  <c r="I260" i="143"/>
  <c r="I266" i="143"/>
  <c r="I278" i="143"/>
  <c r="I290" i="143"/>
  <c r="I337" i="143"/>
  <c r="I342" i="143"/>
  <c r="I357" i="143"/>
  <c r="I341" i="143" s="1"/>
  <c r="J8" i="143"/>
  <c r="J44" i="143"/>
  <c r="J60" i="143"/>
  <c r="J105" i="143"/>
  <c r="J114" i="143"/>
  <c r="J143" i="143"/>
  <c r="J153" i="143"/>
  <c r="J164" i="143"/>
  <c r="J189" i="143"/>
  <c r="J215" i="143"/>
  <c r="J220" i="143"/>
  <c r="J242" i="143"/>
  <c r="J260" i="143"/>
  <c r="J266" i="143"/>
  <c r="J278" i="143"/>
  <c r="J290" i="143"/>
  <c r="J337" i="143"/>
  <c r="J342" i="143"/>
  <c r="J341" i="143" s="1"/>
  <c r="J357" i="143"/>
  <c r="K8" i="143"/>
  <c r="K44" i="143"/>
  <c r="K60" i="143"/>
  <c r="K105" i="143"/>
  <c r="K114" i="143"/>
  <c r="K143" i="143"/>
  <c r="K153" i="143"/>
  <c r="K164" i="143"/>
  <c r="K189" i="143"/>
  <c r="K215" i="143"/>
  <c r="K220" i="143"/>
  <c r="K242" i="143"/>
  <c r="K260" i="143"/>
  <c r="K266" i="143"/>
  <c r="K278" i="143"/>
  <c r="K290" i="143"/>
  <c r="K337" i="143"/>
  <c r="K342" i="143"/>
  <c r="K357" i="143"/>
  <c r="L8" i="143"/>
  <c r="L44" i="143"/>
  <c r="L60" i="143"/>
  <c r="L105" i="143"/>
  <c r="L114" i="143"/>
  <c r="L143" i="143"/>
  <c r="L153" i="143"/>
  <c r="L164" i="143"/>
  <c r="L189" i="143"/>
  <c r="L215" i="143"/>
  <c r="L220" i="143"/>
  <c r="L242" i="143"/>
  <c r="L260" i="143"/>
  <c r="L266" i="143"/>
  <c r="L278" i="143"/>
  <c r="L290" i="143"/>
  <c r="L337" i="143"/>
  <c r="L342" i="143"/>
  <c r="L357" i="143"/>
  <c r="M8" i="143"/>
  <c r="M44" i="143"/>
  <c r="M60" i="143"/>
  <c r="M105" i="143"/>
  <c r="M114" i="143"/>
  <c r="M143" i="143"/>
  <c r="M153" i="143"/>
  <c r="M164" i="143"/>
  <c r="M215" i="143"/>
  <c r="M220" i="143"/>
  <c r="M242" i="143"/>
  <c r="M260" i="143"/>
  <c r="M266" i="143"/>
  <c r="M278" i="143"/>
  <c r="M290" i="143"/>
  <c r="M305" i="143"/>
  <c r="M337" i="143"/>
  <c r="M342" i="143"/>
  <c r="M341" i="143" s="1"/>
  <c r="M357" i="143"/>
  <c r="N8" i="143"/>
  <c r="N44" i="143"/>
  <c r="N60" i="143"/>
  <c r="N114" i="143"/>
  <c r="N143" i="143"/>
  <c r="N113" i="143"/>
  <c r="N153" i="143"/>
  <c r="N164" i="143"/>
  <c r="N189" i="143"/>
  <c r="N188" i="143" s="1"/>
  <c r="N220" i="143"/>
  <c r="N242" i="143"/>
  <c r="N260" i="143"/>
  <c r="N266" i="143"/>
  <c r="N278" i="143"/>
  <c r="N290" i="143"/>
  <c r="N337" i="143"/>
  <c r="N342" i="143"/>
  <c r="N357" i="143"/>
  <c r="O8" i="143"/>
  <c r="O17" i="143"/>
  <c r="O16" i="143" s="1"/>
  <c r="O44" i="143"/>
  <c r="O60" i="143"/>
  <c r="O59" i="143" s="1"/>
  <c r="O105" i="143"/>
  <c r="O114" i="143"/>
  <c r="O143" i="143"/>
  <c r="O153" i="143"/>
  <c r="O164" i="143"/>
  <c r="O189" i="143"/>
  <c r="O188" i="143"/>
  <c r="O215" i="143"/>
  <c r="O220" i="143"/>
  <c r="O266" i="143"/>
  <c r="O278" i="143"/>
  <c r="O290" i="143"/>
  <c r="O305" i="143"/>
  <c r="O304" i="143"/>
  <c r="O337" i="143"/>
  <c r="O342" i="143"/>
  <c r="O341" i="143" s="1"/>
  <c r="O357" i="143"/>
  <c r="Q8" i="143"/>
  <c r="Q44" i="143"/>
  <c r="Q60" i="143"/>
  <c r="Q114" i="143"/>
  <c r="Q143" i="143"/>
  <c r="Q153" i="143"/>
  <c r="Q164" i="143"/>
  <c r="Q215" i="143"/>
  <c r="Q220" i="143"/>
  <c r="Q260" i="143"/>
  <c r="Q266" i="143"/>
  <c r="Q278" i="143"/>
  <c r="Q290" i="143"/>
  <c r="Q337" i="143"/>
  <c r="Q342" i="143"/>
  <c r="R8" i="143"/>
  <c r="R44" i="143"/>
  <c r="R60" i="143"/>
  <c r="R105" i="143"/>
  <c r="R114" i="143"/>
  <c r="R143" i="143"/>
  <c r="R153" i="143"/>
  <c r="R164" i="143"/>
  <c r="R189" i="143"/>
  <c r="R215" i="143"/>
  <c r="R220" i="143"/>
  <c r="R242" i="143"/>
  <c r="R260" i="143"/>
  <c r="R266" i="143"/>
  <c r="R278" i="143"/>
  <c r="R290" i="143"/>
  <c r="R337" i="143"/>
  <c r="R342" i="143"/>
  <c r="R357" i="143"/>
  <c r="S8" i="143"/>
  <c r="S44" i="143"/>
  <c r="S60" i="143"/>
  <c r="S105" i="143"/>
  <c r="S114" i="143"/>
  <c r="S143" i="143"/>
  <c r="S153" i="143"/>
  <c r="S164" i="143"/>
  <c r="S189" i="143"/>
  <c r="S188" i="143"/>
  <c r="S215" i="143"/>
  <c r="S220" i="143"/>
  <c r="S242" i="143"/>
  <c r="S260" i="143"/>
  <c r="S266" i="143"/>
  <c r="S278" i="143"/>
  <c r="S290" i="143"/>
  <c r="S337" i="143"/>
  <c r="S342" i="143"/>
  <c r="T8" i="143"/>
  <c r="T44" i="143"/>
  <c r="T60" i="143"/>
  <c r="T114" i="143"/>
  <c r="T143" i="143"/>
  <c r="T153" i="143"/>
  <c r="T164" i="143"/>
  <c r="T189" i="143"/>
  <c r="T215" i="143"/>
  <c r="T220" i="143"/>
  <c r="T242" i="143"/>
  <c r="T260" i="143"/>
  <c r="T266" i="143"/>
  <c r="T278" i="143"/>
  <c r="T290" i="143"/>
  <c r="T305" i="143"/>
  <c r="T337" i="143"/>
  <c r="T342" i="143"/>
  <c r="T357" i="143"/>
  <c r="U8" i="143"/>
  <c r="U44" i="143"/>
  <c r="U60" i="143"/>
  <c r="U105" i="143"/>
  <c r="U114" i="143"/>
  <c r="U143" i="143"/>
  <c r="U153" i="143"/>
  <c r="U164" i="143"/>
  <c r="U189" i="143"/>
  <c r="U215" i="143"/>
  <c r="U220" i="143"/>
  <c r="U242" i="143"/>
  <c r="U260" i="143"/>
  <c r="U266" i="143"/>
  <c r="U278" i="143"/>
  <c r="U290" i="143"/>
  <c r="U337" i="143"/>
  <c r="U342" i="143"/>
  <c r="U357" i="143"/>
  <c r="U341" i="143" s="1"/>
  <c r="V8" i="143"/>
  <c r="V44" i="143"/>
  <c r="V60" i="143"/>
  <c r="V105" i="143"/>
  <c r="V114" i="143"/>
  <c r="V143" i="143"/>
  <c r="V153" i="143"/>
  <c r="V164" i="143"/>
  <c r="V189" i="143"/>
  <c r="V215" i="143"/>
  <c r="V220" i="143"/>
  <c r="V242" i="143"/>
  <c r="V260" i="143"/>
  <c r="V266" i="143"/>
  <c r="V278" i="143"/>
  <c r="V290" i="143"/>
  <c r="V305" i="143"/>
  <c r="V304" i="143"/>
  <c r="V337" i="143"/>
  <c r="V342" i="143"/>
  <c r="V341" i="143" s="1"/>
  <c r="W8" i="143"/>
  <c r="W44" i="143"/>
  <c r="W60" i="143"/>
  <c r="W105" i="143"/>
  <c r="W114" i="143"/>
  <c r="W143" i="143"/>
  <c r="W153" i="143"/>
  <c r="W164" i="143"/>
  <c r="W215" i="143"/>
  <c r="W220" i="143"/>
  <c r="W242" i="143"/>
  <c r="W260" i="143"/>
  <c r="W266" i="143"/>
  <c r="W278" i="143"/>
  <c r="W290" i="143"/>
  <c r="W337" i="143"/>
  <c r="W342" i="143"/>
  <c r="X8" i="143"/>
  <c r="X44" i="143"/>
  <c r="X60" i="143"/>
  <c r="X59" i="143"/>
  <c r="X114" i="143"/>
  <c r="X143" i="143"/>
  <c r="X153" i="143"/>
  <c r="X164" i="143"/>
  <c r="X189" i="143"/>
  <c r="X188" i="143"/>
  <c r="X215" i="143"/>
  <c r="X220" i="143"/>
  <c r="X242" i="143"/>
  <c r="X260" i="143"/>
  <c r="X266" i="143"/>
  <c r="X278" i="143"/>
  <c r="X290" i="143"/>
  <c r="X337" i="143"/>
  <c r="X342" i="143"/>
  <c r="X357" i="143"/>
  <c r="Y8" i="143"/>
  <c r="Y44" i="143"/>
  <c r="Y60" i="143"/>
  <c r="Y105" i="143"/>
  <c r="Y114" i="143"/>
  <c r="Y143" i="143"/>
  <c r="Y153" i="143"/>
  <c r="Y164" i="143"/>
  <c r="Y215" i="143"/>
  <c r="Y220" i="143"/>
  <c r="Y242" i="143"/>
  <c r="Y260" i="143"/>
  <c r="Y266" i="143"/>
  <c r="Y278" i="143"/>
  <c r="Y290" i="143"/>
  <c r="Y337" i="143"/>
  <c r="Y342" i="143"/>
  <c r="Y357" i="143"/>
  <c r="Z8" i="143"/>
  <c r="Z44" i="143"/>
  <c r="Z60" i="143"/>
  <c r="Z105" i="143"/>
  <c r="Z114" i="143"/>
  <c r="Z143" i="143"/>
  <c r="Z153" i="143"/>
  <c r="Z164" i="143"/>
  <c r="Z189" i="143"/>
  <c r="Z188" i="143"/>
  <c r="Z215" i="143"/>
  <c r="Z220" i="143"/>
  <c r="Z242" i="143"/>
  <c r="Z260" i="143"/>
  <c r="Z266" i="143"/>
  <c r="Z278" i="143"/>
  <c r="Z290" i="143"/>
  <c r="Z337" i="143"/>
  <c r="Z342" i="143"/>
  <c r="Z341" i="143"/>
  <c r="AA8" i="143"/>
  <c r="AA44" i="143"/>
  <c r="AA60" i="143"/>
  <c r="AA105" i="143"/>
  <c r="AA114" i="143"/>
  <c r="AA143" i="143"/>
  <c r="AA153" i="143"/>
  <c r="AA113" i="143" s="1"/>
  <c r="AA164" i="143"/>
  <c r="AA189" i="143"/>
  <c r="AA188" i="143"/>
  <c r="AA215" i="143"/>
  <c r="AA220" i="143"/>
  <c r="AA242" i="143"/>
  <c r="AA260" i="143"/>
  <c r="AA266" i="143"/>
  <c r="AA278" i="143"/>
  <c r="AA290" i="143"/>
  <c r="AA337" i="143"/>
  <c r="AA342" i="143"/>
  <c r="AA341" i="143" s="1"/>
  <c r="AA357" i="143"/>
  <c r="AB8" i="143"/>
  <c r="AB44" i="143"/>
  <c r="AB60" i="143"/>
  <c r="AB105" i="143"/>
  <c r="AB114" i="143"/>
  <c r="AB143" i="143"/>
  <c r="AB153" i="143"/>
  <c r="AB164" i="143"/>
  <c r="AB189" i="143"/>
  <c r="AB215" i="143"/>
  <c r="AB220" i="143"/>
  <c r="AB242" i="143"/>
  <c r="AB260" i="143"/>
  <c r="AB266" i="143"/>
  <c r="AB278" i="143"/>
  <c r="AB290" i="143"/>
  <c r="AB305" i="143"/>
  <c r="AB304" i="143" s="1"/>
  <c r="AB337" i="143"/>
  <c r="AB342" i="143"/>
  <c r="AB357" i="143"/>
  <c r="AC8" i="143"/>
  <c r="AC44" i="143"/>
  <c r="AC60" i="143"/>
  <c r="AC105" i="143"/>
  <c r="AC114" i="143"/>
  <c r="AC143" i="143"/>
  <c r="AC153" i="143"/>
  <c r="AC164" i="143"/>
  <c r="AC189" i="143"/>
  <c r="AC188" i="143"/>
  <c r="AC215" i="143"/>
  <c r="AC220" i="143"/>
  <c r="AC242" i="143"/>
  <c r="AC260" i="143"/>
  <c r="AC266" i="143"/>
  <c r="AC278" i="143"/>
  <c r="AC290" i="143"/>
  <c r="AC337" i="143"/>
  <c r="AC342" i="143"/>
  <c r="AC341" i="143"/>
  <c r="AC357" i="143"/>
  <c r="AD8" i="143"/>
  <c r="AD44" i="143"/>
  <c r="AD60" i="143"/>
  <c r="AD105" i="143"/>
  <c r="AD114" i="143"/>
  <c r="AD143" i="143"/>
  <c r="AD153" i="143"/>
  <c r="AD164" i="143"/>
  <c r="AD189" i="143"/>
  <c r="AD215" i="143"/>
  <c r="AD220" i="143"/>
  <c r="AD242" i="143"/>
  <c r="AD260" i="143"/>
  <c r="AD266" i="143"/>
  <c r="AD278" i="143"/>
  <c r="AD290" i="143"/>
  <c r="AD305" i="143"/>
  <c r="AD304" i="143" s="1"/>
  <c r="AD337" i="143"/>
  <c r="AD342" i="143"/>
  <c r="AD357" i="143"/>
  <c r="AD341" i="143"/>
  <c r="AE8" i="143"/>
  <c r="AE44" i="143"/>
  <c r="AE60" i="143"/>
  <c r="AE114" i="143"/>
  <c r="AE143" i="143"/>
  <c r="AE153" i="143"/>
  <c r="AE164" i="143"/>
  <c r="AE189" i="143"/>
  <c r="AE215" i="143"/>
  <c r="AE220" i="143"/>
  <c r="AE242" i="143"/>
  <c r="AE260" i="143"/>
  <c r="AE266" i="143"/>
  <c r="AE278" i="143"/>
  <c r="AE290" i="143"/>
  <c r="AE305" i="143"/>
  <c r="AE304" i="143"/>
  <c r="AE337" i="143"/>
  <c r="AE342" i="143"/>
  <c r="AE357" i="143"/>
  <c r="AG8" i="143"/>
  <c r="AG17" i="143"/>
  <c r="AG16" i="143"/>
  <c r="AG44" i="143"/>
  <c r="AG60" i="143"/>
  <c r="AG105" i="143"/>
  <c r="AG114" i="143"/>
  <c r="AG143" i="143"/>
  <c r="AG153" i="143"/>
  <c r="AG164" i="143"/>
  <c r="AG189" i="143"/>
  <c r="AG188" i="143" s="1"/>
  <c r="AG215" i="143"/>
  <c r="AG220" i="143"/>
  <c r="AG242" i="143"/>
  <c r="AG260" i="143"/>
  <c r="AG266" i="143"/>
  <c r="AG278" i="143"/>
  <c r="AG290" i="143"/>
  <c r="AG337" i="143"/>
  <c r="AG342" i="143"/>
  <c r="AG357" i="143"/>
  <c r="AH8" i="143"/>
  <c r="AH17" i="143"/>
  <c r="AH16" i="143"/>
  <c r="AH44" i="143"/>
  <c r="AH60" i="143"/>
  <c r="AH59" i="143" s="1"/>
  <c r="AH105" i="143"/>
  <c r="AH114" i="143"/>
  <c r="AH143" i="143"/>
  <c r="AH153" i="143"/>
  <c r="AH164" i="143"/>
  <c r="AH189" i="143"/>
  <c r="AH188" i="143" s="1"/>
  <c r="AH215" i="143"/>
  <c r="AH220" i="143"/>
  <c r="AH242" i="143"/>
  <c r="AH260" i="143"/>
  <c r="AH266" i="143"/>
  <c r="AH278" i="143"/>
  <c r="AH290" i="143"/>
  <c r="AH337" i="143"/>
  <c r="AH342" i="143"/>
  <c r="AH357" i="143"/>
  <c r="C10" i="134"/>
  <c r="D10" i="136"/>
  <c r="I10" i="136"/>
  <c r="I20" i="136"/>
  <c r="H10" i="136"/>
  <c r="G10" i="136"/>
  <c r="F10" i="136"/>
  <c r="E10" i="136"/>
  <c r="I4" i="136"/>
  <c r="H4" i="136"/>
  <c r="H20" i="136" s="1"/>
  <c r="G4" i="136"/>
  <c r="G20" i="136"/>
  <c r="F4" i="136"/>
  <c r="E4" i="136"/>
  <c r="E20" i="136"/>
  <c r="D4" i="136"/>
  <c r="D20" i="136" s="1"/>
  <c r="I10" i="135"/>
  <c r="H10" i="135"/>
  <c r="G10" i="135"/>
  <c r="F10" i="135"/>
  <c r="F20" i="135" s="1"/>
  <c r="E10" i="135"/>
  <c r="D10" i="135"/>
  <c r="I4" i="135"/>
  <c r="H4" i="135"/>
  <c r="H20" i="135" s="1"/>
  <c r="G4" i="135"/>
  <c r="G20" i="135" s="1"/>
  <c r="F4" i="135"/>
  <c r="E4" i="135"/>
  <c r="E20" i="135" s="1"/>
  <c r="D4" i="135"/>
  <c r="D20" i="135" s="1"/>
  <c r="I4" i="134"/>
  <c r="I10" i="134"/>
  <c r="H4" i="134"/>
  <c r="H10" i="134"/>
  <c r="H20" i="134" s="1"/>
  <c r="G4" i="134"/>
  <c r="G10" i="134"/>
  <c r="F4" i="134"/>
  <c r="F10" i="134"/>
  <c r="E4" i="134"/>
  <c r="E10" i="134"/>
  <c r="E20" i="134" s="1"/>
  <c r="D4" i="134"/>
  <c r="D20" i="134"/>
  <c r="D10" i="134"/>
  <c r="H8" i="142"/>
  <c r="P8" i="142"/>
  <c r="AF8" i="142"/>
  <c r="E8" i="142" s="1"/>
  <c r="H9" i="142"/>
  <c r="P9" i="142"/>
  <c r="AF9" i="142"/>
  <c r="H10" i="142"/>
  <c r="P10" i="142"/>
  <c r="AF10" i="142"/>
  <c r="H11" i="142"/>
  <c r="P11" i="142"/>
  <c r="AF11" i="142"/>
  <c r="H12" i="142"/>
  <c r="AI12" i="142"/>
  <c r="P12" i="142"/>
  <c r="E12" i="142" s="1"/>
  <c r="AF12" i="142"/>
  <c r="H13" i="142"/>
  <c r="P13" i="142"/>
  <c r="AF13" i="142"/>
  <c r="H16" i="142"/>
  <c r="P16" i="142"/>
  <c r="P15" i="142" s="1"/>
  <c r="P14" i="142" s="1"/>
  <c r="AF16" i="142"/>
  <c r="H17" i="142"/>
  <c r="P17" i="142"/>
  <c r="AF17" i="142"/>
  <c r="H18" i="142"/>
  <c r="P18" i="142"/>
  <c r="AF18" i="142"/>
  <c r="H19" i="142"/>
  <c r="P19" i="142"/>
  <c r="E19" i="142" s="1"/>
  <c r="AI19" i="142" s="1"/>
  <c r="AF19" i="142"/>
  <c r="H20" i="142"/>
  <c r="P20" i="142"/>
  <c r="AF20" i="142"/>
  <c r="H21" i="142"/>
  <c r="E21" i="142"/>
  <c r="AI21" i="142" s="1"/>
  <c r="P21" i="142"/>
  <c r="AF21" i="142"/>
  <c r="H22" i="142"/>
  <c r="P22" i="142"/>
  <c r="AF22" i="142"/>
  <c r="H23" i="142"/>
  <c r="E23" i="142" s="1"/>
  <c r="AI23" i="142" s="1"/>
  <c r="P23" i="142"/>
  <c r="AF23" i="142"/>
  <c r="H24" i="142"/>
  <c r="P24" i="142"/>
  <c r="AF24" i="142"/>
  <c r="H25" i="142"/>
  <c r="P25" i="142"/>
  <c r="AF25" i="142"/>
  <c r="H26" i="142"/>
  <c r="P26" i="142"/>
  <c r="AF26" i="142"/>
  <c r="E26" i="142" s="1"/>
  <c r="AI26" i="142" s="1"/>
  <c r="H27" i="142"/>
  <c r="P27" i="142"/>
  <c r="AF27" i="142"/>
  <c r="H28" i="142"/>
  <c r="P28" i="142"/>
  <c r="AF28" i="142"/>
  <c r="E28" i="142" s="1"/>
  <c r="AI28" i="142" s="1"/>
  <c r="H29" i="142"/>
  <c r="P29" i="142"/>
  <c r="AF29" i="142"/>
  <c r="E29" i="142"/>
  <c r="AI29" i="142"/>
  <c r="H30" i="142"/>
  <c r="P30" i="142"/>
  <c r="AF30" i="142"/>
  <c r="H31" i="142"/>
  <c r="P31" i="142"/>
  <c r="AF31" i="142"/>
  <c r="E31" i="142"/>
  <c r="AI31" i="142" s="1"/>
  <c r="H32" i="142"/>
  <c r="P32" i="142"/>
  <c r="AF32" i="142"/>
  <c r="H33" i="142"/>
  <c r="P33" i="142"/>
  <c r="AF33" i="142"/>
  <c r="H34" i="142"/>
  <c r="P34" i="142"/>
  <c r="AF34" i="142"/>
  <c r="H35" i="142"/>
  <c r="P35" i="142"/>
  <c r="AF35" i="142"/>
  <c r="H36" i="142"/>
  <c r="P36" i="142"/>
  <c r="AF36" i="142"/>
  <c r="H37" i="142"/>
  <c r="P37" i="142"/>
  <c r="AF37" i="142"/>
  <c r="H38" i="142"/>
  <c r="P38" i="142"/>
  <c r="AF38" i="142"/>
  <c r="H39" i="142"/>
  <c r="P39" i="142"/>
  <c r="AI39" i="142"/>
  <c r="AF39" i="142"/>
  <c r="E39" i="142" s="1"/>
  <c r="H40" i="142"/>
  <c r="P40" i="142"/>
  <c r="AF40" i="142"/>
  <c r="H41" i="142"/>
  <c r="P41" i="142"/>
  <c r="AF41" i="142"/>
  <c r="H42" i="142"/>
  <c r="P42" i="142"/>
  <c r="AF42" i="142"/>
  <c r="H43" i="142"/>
  <c r="P43" i="142"/>
  <c r="AF43" i="142"/>
  <c r="E43" i="142" s="1"/>
  <c r="AI43" i="142" s="1"/>
  <c r="H44" i="142"/>
  <c r="P44" i="142"/>
  <c r="AF44" i="142"/>
  <c r="H46" i="142"/>
  <c r="P46" i="142"/>
  <c r="AF46" i="142"/>
  <c r="H47" i="142"/>
  <c r="P47" i="142"/>
  <c r="AF47" i="142"/>
  <c r="H48" i="142"/>
  <c r="P48" i="142"/>
  <c r="AF48" i="142"/>
  <c r="H49" i="142"/>
  <c r="P49" i="142"/>
  <c r="E49" i="142" s="1"/>
  <c r="AF49" i="142"/>
  <c r="H50" i="142"/>
  <c r="P50" i="142"/>
  <c r="AF50" i="142"/>
  <c r="H51" i="142"/>
  <c r="E51" i="142" s="1"/>
  <c r="AI51" i="142" s="1"/>
  <c r="P51" i="142"/>
  <c r="AF51" i="142"/>
  <c r="H52" i="142"/>
  <c r="P52" i="142"/>
  <c r="E52" i="142"/>
  <c r="AI52" i="142" s="1"/>
  <c r="AF52" i="142"/>
  <c r="H53" i="142"/>
  <c r="P53" i="142"/>
  <c r="AF53" i="142"/>
  <c r="H54" i="142"/>
  <c r="P54" i="142"/>
  <c r="AF54" i="142"/>
  <c r="H55" i="142"/>
  <c r="E55" i="142" s="1"/>
  <c r="AI55" i="142" s="1"/>
  <c r="P55" i="142"/>
  <c r="AF55" i="142"/>
  <c r="H56" i="142"/>
  <c r="P56" i="142"/>
  <c r="AF56" i="142"/>
  <c r="E56" i="142"/>
  <c r="AI56" i="142" s="1"/>
  <c r="H57" i="142"/>
  <c r="P57" i="142"/>
  <c r="AF57" i="142"/>
  <c r="H58" i="142"/>
  <c r="E58" i="142" s="1"/>
  <c r="AI58" i="142" s="1"/>
  <c r="P58" i="142"/>
  <c r="AF58" i="142"/>
  <c r="H59" i="142"/>
  <c r="E59" i="142" s="1"/>
  <c r="AI59" i="142"/>
  <c r="P59" i="142"/>
  <c r="AF59" i="142"/>
  <c r="H62" i="142"/>
  <c r="P62" i="142"/>
  <c r="AF62" i="142"/>
  <c r="H63" i="142"/>
  <c r="P63" i="142"/>
  <c r="AF63" i="142"/>
  <c r="H64" i="142"/>
  <c r="P64" i="142"/>
  <c r="AF64" i="142"/>
  <c r="H65" i="142"/>
  <c r="E65" i="142" s="1"/>
  <c r="AI65" i="142" s="1"/>
  <c r="P65" i="142"/>
  <c r="AF65" i="142"/>
  <c r="H66" i="142"/>
  <c r="P66" i="142"/>
  <c r="AF66" i="142"/>
  <c r="H67" i="142"/>
  <c r="E67" i="142" s="1"/>
  <c r="P67" i="142"/>
  <c r="AF67" i="142"/>
  <c r="H68" i="142"/>
  <c r="E68" i="142"/>
  <c r="AI68" i="142" s="1"/>
  <c r="P68" i="142"/>
  <c r="AF68" i="142"/>
  <c r="H69" i="142"/>
  <c r="P69" i="142"/>
  <c r="AF69" i="142"/>
  <c r="H71" i="142"/>
  <c r="P71" i="142"/>
  <c r="AF71" i="142"/>
  <c r="H72" i="142"/>
  <c r="P72" i="142"/>
  <c r="AF72" i="142"/>
  <c r="H73" i="142"/>
  <c r="P73" i="142"/>
  <c r="AF73" i="142"/>
  <c r="H74" i="142"/>
  <c r="P74" i="142"/>
  <c r="AF74" i="142"/>
  <c r="E74" i="142"/>
  <c r="AI74" i="142"/>
  <c r="H75" i="142"/>
  <c r="P75" i="142"/>
  <c r="AF75" i="142"/>
  <c r="H76" i="142"/>
  <c r="P76" i="142"/>
  <c r="AF76" i="142"/>
  <c r="H77" i="142"/>
  <c r="P77" i="142"/>
  <c r="AF77" i="142"/>
  <c r="H78" i="142"/>
  <c r="E78" i="142"/>
  <c r="AI78" i="142"/>
  <c r="P78" i="142"/>
  <c r="AF78" i="142"/>
  <c r="H79" i="142"/>
  <c r="P79" i="142"/>
  <c r="AF79" i="142"/>
  <c r="H80" i="142"/>
  <c r="P80" i="142"/>
  <c r="AF80" i="142"/>
  <c r="H81" i="142"/>
  <c r="P81" i="142"/>
  <c r="AF81" i="142"/>
  <c r="H82" i="142"/>
  <c r="P82" i="142"/>
  <c r="AF82" i="142"/>
  <c r="H84" i="142"/>
  <c r="P84" i="142"/>
  <c r="AF84" i="142"/>
  <c r="H85" i="142"/>
  <c r="P85" i="142"/>
  <c r="AF85" i="142"/>
  <c r="H86" i="142"/>
  <c r="P86" i="142"/>
  <c r="AF86" i="142"/>
  <c r="H87" i="142"/>
  <c r="P87" i="142"/>
  <c r="AF87" i="142"/>
  <c r="H88" i="142"/>
  <c r="P88" i="142"/>
  <c r="AF88" i="142"/>
  <c r="H89" i="142"/>
  <c r="P89" i="142"/>
  <c r="AF89" i="142"/>
  <c r="E89" i="142" s="1"/>
  <c r="AI89" i="142" s="1"/>
  <c r="H90" i="142"/>
  <c r="P90" i="142"/>
  <c r="AF90" i="142"/>
  <c r="H91" i="142"/>
  <c r="P91" i="142"/>
  <c r="AF91" i="142"/>
  <c r="H92" i="142"/>
  <c r="P92" i="142"/>
  <c r="AI92" i="142"/>
  <c r="AF92" i="142"/>
  <c r="E92" i="142" s="1"/>
  <c r="H93" i="142"/>
  <c r="P93" i="142"/>
  <c r="AF93" i="142"/>
  <c r="E93" i="142"/>
  <c r="AI93" i="142" s="1"/>
  <c r="H94" i="142"/>
  <c r="P94" i="142"/>
  <c r="AF94" i="142"/>
  <c r="H95" i="142"/>
  <c r="P95" i="142"/>
  <c r="AF95" i="142"/>
  <c r="E95" i="142"/>
  <c r="AI95" i="142" s="1"/>
  <c r="H97" i="142"/>
  <c r="P97" i="142"/>
  <c r="AF97" i="142"/>
  <c r="H98" i="142"/>
  <c r="E98" i="142" s="1"/>
  <c r="AI98" i="142" s="1"/>
  <c r="P98" i="142"/>
  <c r="AF98" i="142"/>
  <c r="H99" i="142"/>
  <c r="P99" i="142"/>
  <c r="P96" i="142"/>
  <c r="AF99" i="142"/>
  <c r="H100" i="142"/>
  <c r="P100" i="142"/>
  <c r="AF100" i="142"/>
  <c r="H101" i="142"/>
  <c r="P101" i="142"/>
  <c r="AF101" i="142"/>
  <c r="H102" i="142"/>
  <c r="P102" i="142"/>
  <c r="AF102" i="142"/>
  <c r="H104" i="142"/>
  <c r="P104" i="142"/>
  <c r="AF104" i="142"/>
  <c r="H106" i="142"/>
  <c r="P106" i="142"/>
  <c r="P105" i="142" s="1"/>
  <c r="AF106" i="142"/>
  <c r="H107" i="142"/>
  <c r="P107" i="142"/>
  <c r="AF107" i="142"/>
  <c r="E107" i="142" s="1"/>
  <c r="H109" i="142"/>
  <c r="E109" i="142" s="1"/>
  <c r="P109" i="142"/>
  <c r="AF109" i="142"/>
  <c r="H110" i="142"/>
  <c r="P110" i="142"/>
  <c r="P108" i="142" s="1"/>
  <c r="AF110" i="142"/>
  <c r="H113" i="142"/>
  <c r="P113" i="142"/>
  <c r="AF113" i="142"/>
  <c r="E113" i="142"/>
  <c r="H114" i="142"/>
  <c r="P114" i="142"/>
  <c r="AF114" i="142"/>
  <c r="H115" i="142"/>
  <c r="P115" i="142"/>
  <c r="AF115" i="142"/>
  <c r="H116" i="142"/>
  <c r="E116" i="142" s="1"/>
  <c r="AI116" i="142" s="1"/>
  <c r="P116" i="142"/>
  <c r="AF116" i="142"/>
  <c r="H117" i="142"/>
  <c r="P117" i="142"/>
  <c r="AF117" i="142"/>
  <c r="H118" i="142"/>
  <c r="P118" i="142"/>
  <c r="AF118" i="142"/>
  <c r="H119" i="142"/>
  <c r="E119" i="142"/>
  <c r="AI119" i="142" s="1"/>
  <c r="P119" i="142"/>
  <c r="AF119" i="142"/>
  <c r="H120" i="142"/>
  <c r="P120" i="142"/>
  <c r="E120" i="142" s="1"/>
  <c r="AI120" i="142" s="1"/>
  <c r="AF120" i="142"/>
  <c r="H121" i="142"/>
  <c r="P121" i="142"/>
  <c r="AF121" i="142"/>
  <c r="H122" i="142"/>
  <c r="P122" i="142"/>
  <c r="E122" i="142" s="1"/>
  <c r="AI122" i="142" s="1"/>
  <c r="AF122" i="142"/>
  <c r="H123" i="142"/>
  <c r="P123" i="142"/>
  <c r="AF123" i="142"/>
  <c r="H124" i="142"/>
  <c r="P124" i="142"/>
  <c r="AF124" i="142"/>
  <c r="H125" i="142"/>
  <c r="P125" i="142"/>
  <c r="AF125" i="142"/>
  <c r="H126" i="142"/>
  <c r="E126" i="142" s="1"/>
  <c r="AI126" i="142" s="1"/>
  <c r="P126" i="142"/>
  <c r="AF126" i="142"/>
  <c r="H127" i="142"/>
  <c r="P127" i="142"/>
  <c r="AF127" i="142"/>
  <c r="H128" i="142"/>
  <c r="P128" i="142"/>
  <c r="AF128" i="142"/>
  <c r="E128" i="142"/>
  <c r="AI128" i="142" s="1"/>
  <c r="H129" i="142"/>
  <c r="P129" i="142"/>
  <c r="AF129" i="142"/>
  <c r="H130" i="142"/>
  <c r="E130" i="142"/>
  <c r="AI130" i="142"/>
  <c r="P130" i="142"/>
  <c r="AF130" i="142"/>
  <c r="H131" i="142"/>
  <c r="P131" i="142"/>
  <c r="AF131" i="142"/>
  <c r="H132" i="142"/>
  <c r="P132" i="142"/>
  <c r="AF132" i="142"/>
  <c r="H133" i="142"/>
  <c r="P133" i="142"/>
  <c r="AF133" i="142"/>
  <c r="H134" i="142"/>
  <c r="E134" i="142" s="1"/>
  <c r="AI134" i="142" s="1"/>
  <c r="P134" i="142"/>
  <c r="AF134" i="142"/>
  <c r="H135" i="142"/>
  <c r="P135" i="142"/>
  <c r="AF135" i="142"/>
  <c r="H136" i="142"/>
  <c r="P136" i="142"/>
  <c r="AF136" i="142"/>
  <c r="E136" i="142" s="1"/>
  <c r="AI136" i="142" s="1"/>
  <c r="H137" i="142"/>
  <c r="P137" i="142"/>
  <c r="AF137" i="142"/>
  <c r="E137" i="142"/>
  <c r="AI137" i="142" s="1"/>
  <c r="H139" i="142"/>
  <c r="P139" i="142"/>
  <c r="AF139" i="142"/>
  <c r="H140" i="142"/>
  <c r="P140" i="142"/>
  <c r="AF140" i="142"/>
  <c r="H141" i="142"/>
  <c r="P141" i="142"/>
  <c r="AF141" i="142"/>
  <c r="H142" i="142"/>
  <c r="P142" i="142"/>
  <c r="AF142" i="142"/>
  <c r="H143" i="142"/>
  <c r="P143" i="142"/>
  <c r="AF143" i="142"/>
  <c r="H144" i="142"/>
  <c r="P144" i="142"/>
  <c r="AF144" i="142"/>
  <c r="H145" i="142"/>
  <c r="P145" i="142"/>
  <c r="AF145" i="142"/>
  <c r="H146" i="142"/>
  <c r="E146" i="142"/>
  <c r="AI146" i="142" s="1"/>
  <c r="P146" i="142"/>
  <c r="AF146" i="142"/>
  <c r="H148" i="142"/>
  <c r="P148" i="142"/>
  <c r="AF148" i="142"/>
  <c r="H149" i="142"/>
  <c r="P149" i="142"/>
  <c r="AF149" i="142"/>
  <c r="H150" i="142"/>
  <c r="AI150" i="142"/>
  <c r="P150" i="142"/>
  <c r="E150" i="142" s="1"/>
  <c r="AF150" i="142"/>
  <c r="H151" i="142"/>
  <c r="P151" i="142"/>
  <c r="AF151" i="142"/>
  <c r="H152" i="142"/>
  <c r="P152" i="142"/>
  <c r="AF152" i="142"/>
  <c r="H153" i="142"/>
  <c r="P153" i="142"/>
  <c r="AF153" i="142"/>
  <c r="H154" i="142"/>
  <c r="P154" i="142"/>
  <c r="AF154" i="142"/>
  <c r="H155" i="142"/>
  <c r="P155" i="142"/>
  <c r="AF155" i="142"/>
  <c r="H156" i="142"/>
  <c r="P156" i="142"/>
  <c r="AF156" i="142"/>
  <c r="H158" i="142"/>
  <c r="P158" i="142"/>
  <c r="AF158" i="142"/>
  <c r="H159" i="142"/>
  <c r="P159" i="142"/>
  <c r="AF159" i="142"/>
  <c r="H160" i="142"/>
  <c r="P160" i="142"/>
  <c r="AF160" i="142"/>
  <c r="H161" i="142"/>
  <c r="P161" i="142"/>
  <c r="E161" i="142"/>
  <c r="AI161" i="142" s="1"/>
  <c r="AF161" i="142"/>
  <c r="H162" i="142"/>
  <c r="E162" i="142"/>
  <c r="AI162" i="142" s="1"/>
  <c r="P162" i="142"/>
  <c r="AF162" i="142"/>
  <c r="H163" i="142"/>
  <c r="P163" i="142"/>
  <c r="AF163" i="142"/>
  <c r="H164" i="142"/>
  <c r="P164" i="142"/>
  <c r="AF164" i="142"/>
  <c r="H165" i="142"/>
  <c r="P165" i="142"/>
  <c r="AF165" i="142"/>
  <c r="E165" i="142" s="1"/>
  <c r="AI165" i="142" s="1"/>
  <c r="H166" i="142"/>
  <c r="P166" i="142"/>
  <c r="AF166" i="142"/>
  <c r="H167" i="142"/>
  <c r="E167" i="142" s="1"/>
  <c r="AI167" i="142" s="1"/>
  <c r="P167" i="142"/>
  <c r="AF167" i="142"/>
  <c r="H168" i="142"/>
  <c r="P168" i="142"/>
  <c r="AF168" i="142"/>
  <c r="H169" i="142"/>
  <c r="P169" i="142"/>
  <c r="AF169" i="142"/>
  <c r="H170" i="142"/>
  <c r="P170" i="142"/>
  <c r="E170" i="142" s="1"/>
  <c r="AI170" i="142" s="1"/>
  <c r="AF170" i="142"/>
  <c r="H171" i="142"/>
  <c r="P171" i="142"/>
  <c r="AF171" i="142"/>
  <c r="H173" i="142"/>
  <c r="P173" i="142"/>
  <c r="AF173" i="142"/>
  <c r="H175" i="142"/>
  <c r="P175" i="142"/>
  <c r="AF175" i="142"/>
  <c r="H176" i="142"/>
  <c r="P176" i="142"/>
  <c r="AF176" i="142"/>
  <c r="H177" i="142"/>
  <c r="P177" i="142"/>
  <c r="E177" i="142" s="1"/>
  <c r="AI177" i="142"/>
  <c r="AF177" i="142"/>
  <c r="H178" i="142"/>
  <c r="P178" i="142"/>
  <c r="AF178" i="142"/>
  <c r="H179" i="142"/>
  <c r="P179" i="142"/>
  <c r="AF179" i="142"/>
  <c r="H180" i="142"/>
  <c r="P180" i="142"/>
  <c r="E180" i="142" s="1"/>
  <c r="AF180" i="142"/>
  <c r="H181" i="142"/>
  <c r="P181" i="142"/>
  <c r="AF181" i="142"/>
  <c r="E181" i="142"/>
  <c r="H182" i="142"/>
  <c r="P182" i="142"/>
  <c r="AF182" i="142"/>
  <c r="H183" i="142"/>
  <c r="P183" i="142"/>
  <c r="AF183" i="142"/>
  <c r="H184" i="142"/>
  <c r="P184" i="142"/>
  <c r="AF184" i="142"/>
  <c r="H185" i="142"/>
  <c r="P185" i="142"/>
  <c r="AF185" i="142"/>
  <c r="H188" i="142"/>
  <c r="P188" i="142"/>
  <c r="AF188" i="142"/>
  <c r="H189" i="142"/>
  <c r="E189" i="142" s="1"/>
  <c r="AI189" i="142" s="1"/>
  <c r="P189" i="142"/>
  <c r="AF189" i="142"/>
  <c r="H190" i="142"/>
  <c r="P190" i="142"/>
  <c r="AF190" i="142"/>
  <c r="H191" i="142"/>
  <c r="P191" i="142"/>
  <c r="AF191" i="142"/>
  <c r="H192" i="142"/>
  <c r="P192" i="142"/>
  <c r="AF192" i="142"/>
  <c r="H193" i="142"/>
  <c r="P193" i="142"/>
  <c r="AF193" i="142"/>
  <c r="H194" i="142"/>
  <c r="P194" i="142"/>
  <c r="E194" i="142" s="1"/>
  <c r="AI194" i="142" s="1"/>
  <c r="AF194" i="142"/>
  <c r="H195" i="142"/>
  <c r="P195" i="142"/>
  <c r="AF195" i="142"/>
  <c r="H196" i="142"/>
  <c r="P196" i="142"/>
  <c r="AF196" i="142"/>
  <c r="H197" i="142"/>
  <c r="AI197" i="142"/>
  <c r="P197" i="142"/>
  <c r="E197" i="142" s="1"/>
  <c r="AF197" i="142"/>
  <c r="H198" i="142"/>
  <c r="P198" i="142"/>
  <c r="AF198" i="142"/>
  <c r="H199" i="142"/>
  <c r="P199" i="142"/>
  <c r="AF199" i="142"/>
  <c r="H200" i="142"/>
  <c r="P200" i="142"/>
  <c r="E200" i="142" s="1"/>
  <c r="AI200" i="142" s="1"/>
  <c r="AF200" i="142"/>
  <c r="H201" i="142"/>
  <c r="P201" i="142"/>
  <c r="AF201" i="142"/>
  <c r="E201" i="142" s="1"/>
  <c r="AI201" i="142" s="1"/>
  <c r="H202" i="142"/>
  <c r="P202" i="142"/>
  <c r="AF202" i="142"/>
  <c r="H203" i="142"/>
  <c r="E203" i="142" s="1"/>
  <c r="AI203" i="142" s="1"/>
  <c r="P203" i="142"/>
  <c r="AF203" i="142"/>
  <c r="H204" i="142"/>
  <c r="P204" i="142"/>
  <c r="AF204" i="142"/>
  <c r="H205" i="142"/>
  <c r="P205" i="142"/>
  <c r="AF205" i="142"/>
  <c r="H206" i="142"/>
  <c r="P206" i="142"/>
  <c r="AF206" i="142"/>
  <c r="H207" i="142"/>
  <c r="P207" i="142"/>
  <c r="AF207" i="142"/>
  <c r="E207" i="142" s="1"/>
  <c r="AI207" i="142" s="1"/>
  <c r="H208" i="142"/>
  <c r="E208" i="142" s="1"/>
  <c r="AI208" i="142" s="1"/>
  <c r="P208" i="142"/>
  <c r="AF208" i="142"/>
  <c r="H209" i="142"/>
  <c r="P209" i="142"/>
  <c r="AF209" i="142"/>
  <c r="H210" i="142"/>
  <c r="P210" i="142"/>
  <c r="E210" i="142" s="1"/>
  <c r="AI210" i="142" s="1"/>
  <c r="AF210" i="142"/>
  <c r="H211" i="142"/>
  <c r="P211" i="142"/>
  <c r="AF211" i="142"/>
  <c r="H212" i="142"/>
  <c r="P212" i="142"/>
  <c r="AF212" i="142"/>
  <c r="H213" i="142"/>
  <c r="P213" i="142"/>
  <c r="AF213" i="142"/>
  <c r="E213" i="142" s="1"/>
  <c r="AI213" i="142" s="1"/>
  <c r="H214" i="142"/>
  <c r="P214" i="142"/>
  <c r="AF214" i="142"/>
  <c r="H215" i="142"/>
  <c r="E215" i="142" s="1"/>
  <c r="AI215" i="142" s="1"/>
  <c r="P215" i="142"/>
  <c r="AF215" i="142"/>
  <c r="H217" i="142"/>
  <c r="P217" i="142"/>
  <c r="AF217" i="142"/>
  <c r="AF216" i="142" s="1"/>
  <c r="H218" i="142"/>
  <c r="P218" i="142"/>
  <c r="AF218" i="142"/>
  <c r="H220" i="142"/>
  <c r="P220" i="142"/>
  <c r="P219" i="142" s="1"/>
  <c r="AF220" i="142"/>
  <c r="AF219" i="142" s="1"/>
  <c r="H221" i="142"/>
  <c r="P221" i="142"/>
  <c r="AF221" i="142"/>
  <c r="H222" i="142"/>
  <c r="P222" i="142"/>
  <c r="AF222" i="142"/>
  <c r="H225" i="142"/>
  <c r="P225" i="142"/>
  <c r="AF225" i="142"/>
  <c r="H226" i="142"/>
  <c r="P226" i="142"/>
  <c r="AF226" i="142"/>
  <c r="H227" i="142"/>
  <c r="P227" i="142"/>
  <c r="AF227" i="142"/>
  <c r="H228" i="142"/>
  <c r="P228" i="142"/>
  <c r="AI228" i="142"/>
  <c r="AF228" i="142"/>
  <c r="E228" i="142" s="1"/>
  <c r="H229" i="142"/>
  <c r="E229" i="142" s="1"/>
  <c r="AI229" i="142" s="1"/>
  <c r="P229" i="142"/>
  <c r="AF229" i="142"/>
  <c r="H230" i="142"/>
  <c r="E230" i="142" s="1"/>
  <c r="AI230" i="142" s="1"/>
  <c r="P230" i="142"/>
  <c r="AF230" i="142"/>
  <c r="H231" i="142"/>
  <c r="E231" i="142" s="1"/>
  <c r="AI231" i="142" s="1"/>
  <c r="P231" i="142"/>
  <c r="AF231" i="142"/>
  <c r="H232" i="142"/>
  <c r="P232" i="142"/>
  <c r="AF232" i="142"/>
  <c r="H233" i="142"/>
  <c r="E233" i="142" s="1"/>
  <c r="AI233" i="142" s="1"/>
  <c r="P233" i="142"/>
  <c r="AF233" i="142"/>
  <c r="H234" i="142"/>
  <c r="P234" i="142"/>
  <c r="E234" i="142" s="1"/>
  <c r="AI234" i="142" s="1"/>
  <c r="AF234" i="142"/>
  <c r="H235" i="142"/>
  <c r="E235" i="142" s="1"/>
  <c r="AI235" i="142" s="1"/>
  <c r="P235" i="142"/>
  <c r="AF235" i="142"/>
  <c r="H236" i="142"/>
  <c r="P236" i="142"/>
  <c r="AF236" i="142"/>
  <c r="H237" i="142"/>
  <c r="P237" i="142"/>
  <c r="AF237" i="142"/>
  <c r="E237" i="142" s="1"/>
  <c r="AI237" i="142" s="1"/>
  <c r="H238" i="142"/>
  <c r="P238" i="142"/>
  <c r="AF238" i="142"/>
  <c r="H239" i="142"/>
  <c r="P239" i="142"/>
  <c r="E239" i="142" s="1"/>
  <c r="AI239" i="142" s="1"/>
  <c r="AF239" i="142"/>
  <c r="H240" i="142"/>
  <c r="P240" i="142"/>
  <c r="AF240" i="142"/>
  <c r="H241" i="142"/>
  <c r="P241" i="142"/>
  <c r="AF241" i="142"/>
  <c r="H242" i="142"/>
  <c r="E242" i="142" s="1"/>
  <c r="P242" i="142"/>
  <c r="AI242" i="142"/>
  <c r="AF242" i="142"/>
  <c r="H243" i="142"/>
  <c r="P243" i="142"/>
  <c r="AF243" i="142"/>
  <c r="H244" i="142"/>
  <c r="P244" i="142"/>
  <c r="AF244" i="142"/>
  <c r="E244" i="142"/>
  <c r="AI244" i="142" s="1"/>
  <c r="H245" i="142"/>
  <c r="P245" i="142"/>
  <c r="E245" i="142"/>
  <c r="AI245" i="142" s="1"/>
  <c r="AF245" i="142"/>
  <c r="H247" i="142"/>
  <c r="P247" i="142"/>
  <c r="AF247" i="142"/>
  <c r="H248" i="142"/>
  <c r="E248" i="142" s="1"/>
  <c r="AI248" i="142" s="1"/>
  <c r="P248" i="142"/>
  <c r="AF248" i="142"/>
  <c r="H249" i="142"/>
  <c r="P249" i="142"/>
  <c r="AF249" i="142"/>
  <c r="H250" i="142"/>
  <c r="P250" i="142"/>
  <c r="AF250" i="142"/>
  <c r="H251" i="142"/>
  <c r="P251" i="142"/>
  <c r="E251" i="142" s="1"/>
  <c r="AI251" i="142" s="1"/>
  <c r="AF251" i="142"/>
  <c r="H252" i="142"/>
  <c r="P252" i="142"/>
  <c r="E252" i="142"/>
  <c r="AI252" i="142" s="1"/>
  <c r="AF252" i="142"/>
  <c r="H253" i="142"/>
  <c r="P253" i="142"/>
  <c r="AF253" i="142"/>
  <c r="H254" i="142"/>
  <c r="P254" i="142"/>
  <c r="AF254" i="142"/>
  <c r="H255" i="142"/>
  <c r="P255" i="142"/>
  <c r="AF255" i="142"/>
  <c r="H256" i="142"/>
  <c r="P256" i="142"/>
  <c r="E256" i="142" s="1"/>
  <c r="AF256" i="142"/>
  <c r="H257" i="142"/>
  <c r="P257" i="142"/>
  <c r="AF257" i="142"/>
  <c r="E257" i="142"/>
  <c r="AI257" i="142" s="1"/>
  <c r="H258" i="142"/>
  <c r="P258" i="142"/>
  <c r="AF258" i="142"/>
  <c r="H260" i="142"/>
  <c r="H259" i="142" s="1"/>
  <c r="P260" i="142"/>
  <c r="AF260" i="142"/>
  <c r="H261" i="142"/>
  <c r="P261" i="142"/>
  <c r="AF261" i="142"/>
  <c r="AF259" i="142" s="1"/>
  <c r="H262" i="142"/>
  <c r="P262" i="142"/>
  <c r="AF262" i="142"/>
  <c r="H263" i="142"/>
  <c r="P263" i="142"/>
  <c r="AF263" i="142"/>
  <c r="H264" i="142"/>
  <c r="P264" i="142"/>
  <c r="AF264" i="142"/>
  <c r="H266" i="142"/>
  <c r="P266" i="142"/>
  <c r="E266" i="142"/>
  <c r="AF266" i="142"/>
  <c r="H267" i="142"/>
  <c r="P267" i="142"/>
  <c r="AF267" i="142"/>
  <c r="H268" i="142"/>
  <c r="P268" i="142"/>
  <c r="AF268" i="142"/>
  <c r="H269" i="142"/>
  <c r="AI269" i="142"/>
  <c r="P269" i="142"/>
  <c r="E269" i="142" s="1"/>
  <c r="AF269" i="142"/>
  <c r="H270" i="142"/>
  <c r="P270" i="142"/>
  <c r="AF270" i="142"/>
  <c r="H271" i="142"/>
  <c r="P271" i="142"/>
  <c r="AF271" i="142"/>
  <c r="H272" i="142"/>
  <c r="P272" i="142"/>
  <c r="AF272" i="142"/>
  <c r="H273" i="142"/>
  <c r="E273" i="142" s="1"/>
  <c r="AI273" i="142" s="1"/>
  <c r="P273" i="142"/>
  <c r="AF273" i="142"/>
  <c r="H274" i="142"/>
  <c r="P274" i="142"/>
  <c r="AF274" i="142"/>
  <c r="H275" i="142"/>
  <c r="P275" i="142"/>
  <c r="AF275" i="142"/>
  <c r="H276" i="142"/>
  <c r="P276" i="142"/>
  <c r="E276" i="142" s="1"/>
  <c r="AI276" i="142" s="1"/>
  <c r="AF276" i="142"/>
  <c r="H277" i="142"/>
  <c r="P277" i="142"/>
  <c r="AF277" i="142"/>
  <c r="E277" i="142" s="1"/>
  <c r="AI277" i="142" s="1"/>
  <c r="H278" i="142"/>
  <c r="P278" i="142"/>
  <c r="E278" i="142" s="1"/>
  <c r="AI278" i="142" s="1"/>
  <c r="AF278" i="142"/>
  <c r="H279" i="142"/>
  <c r="P279" i="142"/>
  <c r="AF279" i="142"/>
  <c r="E279" i="142" s="1"/>
  <c r="AI279" i="142" s="1"/>
  <c r="H280" i="142"/>
  <c r="P280" i="142"/>
  <c r="AF280" i="142"/>
  <c r="H281" i="142"/>
  <c r="P281" i="142"/>
  <c r="AF281" i="142"/>
  <c r="H283" i="142"/>
  <c r="P283" i="142"/>
  <c r="AF283" i="142"/>
  <c r="H284" i="142"/>
  <c r="P284" i="142"/>
  <c r="AF284" i="142"/>
  <c r="H285" i="142"/>
  <c r="P285" i="142"/>
  <c r="AF285" i="142"/>
  <c r="H286" i="142"/>
  <c r="E286" i="142" s="1"/>
  <c r="AI286" i="142" s="1"/>
  <c r="P286" i="142"/>
  <c r="AF286" i="142"/>
  <c r="H287" i="142"/>
  <c r="P287" i="142"/>
  <c r="AF287" i="142"/>
  <c r="H288" i="142"/>
  <c r="P288" i="142"/>
  <c r="AF288" i="142"/>
  <c r="H289" i="142"/>
  <c r="P289" i="142"/>
  <c r="AF289" i="142"/>
  <c r="H290" i="142"/>
  <c r="P290" i="142"/>
  <c r="AF290" i="142"/>
  <c r="H291" i="142"/>
  <c r="P291" i="142"/>
  <c r="AF291" i="142"/>
  <c r="H292" i="142"/>
  <c r="P292" i="142"/>
  <c r="AF292" i="142"/>
  <c r="H293" i="142"/>
  <c r="P293" i="142"/>
  <c r="AF293" i="142"/>
  <c r="H294" i="142"/>
  <c r="E294" i="142"/>
  <c r="AI294" i="142" s="1"/>
  <c r="P294" i="142"/>
  <c r="AF294" i="142"/>
  <c r="H295" i="142"/>
  <c r="P295" i="142"/>
  <c r="AF295" i="142"/>
  <c r="E295" i="142"/>
  <c r="AI295" i="142"/>
  <c r="H296" i="142"/>
  <c r="P296" i="142"/>
  <c r="AF296" i="142"/>
  <c r="H298" i="142"/>
  <c r="P298" i="142"/>
  <c r="AF298" i="142"/>
  <c r="H299" i="142"/>
  <c r="P299" i="142"/>
  <c r="AF299" i="142"/>
  <c r="H300" i="142"/>
  <c r="E300" i="142"/>
  <c r="AI300" i="142" s="1"/>
  <c r="P300" i="142"/>
  <c r="AF300" i="142"/>
  <c r="H301" i="142"/>
  <c r="E301" i="142" s="1"/>
  <c r="AI301" i="142" s="1"/>
  <c r="P301" i="142"/>
  <c r="AF301" i="142"/>
  <c r="H302" i="142"/>
  <c r="P302" i="142"/>
  <c r="AF302" i="142"/>
  <c r="H303" i="142"/>
  <c r="E303" i="142" s="1"/>
  <c r="AI303" i="142" s="1"/>
  <c r="P303" i="142"/>
  <c r="AF303" i="142"/>
  <c r="H304" i="142"/>
  <c r="E304" i="142"/>
  <c r="AI304" i="142" s="1"/>
  <c r="P304" i="142"/>
  <c r="AF304" i="142"/>
  <c r="H305" i="142"/>
  <c r="P305" i="142"/>
  <c r="AF305" i="142"/>
  <c r="H306" i="142"/>
  <c r="P306" i="142"/>
  <c r="AF306" i="142"/>
  <c r="H307" i="142"/>
  <c r="P307" i="142"/>
  <c r="AF307" i="142"/>
  <c r="H308" i="142"/>
  <c r="P308" i="142"/>
  <c r="AF308" i="142"/>
  <c r="H309" i="142"/>
  <c r="E309" i="142" s="1"/>
  <c r="AI309" i="142" s="1"/>
  <c r="P309" i="142"/>
  <c r="AF309" i="142"/>
  <c r="H310" i="142"/>
  <c r="P310" i="142"/>
  <c r="AF310" i="142"/>
  <c r="H311" i="142"/>
  <c r="P311" i="142"/>
  <c r="AF311" i="142"/>
  <c r="H314" i="142"/>
  <c r="P314" i="142"/>
  <c r="E314" i="142" s="1"/>
  <c r="AF314" i="142"/>
  <c r="H315" i="142"/>
  <c r="P315" i="142"/>
  <c r="AF315" i="142"/>
  <c r="H316" i="142"/>
  <c r="E316" i="142" s="1"/>
  <c r="AI316" i="142" s="1"/>
  <c r="P316" i="142"/>
  <c r="AF316" i="142"/>
  <c r="H317" i="142"/>
  <c r="P317" i="142"/>
  <c r="AF317" i="142"/>
  <c r="H318" i="142"/>
  <c r="E318" i="142" s="1"/>
  <c r="AI318" i="142" s="1"/>
  <c r="P318" i="142"/>
  <c r="AF318" i="142"/>
  <c r="H319" i="142"/>
  <c r="P319" i="142"/>
  <c r="AF319" i="142"/>
  <c r="H320" i="142"/>
  <c r="E320" i="142" s="1"/>
  <c r="AI320" i="142" s="1"/>
  <c r="P320" i="142"/>
  <c r="AF320" i="142"/>
  <c r="H321" i="142"/>
  <c r="P321" i="142"/>
  <c r="AF321" i="142"/>
  <c r="H322" i="142"/>
  <c r="P322" i="142"/>
  <c r="AF322" i="142"/>
  <c r="H323" i="142"/>
  <c r="E323" i="142" s="1"/>
  <c r="AI323" i="142" s="1"/>
  <c r="P323" i="142"/>
  <c r="AF323" i="142"/>
  <c r="H324" i="142"/>
  <c r="E324" i="142" s="1"/>
  <c r="AI324" i="142" s="1"/>
  <c r="P324" i="142"/>
  <c r="AF324" i="142"/>
  <c r="H325" i="142"/>
  <c r="P325" i="142"/>
  <c r="E325" i="142" s="1"/>
  <c r="AI325" i="142" s="1"/>
  <c r="AF325" i="142"/>
  <c r="H326" i="142"/>
  <c r="P326" i="142"/>
  <c r="AF326" i="142"/>
  <c r="H327" i="142"/>
  <c r="P327" i="142"/>
  <c r="AF327" i="142"/>
  <c r="H329" i="142"/>
  <c r="P329" i="142"/>
  <c r="AF329" i="142"/>
  <c r="H330" i="142"/>
  <c r="P330" i="142"/>
  <c r="AF330" i="142"/>
  <c r="H331" i="142"/>
  <c r="P331" i="142"/>
  <c r="AF331" i="142"/>
  <c r="H332" i="142"/>
  <c r="P332" i="142"/>
  <c r="AF332" i="142"/>
  <c r="H333" i="142"/>
  <c r="P333" i="142"/>
  <c r="AF333" i="142"/>
  <c r="H334" i="142"/>
  <c r="P334" i="142"/>
  <c r="AF334" i="142"/>
  <c r="H335" i="142"/>
  <c r="P335" i="142"/>
  <c r="AF335" i="142"/>
  <c r="H336" i="142"/>
  <c r="P336" i="142"/>
  <c r="AF336" i="142"/>
  <c r="H337" i="142"/>
  <c r="E337" i="142" s="1"/>
  <c r="P337" i="142"/>
  <c r="AI337" i="142"/>
  <c r="AF337" i="142"/>
  <c r="H338" i="142"/>
  <c r="P338" i="142"/>
  <c r="AF338" i="142"/>
  <c r="H339" i="142"/>
  <c r="P339" i="142"/>
  <c r="AF339" i="142"/>
  <c r="H340" i="142"/>
  <c r="P340" i="142"/>
  <c r="E340" i="142" s="1"/>
  <c r="AF340" i="142"/>
  <c r="AI340" i="142"/>
  <c r="H341" i="142"/>
  <c r="P341" i="142"/>
  <c r="AF341" i="142"/>
  <c r="H342" i="142"/>
  <c r="P342" i="142"/>
  <c r="AF342" i="142"/>
  <c r="H343" i="142"/>
  <c r="E343" i="142" s="1"/>
  <c r="AI343" i="142" s="1"/>
  <c r="P343" i="142"/>
  <c r="AF343" i="142"/>
  <c r="H345" i="142"/>
  <c r="H344" i="142" s="1"/>
  <c r="P345" i="142"/>
  <c r="P344" i="142" s="1"/>
  <c r="AF345" i="142"/>
  <c r="H346" i="142"/>
  <c r="P346" i="142"/>
  <c r="AF346" i="142"/>
  <c r="AF344" i="142" s="1"/>
  <c r="H347" i="142"/>
  <c r="P347" i="142"/>
  <c r="AF347" i="142"/>
  <c r="H350" i="142"/>
  <c r="P350" i="142"/>
  <c r="AF350" i="142"/>
  <c r="H351" i="142"/>
  <c r="P351" i="142"/>
  <c r="AF351" i="142"/>
  <c r="E351" i="142" s="1"/>
  <c r="AI351" i="142"/>
  <c r="H352" i="142"/>
  <c r="P352" i="142"/>
  <c r="AF352" i="142"/>
  <c r="H353" i="142"/>
  <c r="P353" i="142"/>
  <c r="E353" i="142" s="1"/>
  <c r="AI353" i="142" s="1"/>
  <c r="AF353" i="142"/>
  <c r="H354" i="142"/>
  <c r="P354" i="142"/>
  <c r="AF354" i="142"/>
  <c r="H355" i="142"/>
  <c r="P355" i="142"/>
  <c r="E355" i="142"/>
  <c r="AI355" i="142" s="1"/>
  <c r="AF355" i="142"/>
  <c r="H356" i="142"/>
  <c r="E356" i="142" s="1"/>
  <c r="AI356" i="142" s="1"/>
  <c r="P356" i="142"/>
  <c r="AF356" i="142"/>
  <c r="H357" i="142"/>
  <c r="E357" i="142" s="1"/>
  <c r="AI357" i="142"/>
  <c r="P357" i="142"/>
  <c r="AF357" i="142"/>
  <c r="H358" i="142"/>
  <c r="P358" i="142"/>
  <c r="AF358" i="142"/>
  <c r="H359" i="142"/>
  <c r="E359" i="142" s="1"/>
  <c r="AI359" i="142" s="1"/>
  <c r="P359" i="142"/>
  <c r="AF359" i="142"/>
  <c r="H360" i="142"/>
  <c r="P360" i="142"/>
  <c r="AF360" i="142"/>
  <c r="H361" i="142"/>
  <c r="P361" i="142"/>
  <c r="AF361" i="142"/>
  <c r="H362" i="142"/>
  <c r="P362" i="142"/>
  <c r="AI362" i="142"/>
  <c r="AF362" i="142"/>
  <c r="E362" i="142" s="1"/>
  <c r="H363" i="142"/>
  <c r="P363" i="142"/>
  <c r="AF363" i="142"/>
  <c r="E363" i="142"/>
  <c r="AI363" i="142"/>
  <c r="H364" i="142"/>
  <c r="P364" i="142"/>
  <c r="AF364" i="142"/>
  <c r="H366" i="142"/>
  <c r="H365" i="142" s="1"/>
  <c r="P366" i="142"/>
  <c r="AF366" i="142"/>
  <c r="H367" i="142"/>
  <c r="P367" i="142"/>
  <c r="AF367" i="142"/>
  <c r="H368" i="142"/>
  <c r="E368" i="142"/>
  <c r="AI368" i="142" s="1"/>
  <c r="P368" i="142"/>
  <c r="AF368" i="142"/>
  <c r="H369" i="142"/>
  <c r="P369" i="142"/>
  <c r="AF369" i="142"/>
  <c r="H370" i="142"/>
  <c r="P370" i="142"/>
  <c r="E370" i="142" s="1"/>
  <c r="AI370" i="142" s="1"/>
  <c r="AF370" i="142"/>
  <c r="F365" i="142"/>
  <c r="G365" i="142"/>
  <c r="F349" i="142"/>
  <c r="G349" i="142"/>
  <c r="G348" i="142" s="1"/>
  <c r="F344" i="142"/>
  <c r="G344" i="142"/>
  <c r="F328" i="142"/>
  <c r="G328" i="142"/>
  <c r="G312" i="142"/>
  <c r="F313" i="142"/>
  <c r="G313" i="142"/>
  <c r="F297" i="142"/>
  <c r="G297" i="142"/>
  <c r="F282" i="142"/>
  <c r="G282" i="142"/>
  <c r="F265" i="142"/>
  <c r="G265" i="142"/>
  <c r="F259" i="142"/>
  <c r="G259" i="142"/>
  <c r="F246" i="142"/>
  <c r="G246" i="142"/>
  <c r="F224" i="142"/>
  <c r="G224" i="142"/>
  <c r="G223" i="142" s="1"/>
  <c r="F219" i="142"/>
  <c r="G219" i="142"/>
  <c r="F216" i="142"/>
  <c r="G216" i="142"/>
  <c r="F187" i="142"/>
  <c r="G187" i="142"/>
  <c r="AI181" i="142"/>
  <c r="F174" i="142"/>
  <c r="F172" i="142"/>
  <c r="G174" i="142"/>
  <c r="G172" i="142"/>
  <c r="F157" i="142"/>
  <c r="G157" i="142"/>
  <c r="F147" i="142"/>
  <c r="G147" i="142"/>
  <c r="F138" i="142"/>
  <c r="G138" i="142"/>
  <c r="G111" i="142"/>
  <c r="F112" i="142"/>
  <c r="G112" i="142"/>
  <c r="F108" i="142"/>
  <c r="G108" i="142"/>
  <c r="AI107" i="142"/>
  <c r="F105" i="142"/>
  <c r="G105" i="142"/>
  <c r="F96" i="142"/>
  <c r="G96" i="142"/>
  <c r="F83" i="142"/>
  <c r="G83" i="142"/>
  <c r="F70" i="142"/>
  <c r="F60" i="142" s="1"/>
  <c r="G70" i="142"/>
  <c r="AI67" i="142"/>
  <c r="F61" i="142"/>
  <c r="G61" i="142"/>
  <c r="AI49" i="142"/>
  <c r="F45" i="142"/>
  <c r="G45" i="142"/>
  <c r="F15" i="142"/>
  <c r="F14" i="142"/>
  <c r="G15" i="142"/>
  <c r="G14" i="142"/>
  <c r="F7" i="142"/>
  <c r="G7" i="142"/>
  <c r="H83" i="142"/>
  <c r="H105" i="142"/>
  <c r="I7" i="142"/>
  <c r="I15" i="142"/>
  <c r="I14" i="142" s="1"/>
  <c r="I45" i="142"/>
  <c r="I61" i="142"/>
  <c r="I70" i="142"/>
  <c r="I83" i="142"/>
  <c r="I96" i="142"/>
  <c r="I105" i="142"/>
  <c r="I103" i="142" s="1"/>
  <c r="I108" i="142"/>
  <c r="I112" i="142"/>
  <c r="I138" i="142"/>
  <c r="I147" i="142"/>
  <c r="I157" i="142"/>
  <c r="I174" i="142"/>
  <c r="I172" i="142" s="1"/>
  <c r="I187" i="142"/>
  <c r="I216" i="142"/>
  <c r="I219" i="142"/>
  <c r="I224" i="142"/>
  <c r="I246" i="142"/>
  <c r="I259" i="142"/>
  <c r="I265" i="142"/>
  <c r="I282" i="142"/>
  <c r="I297" i="142"/>
  <c r="I313" i="142"/>
  <c r="I312" i="142" s="1"/>
  <c r="I328" i="142"/>
  <c r="I344" i="142"/>
  <c r="I349" i="142"/>
  <c r="I348" i="142" s="1"/>
  <c r="I365" i="142"/>
  <c r="J7" i="142"/>
  <c r="J15" i="142"/>
  <c r="J14" i="142" s="1"/>
  <c r="J45" i="142"/>
  <c r="J61" i="142"/>
  <c r="J70" i="142"/>
  <c r="J60" i="142" s="1"/>
  <c r="J83" i="142"/>
  <c r="J96" i="142"/>
  <c r="J105" i="142"/>
  <c r="J108" i="142"/>
  <c r="J112" i="142"/>
  <c r="J138" i="142"/>
  <c r="J147" i="142"/>
  <c r="J157" i="142"/>
  <c r="J174" i="142"/>
  <c r="J172" i="142" s="1"/>
  <c r="J187" i="142"/>
  <c r="J216" i="142"/>
  <c r="J219" i="142"/>
  <c r="J224" i="142"/>
  <c r="J246" i="142"/>
  <c r="J259" i="142"/>
  <c r="J265" i="142"/>
  <c r="J282" i="142"/>
  <c r="J297" i="142"/>
  <c r="J313" i="142"/>
  <c r="J328" i="142"/>
  <c r="J312" i="142" s="1"/>
  <c r="J344" i="142"/>
  <c r="J349" i="142"/>
  <c r="J348" i="142" s="1"/>
  <c r="J365" i="142"/>
  <c r="K7" i="142"/>
  <c r="K15" i="142"/>
  <c r="K14" i="142"/>
  <c r="K45" i="142"/>
  <c r="K61" i="142"/>
  <c r="K70" i="142"/>
  <c r="K83" i="142"/>
  <c r="K96" i="142"/>
  <c r="K105" i="142"/>
  <c r="K108" i="142"/>
  <c r="K112" i="142"/>
  <c r="K138" i="142"/>
  <c r="K147" i="142"/>
  <c r="K157" i="142"/>
  <c r="K174" i="142"/>
  <c r="K172" i="142" s="1"/>
  <c r="K187" i="142"/>
  <c r="K216" i="142"/>
  <c r="K219" i="142"/>
  <c r="K224" i="142"/>
  <c r="K246" i="142"/>
  <c r="K259" i="142"/>
  <c r="K265" i="142"/>
  <c r="K282" i="142"/>
  <c r="K297" i="142"/>
  <c r="K313" i="142"/>
  <c r="K328" i="142"/>
  <c r="K344" i="142"/>
  <c r="K349" i="142"/>
  <c r="K365" i="142"/>
  <c r="K348" i="142"/>
  <c r="L7" i="142"/>
  <c r="L15" i="142"/>
  <c r="L14" i="142" s="1"/>
  <c r="L45" i="142"/>
  <c r="L61" i="142"/>
  <c r="L70" i="142"/>
  <c r="L83" i="142"/>
  <c r="L96" i="142"/>
  <c r="L105" i="142"/>
  <c r="L103" i="142" s="1"/>
  <c r="L108" i="142"/>
  <c r="L112" i="142"/>
  <c r="L138" i="142"/>
  <c r="L147" i="142"/>
  <c r="L157" i="142"/>
  <c r="L174" i="142"/>
  <c r="L172" i="142"/>
  <c r="L187" i="142"/>
  <c r="L186" i="142" s="1"/>
  <c r="L216" i="142"/>
  <c r="L219" i="142"/>
  <c r="L224" i="142"/>
  <c r="L246" i="142"/>
  <c r="L259" i="142"/>
  <c r="L265" i="142"/>
  <c r="L282" i="142"/>
  <c r="L297" i="142"/>
  <c r="L313" i="142"/>
  <c r="L328" i="142"/>
  <c r="L312" i="142" s="1"/>
  <c r="L344" i="142"/>
  <c r="L349" i="142"/>
  <c r="L365" i="142"/>
  <c r="M7" i="142"/>
  <c r="M15" i="142"/>
  <c r="M14" i="142" s="1"/>
  <c r="M45" i="142"/>
  <c r="M61" i="142"/>
  <c r="M70" i="142"/>
  <c r="M83" i="142"/>
  <c r="M96" i="142"/>
  <c r="M105" i="142"/>
  <c r="M108" i="142"/>
  <c r="M103" i="142" s="1"/>
  <c r="M112" i="142"/>
  <c r="M138" i="142"/>
  <c r="M111" i="142" s="1"/>
  <c r="M147" i="142"/>
  <c r="M157" i="142"/>
  <c r="M174" i="142"/>
  <c r="M172" i="142" s="1"/>
  <c r="M187" i="142"/>
  <c r="M216" i="142"/>
  <c r="M186" i="142"/>
  <c r="M219" i="142"/>
  <c r="M224" i="142"/>
  <c r="M246" i="142"/>
  <c r="M259" i="142"/>
  <c r="M265" i="142"/>
  <c r="M282" i="142"/>
  <c r="M297" i="142"/>
  <c r="M313" i="142"/>
  <c r="M312" i="142" s="1"/>
  <c r="M328" i="142"/>
  <c r="M344" i="142"/>
  <c r="M349" i="142"/>
  <c r="M348" i="142"/>
  <c r="M365" i="142"/>
  <c r="N7" i="142"/>
  <c r="N15" i="142"/>
  <c r="N14" i="142"/>
  <c r="N45" i="142"/>
  <c r="N61" i="142"/>
  <c r="N70" i="142"/>
  <c r="N83" i="142"/>
  <c r="N96" i="142"/>
  <c r="N105" i="142"/>
  <c r="N108" i="142"/>
  <c r="N112" i="142"/>
  <c r="N111" i="142" s="1"/>
  <c r="N138" i="142"/>
  <c r="N147" i="142"/>
  <c r="N157" i="142"/>
  <c r="N174" i="142"/>
  <c r="N172" i="142" s="1"/>
  <c r="N187" i="142"/>
  <c r="N216" i="142"/>
  <c r="N219" i="142"/>
  <c r="N224" i="142"/>
  <c r="N246" i="142"/>
  <c r="N259" i="142"/>
  <c r="N265" i="142"/>
  <c r="N282" i="142"/>
  <c r="N297" i="142"/>
  <c r="N313" i="142"/>
  <c r="N328" i="142"/>
  <c r="N344" i="142"/>
  <c r="N349" i="142"/>
  <c r="N348" i="142"/>
  <c r="N365" i="142"/>
  <c r="O7" i="142"/>
  <c r="O15" i="142"/>
  <c r="O14" i="142"/>
  <c r="O45" i="142"/>
  <c r="O61" i="142"/>
  <c r="O60" i="142"/>
  <c r="O70" i="142"/>
  <c r="O83" i="142"/>
  <c r="O96" i="142"/>
  <c r="O105" i="142"/>
  <c r="O108" i="142"/>
  <c r="O112" i="142"/>
  <c r="O138" i="142"/>
  <c r="O147" i="142"/>
  <c r="O111" i="142" s="1"/>
  <c r="O157" i="142"/>
  <c r="O174" i="142"/>
  <c r="O172" i="142"/>
  <c r="O187" i="142"/>
  <c r="O216" i="142"/>
  <c r="O219" i="142"/>
  <c r="O224" i="142"/>
  <c r="O246" i="142"/>
  <c r="O259" i="142"/>
  <c r="O265" i="142"/>
  <c r="O282" i="142"/>
  <c r="O223" i="142" s="1"/>
  <c r="O297" i="142"/>
  <c r="O313" i="142"/>
  <c r="O328" i="142"/>
  <c r="O344" i="142"/>
  <c r="O349" i="142"/>
  <c r="O348" i="142" s="1"/>
  <c r="O365" i="142"/>
  <c r="Q7" i="142"/>
  <c r="Q15" i="142"/>
  <c r="Q14" i="142" s="1"/>
  <c r="Q45" i="142"/>
  <c r="Q61" i="142"/>
  <c r="Q60" i="142" s="1"/>
  <c r="Q70" i="142"/>
  <c r="Q83" i="142"/>
  <c r="Q96" i="142"/>
  <c r="Q105" i="142"/>
  <c r="Q103" i="142" s="1"/>
  <c r="Q108" i="142"/>
  <c r="Q112" i="142"/>
  <c r="Q138" i="142"/>
  <c r="Q147" i="142"/>
  <c r="Q111" i="142"/>
  <c r="Q157" i="142"/>
  <c r="Q174" i="142"/>
  <c r="Q172" i="142"/>
  <c r="Q187" i="142"/>
  <c r="Q186" i="142" s="1"/>
  <c r="Q216" i="142"/>
  <c r="Q219" i="142"/>
  <c r="Q224" i="142"/>
  <c r="Q246" i="142"/>
  <c r="Q259" i="142"/>
  <c r="Q265" i="142"/>
  <c r="Q282" i="142"/>
  <c r="Q297" i="142"/>
  <c r="Q313" i="142"/>
  <c r="Q328" i="142"/>
  <c r="Q312" i="142" s="1"/>
  <c r="Q344" i="142"/>
  <c r="Q349" i="142"/>
  <c r="Q348" i="142" s="1"/>
  <c r="Q365" i="142"/>
  <c r="R7" i="142"/>
  <c r="R15" i="142"/>
  <c r="R14" i="142"/>
  <c r="R45" i="142"/>
  <c r="R61" i="142"/>
  <c r="R70" i="142"/>
  <c r="R83" i="142"/>
  <c r="R96" i="142"/>
  <c r="R105" i="142"/>
  <c r="R108" i="142"/>
  <c r="R112" i="142"/>
  <c r="R138" i="142"/>
  <c r="R147" i="142"/>
  <c r="R157" i="142"/>
  <c r="R174" i="142"/>
  <c r="R172" i="142" s="1"/>
  <c r="R187" i="142"/>
  <c r="R216" i="142"/>
  <c r="R219" i="142"/>
  <c r="R224" i="142"/>
  <c r="R246" i="142"/>
  <c r="R259" i="142"/>
  <c r="R265" i="142"/>
  <c r="R282" i="142"/>
  <c r="R297" i="142"/>
  <c r="R313" i="142"/>
  <c r="R328" i="142"/>
  <c r="R344" i="142"/>
  <c r="R349" i="142"/>
  <c r="R365" i="142"/>
  <c r="R348" i="142" s="1"/>
  <c r="S7" i="142"/>
  <c r="S15" i="142"/>
  <c r="S14" i="142" s="1"/>
  <c r="S45" i="142"/>
  <c r="S61" i="142"/>
  <c r="S70" i="142"/>
  <c r="S83" i="142"/>
  <c r="S96" i="142"/>
  <c r="S60" i="142"/>
  <c r="S105" i="142"/>
  <c r="S108" i="142"/>
  <c r="S103" i="142"/>
  <c r="S112" i="142"/>
  <c r="S138" i="142"/>
  <c r="S111" i="142" s="1"/>
  <c r="S147" i="142"/>
  <c r="S157" i="142"/>
  <c r="S174" i="142"/>
  <c r="S172" i="142"/>
  <c r="S187" i="142"/>
  <c r="S186" i="142"/>
  <c r="S216" i="142"/>
  <c r="S219" i="142"/>
  <c r="S224" i="142"/>
  <c r="S246" i="142"/>
  <c r="S259" i="142"/>
  <c r="S265" i="142"/>
  <c r="S282" i="142"/>
  <c r="S297" i="142"/>
  <c r="S313" i="142"/>
  <c r="S328" i="142"/>
  <c r="S344" i="142"/>
  <c r="S349" i="142"/>
  <c r="S365" i="142"/>
  <c r="T7" i="142"/>
  <c r="T15" i="142"/>
  <c r="T14" i="142" s="1"/>
  <c r="T45" i="142"/>
  <c r="T61" i="142"/>
  <c r="T70" i="142"/>
  <c r="T83" i="142"/>
  <c r="T60" i="142" s="1"/>
  <c r="T96" i="142"/>
  <c r="T105" i="142"/>
  <c r="T108" i="142"/>
  <c r="T112" i="142"/>
  <c r="T138" i="142"/>
  <c r="T147" i="142"/>
  <c r="T157" i="142"/>
  <c r="T174" i="142"/>
  <c r="T172" i="142"/>
  <c r="T187" i="142"/>
  <c r="T186" i="142" s="1"/>
  <c r="T216" i="142"/>
  <c r="T219" i="142"/>
  <c r="T224" i="142"/>
  <c r="T246" i="142"/>
  <c r="T259" i="142"/>
  <c r="T265" i="142"/>
  <c r="T282" i="142"/>
  <c r="T297" i="142"/>
  <c r="T313" i="142"/>
  <c r="T312" i="142"/>
  <c r="T328" i="142"/>
  <c r="T344" i="142"/>
  <c r="T349" i="142"/>
  <c r="T365" i="142"/>
  <c r="U7" i="142"/>
  <c r="U15" i="142"/>
  <c r="U14" i="142"/>
  <c r="U45" i="142"/>
  <c r="U61" i="142"/>
  <c r="U70" i="142"/>
  <c r="U83" i="142"/>
  <c r="U96" i="142"/>
  <c r="U105" i="142"/>
  <c r="U108" i="142"/>
  <c r="U103" i="142"/>
  <c r="U112" i="142"/>
  <c r="U138" i="142"/>
  <c r="U147" i="142"/>
  <c r="U157" i="142"/>
  <c r="U174" i="142"/>
  <c r="U172" i="142"/>
  <c r="U187" i="142"/>
  <c r="U186" i="142"/>
  <c r="U216" i="142"/>
  <c r="U219" i="142"/>
  <c r="U224" i="142"/>
  <c r="U246" i="142"/>
  <c r="U259" i="142"/>
  <c r="U265" i="142"/>
  <c r="U282" i="142"/>
  <c r="U297" i="142"/>
  <c r="U313" i="142"/>
  <c r="U328" i="142"/>
  <c r="U344" i="142"/>
  <c r="U349" i="142"/>
  <c r="U348" i="142" s="1"/>
  <c r="U365" i="142"/>
  <c r="V7" i="142"/>
  <c r="V15" i="142"/>
  <c r="V14" i="142"/>
  <c r="V45" i="142"/>
  <c r="V61" i="142"/>
  <c r="V70" i="142"/>
  <c r="V83" i="142"/>
  <c r="V96" i="142"/>
  <c r="V105" i="142"/>
  <c r="V103" i="142"/>
  <c r="V108" i="142"/>
  <c r="V112" i="142"/>
  <c r="V138" i="142"/>
  <c r="V147" i="142"/>
  <c r="V157" i="142"/>
  <c r="V174" i="142"/>
  <c r="V172" i="142" s="1"/>
  <c r="V187" i="142"/>
  <c r="V216" i="142"/>
  <c r="V219" i="142"/>
  <c r="V224" i="142"/>
  <c r="V246" i="142"/>
  <c r="V223" i="142" s="1"/>
  <c r="V259" i="142"/>
  <c r="V265" i="142"/>
  <c r="V282" i="142"/>
  <c r="V297" i="142"/>
  <c r="V313" i="142"/>
  <c r="V312" i="142" s="1"/>
  <c r="V328" i="142"/>
  <c r="V344" i="142"/>
  <c r="V349" i="142"/>
  <c r="V365" i="142"/>
  <c r="W7" i="142"/>
  <c r="W15" i="142"/>
  <c r="W14" i="142" s="1"/>
  <c r="W45" i="142"/>
  <c r="W61" i="142"/>
  <c r="W70" i="142"/>
  <c r="W83" i="142"/>
  <c r="W96" i="142"/>
  <c r="W105" i="142"/>
  <c r="W103" i="142" s="1"/>
  <c r="W108" i="142"/>
  <c r="W112" i="142"/>
  <c r="W138" i="142"/>
  <c r="W111" i="142" s="1"/>
  <c r="W147" i="142"/>
  <c r="W157" i="142"/>
  <c r="W174" i="142"/>
  <c r="W172" i="142"/>
  <c r="W187" i="142"/>
  <c r="W186" i="142" s="1"/>
  <c r="W216" i="142"/>
  <c r="W219" i="142"/>
  <c r="W224" i="142"/>
  <c r="W246" i="142"/>
  <c r="W259" i="142"/>
  <c r="W265" i="142"/>
  <c r="W282" i="142"/>
  <c r="W297" i="142"/>
  <c r="W313" i="142"/>
  <c r="W312" i="142"/>
  <c r="W328" i="142"/>
  <c r="W344" i="142"/>
  <c r="W349" i="142"/>
  <c r="W348" i="142" s="1"/>
  <c r="W365" i="142"/>
  <c r="X7" i="142"/>
  <c r="X15" i="142"/>
  <c r="X14" i="142"/>
  <c r="X45" i="142"/>
  <c r="X61" i="142"/>
  <c r="X70" i="142"/>
  <c r="X83" i="142"/>
  <c r="X60" i="142"/>
  <c r="X96" i="142"/>
  <c r="X105" i="142"/>
  <c r="X108" i="142"/>
  <c r="X112" i="142"/>
  <c r="X138" i="142"/>
  <c r="X147" i="142"/>
  <c r="X157" i="142"/>
  <c r="X174" i="142"/>
  <c r="X172" i="142"/>
  <c r="X187" i="142"/>
  <c r="X216" i="142"/>
  <c r="X219" i="142"/>
  <c r="X224" i="142"/>
  <c r="X246" i="142"/>
  <c r="X259" i="142"/>
  <c r="X265" i="142"/>
  <c r="X282" i="142"/>
  <c r="X297" i="142"/>
  <c r="X313" i="142"/>
  <c r="X328" i="142"/>
  <c r="X344" i="142"/>
  <c r="X349" i="142"/>
  <c r="X365" i="142"/>
  <c r="Y7" i="142"/>
  <c r="Y15" i="142"/>
  <c r="Y14" i="142" s="1"/>
  <c r="Y45" i="142"/>
  <c r="Y61" i="142"/>
  <c r="Y60" i="142" s="1"/>
  <c r="Y70" i="142"/>
  <c r="Y83" i="142"/>
  <c r="Y96" i="142"/>
  <c r="Y105" i="142"/>
  <c r="Y103" i="142" s="1"/>
  <c r="Y108" i="142"/>
  <c r="Y112" i="142"/>
  <c r="Y138" i="142"/>
  <c r="Y147" i="142"/>
  <c r="Y157" i="142"/>
  <c r="Y174" i="142"/>
  <c r="Y172" i="142"/>
  <c r="Y187" i="142"/>
  <c r="Y216" i="142"/>
  <c r="Y219" i="142"/>
  <c r="Y224" i="142"/>
  <c r="Y246" i="142"/>
  <c r="Y259" i="142"/>
  <c r="Y265" i="142"/>
  <c r="Y282" i="142"/>
  <c r="Y297" i="142"/>
  <c r="Y313" i="142"/>
  <c r="Y312" i="142" s="1"/>
  <c r="Y328" i="142"/>
  <c r="Y344" i="142"/>
  <c r="Y349" i="142"/>
  <c r="Y348" i="142"/>
  <c r="Y365" i="142"/>
  <c r="Z7" i="142"/>
  <c r="Z15" i="142"/>
  <c r="Z14" i="142" s="1"/>
  <c r="Z45" i="142"/>
  <c r="Z61" i="142"/>
  <c r="Z70" i="142"/>
  <c r="Z83" i="142"/>
  <c r="Z96" i="142"/>
  <c r="Z105" i="142"/>
  <c r="Z108" i="142"/>
  <c r="Z112" i="142"/>
  <c r="Z138" i="142"/>
  <c r="Z147" i="142"/>
  <c r="Z157" i="142"/>
  <c r="Z174" i="142"/>
  <c r="Z172" i="142"/>
  <c r="Z187" i="142"/>
  <c r="Z186" i="142" s="1"/>
  <c r="Z216" i="142"/>
  <c r="Z219" i="142"/>
  <c r="Z224" i="142"/>
  <c r="Z246" i="142"/>
  <c r="Z259" i="142"/>
  <c r="Z265" i="142"/>
  <c r="Z282" i="142"/>
  <c r="Z297" i="142"/>
  <c r="Z313" i="142"/>
  <c r="Z328" i="142"/>
  <c r="Z312" i="142"/>
  <c r="Z344" i="142"/>
  <c r="Z349" i="142"/>
  <c r="Z365" i="142"/>
  <c r="AA7" i="142"/>
  <c r="AA15" i="142"/>
  <c r="AA14" i="142" s="1"/>
  <c r="AA45" i="142"/>
  <c r="AA61" i="142"/>
  <c r="AA70" i="142"/>
  <c r="AA83" i="142"/>
  <c r="AA96" i="142"/>
  <c r="AA105" i="142"/>
  <c r="AA108" i="142"/>
  <c r="AA112" i="142"/>
  <c r="AA138" i="142"/>
  <c r="AA147" i="142"/>
  <c r="AA157" i="142"/>
  <c r="AA174" i="142"/>
  <c r="AA172" i="142"/>
  <c r="AA187" i="142"/>
  <c r="AA216" i="142"/>
  <c r="AA186" i="142" s="1"/>
  <c r="AA219" i="142"/>
  <c r="AA224" i="142"/>
  <c r="AA246" i="142"/>
  <c r="AA259" i="142"/>
  <c r="AA265" i="142"/>
  <c r="AA282" i="142"/>
  <c r="AA297" i="142"/>
  <c r="AA313" i="142"/>
  <c r="AA328" i="142"/>
  <c r="AA344" i="142"/>
  <c r="AA349" i="142"/>
  <c r="AA348" i="142" s="1"/>
  <c r="AA365" i="142"/>
  <c r="AB7" i="142"/>
  <c r="AB15" i="142"/>
  <c r="AB14" i="142"/>
  <c r="AB45" i="142"/>
  <c r="AB61" i="142"/>
  <c r="AB70" i="142"/>
  <c r="AB83" i="142"/>
  <c r="AB96" i="142"/>
  <c r="AB60" i="142" s="1"/>
  <c r="AB105" i="142"/>
  <c r="AB103" i="142" s="1"/>
  <c r="AB108" i="142"/>
  <c r="AB112" i="142"/>
  <c r="AB138" i="142"/>
  <c r="AB147" i="142"/>
  <c r="AB111" i="142" s="1"/>
  <c r="AB157" i="142"/>
  <c r="AB174" i="142"/>
  <c r="AB172" i="142" s="1"/>
  <c r="AB187" i="142"/>
  <c r="AB186" i="142" s="1"/>
  <c r="AB216" i="142"/>
  <c r="AB219" i="142"/>
  <c r="AB224" i="142"/>
  <c r="AB246" i="142"/>
  <c r="AB259" i="142"/>
  <c r="AB265" i="142"/>
  <c r="AB282" i="142"/>
  <c r="AB297" i="142"/>
  <c r="AB313" i="142"/>
  <c r="AB328" i="142"/>
  <c r="AB312" i="142"/>
  <c r="AB344" i="142"/>
  <c r="AB349" i="142"/>
  <c r="AB365" i="142"/>
  <c r="AC7" i="142"/>
  <c r="AC15" i="142"/>
  <c r="AC14" i="142"/>
  <c r="AC45" i="142"/>
  <c r="AC61" i="142"/>
  <c r="AC70" i="142"/>
  <c r="AC83" i="142"/>
  <c r="AC96" i="142"/>
  <c r="AC105" i="142"/>
  <c r="AC103" i="142" s="1"/>
  <c r="AC108" i="142"/>
  <c r="AC112" i="142"/>
  <c r="AC138" i="142"/>
  <c r="AC147" i="142"/>
  <c r="AC157" i="142"/>
  <c r="AC174" i="142"/>
  <c r="AC172" i="142"/>
  <c r="AC187" i="142"/>
  <c r="AC186" i="142" s="1"/>
  <c r="AC216" i="142"/>
  <c r="AC219" i="142"/>
  <c r="AC224" i="142"/>
  <c r="AC223" i="142" s="1"/>
  <c r="AC246" i="142"/>
  <c r="AC259" i="142"/>
  <c r="AC265" i="142"/>
  <c r="AC282" i="142"/>
  <c r="AC297" i="142"/>
  <c r="AC313" i="142"/>
  <c r="AC312" i="142" s="1"/>
  <c r="AC328" i="142"/>
  <c r="AC344" i="142"/>
  <c r="AC349" i="142"/>
  <c r="AC348" i="142" s="1"/>
  <c r="AC365" i="142"/>
  <c r="AD7" i="142"/>
  <c r="AD15" i="142"/>
  <c r="AD14" i="142"/>
  <c r="AD45" i="142"/>
  <c r="AD61" i="142"/>
  <c r="AD70" i="142"/>
  <c r="AD60" i="142" s="1"/>
  <c r="AD83" i="142"/>
  <c r="AD96" i="142"/>
  <c r="AD105" i="142"/>
  <c r="AD103" i="142"/>
  <c r="AD108" i="142"/>
  <c r="AD112" i="142"/>
  <c r="AD138" i="142"/>
  <c r="AD147" i="142"/>
  <c r="AD157" i="142"/>
  <c r="AD174" i="142"/>
  <c r="AD172" i="142"/>
  <c r="AD187" i="142"/>
  <c r="AD186" i="142" s="1"/>
  <c r="AD216" i="142"/>
  <c r="AD219" i="142"/>
  <c r="AD224" i="142"/>
  <c r="AD246" i="142"/>
  <c r="AD259" i="142"/>
  <c r="AD265" i="142"/>
  <c r="AD282" i="142"/>
  <c r="AD297" i="142"/>
  <c r="AD313" i="142"/>
  <c r="AD312" i="142"/>
  <c r="AD328" i="142"/>
  <c r="AD344" i="142"/>
  <c r="AD349" i="142"/>
  <c r="AD365" i="142"/>
  <c r="AD348" i="142" s="1"/>
  <c r="AE7" i="142"/>
  <c r="AE15" i="142"/>
  <c r="AE14" i="142" s="1"/>
  <c r="AE45" i="142"/>
  <c r="AE61" i="142"/>
  <c r="AE60" i="142" s="1"/>
  <c r="AE70" i="142"/>
  <c r="AE83" i="142"/>
  <c r="AE96" i="142"/>
  <c r="AE105" i="142"/>
  <c r="AE108" i="142"/>
  <c r="AE112" i="142"/>
  <c r="AE111" i="142" s="1"/>
  <c r="AE6" i="142" s="1"/>
  <c r="AE138" i="142"/>
  <c r="AE147" i="142"/>
  <c r="AE157" i="142"/>
  <c r="AE174" i="142"/>
  <c r="AE172" i="142" s="1"/>
  <c r="AE187" i="142"/>
  <c r="AE186" i="142" s="1"/>
  <c r="AE216" i="142"/>
  <c r="AE219" i="142"/>
  <c r="AE224" i="142"/>
  <c r="AE246" i="142"/>
  <c r="AE259" i="142"/>
  <c r="AE265" i="142"/>
  <c r="AE223" i="142" s="1"/>
  <c r="AE282" i="142"/>
  <c r="AE297" i="142"/>
  <c r="AE313" i="142"/>
  <c r="AE312" i="142" s="1"/>
  <c r="AE328" i="142"/>
  <c r="AE344" i="142"/>
  <c r="AE349" i="142"/>
  <c r="AE365" i="142"/>
  <c r="AE348" i="142"/>
  <c r="AF7" i="142"/>
  <c r="AF61" i="142"/>
  <c r="AF105" i="142"/>
  <c r="AF108" i="142"/>
  <c r="AF103" i="142" s="1"/>
  <c r="AF138" i="142"/>
  <c r="AG7" i="142"/>
  <c r="AG15" i="142"/>
  <c r="AG14" i="142"/>
  <c r="AG45" i="142"/>
  <c r="AG61" i="142"/>
  <c r="AG70" i="142"/>
  <c r="AG83" i="142"/>
  <c r="AG96" i="142"/>
  <c r="AG105" i="142"/>
  <c r="AG103" i="142" s="1"/>
  <c r="AG108" i="142"/>
  <c r="AG112" i="142"/>
  <c r="AG138" i="142"/>
  <c r="AG147" i="142"/>
  <c r="AG157" i="142"/>
  <c r="AG174" i="142"/>
  <c r="AG172" i="142" s="1"/>
  <c r="AG187" i="142"/>
  <c r="AG186" i="142"/>
  <c r="AG216" i="142"/>
  <c r="AG219" i="142"/>
  <c r="AG224" i="142"/>
  <c r="AG246" i="142"/>
  <c r="AG259" i="142"/>
  <c r="AG265" i="142"/>
  <c r="AG282" i="142"/>
  <c r="AG297" i="142"/>
  <c r="AG313" i="142"/>
  <c r="AG312" i="142" s="1"/>
  <c r="AG328" i="142"/>
  <c r="AG344" i="142"/>
  <c r="AG349" i="142"/>
  <c r="AG348" i="142" s="1"/>
  <c r="AG365" i="142"/>
  <c r="AH7" i="142"/>
  <c r="AH15" i="142"/>
  <c r="AH14" i="142" s="1"/>
  <c r="AH45" i="142"/>
  <c r="AH61" i="142"/>
  <c r="AH70" i="142"/>
  <c r="AH83" i="142"/>
  <c r="AH96" i="142"/>
  <c r="AH105" i="142"/>
  <c r="AH108" i="142"/>
  <c r="AH112" i="142"/>
  <c r="AH138" i="142"/>
  <c r="AH147" i="142"/>
  <c r="AH157" i="142"/>
  <c r="AH174" i="142"/>
  <c r="AH172" i="142" s="1"/>
  <c r="AH187" i="142"/>
  <c r="AH186" i="142" s="1"/>
  <c r="AH216" i="142"/>
  <c r="AH219" i="142"/>
  <c r="AH224" i="142"/>
  <c r="AH246" i="142"/>
  <c r="AH259" i="142"/>
  <c r="AH265" i="142"/>
  <c r="AH282" i="142"/>
  <c r="AH297" i="142"/>
  <c r="AH313" i="142"/>
  <c r="AH312" i="142" s="1"/>
  <c r="AH328" i="142"/>
  <c r="AH344" i="142"/>
  <c r="AH349" i="142"/>
  <c r="AH365" i="142"/>
  <c r="AH348" i="142"/>
  <c r="J26" i="141"/>
  <c r="H26" i="141"/>
  <c r="F26" i="141"/>
  <c r="D26" i="141"/>
  <c r="J25" i="141"/>
  <c r="I25" i="141"/>
  <c r="H25" i="141"/>
  <c r="G25" i="141"/>
  <c r="F25" i="141"/>
  <c r="E25" i="141"/>
  <c r="D25" i="141"/>
  <c r="C25" i="141"/>
  <c r="J15" i="141"/>
  <c r="H15" i="141"/>
  <c r="F15" i="141"/>
  <c r="D15" i="141"/>
  <c r="J13" i="141"/>
  <c r="I13" i="141"/>
  <c r="H13" i="141"/>
  <c r="G13" i="141"/>
  <c r="F13" i="141"/>
  <c r="E13" i="141"/>
  <c r="D13" i="141"/>
  <c r="C13" i="141"/>
  <c r="J7" i="141"/>
  <c r="H7" i="141"/>
  <c r="F7" i="141"/>
  <c r="D7" i="141"/>
  <c r="F8" i="138"/>
  <c r="F5" i="138" s="1"/>
  <c r="G8" i="138"/>
  <c r="G5" i="138" s="1"/>
  <c r="H8" i="138"/>
  <c r="H5" i="138"/>
  <c r="I8" i="138"/>
  <c r="I5" i="138"/>
  <c r="J8" i="138"/>
  <c r="J5" i="138" s="1"/>
  <c r="K8" i="138"/>
  <c r="K5" i="138" s="1"/>
  <c r="L8" i="138"/>
  <c r="L5" i="138" s="1"/>
  <c r="M8" i="138"/>
  <c r="M5" i="138" s="1"/>
  <c r="N8" i="138"/>
  <c r="N5" i="138"/>
  <c r="O8" i="138"/>
  <c r="O5" i="138" s="1"/>
  <c r="P8" i="138"/>
  <c r="P5" i="138" s="1"/>
  <c r="Q8" i="138"/>
  <c r="Q5" i="138" s="1"/>
  <c r="R8" i="138"/>
  <c r="R5" i="138" s="1"/>
  <c r="S8" i="138"/>
  <c r="S5" i="138" s="1"/>
  <c r="T8" i="138"/>
  <c r="T5" i="138"/>
  <c r="U8" i="138"/>
  <c r="U5" i="138" s="1"/>
  <c r="V8" i="138"/>
  <c r="V5" i="138" s="1"/>
  <c r="W8" i="138"/>
  <c r="W5" i="138" s="1"/>
  <c r="X8" i="138"/>
  <c r="X5" i="138" s="1"/>
  <c r="Y8" i="138"/>
  <c r="Y5" i="138" s="1"/>
  <c r="Z8" i="138"/>
  <c r="Z5" i="138"/>
  <c r="AA8" i="138"/>
  <c r="AA5" i="138" s="1"/>
  <c r="AB8" i="138"/>
  <c r="AB5" i="138"/>
  <c r="AC8" i="138"/>
  <c r="AC5" i="138"/>
  <c r="AD8" i="138"/>
  <c r="AD5" i="138" s="1"/>
  <c r="AE8" i="138"/>
  <c r="AE5" i="138"/>
  <c r="AG8" i="138"/>
  <c r="AG5" i="138" s="1"/>
  <c r="AH8" i="138"/>
  <c r="AH5" i="138"/>
  <c r="H11" i="138"/>
  <c r="P11" i="138"/>
  <c r="AF11" i="138"/>
  <c r="H12" i="138"/>
  <c r="P12" i="138"/>
  <c r="AF12" i="138"/>
  <c r="H13" i="138"/>
  <c r="P13" i="138"/>
  <c r="AF13" i="138"/>
  <c r="E13" i="138" s="1"/>
  <c r="AI13" i="138" s="1"/>
  <c r="H14" i="138"/>
  <c r="P14" i="138"/>
  <c r="AF14" i="138"/>
  <c r="K7" i="134"/>
  <c r="K9" i="134"/>
  <c r="J11" i="134"/>
  <c r="K11" i="134"/>
  <c r="J12" i="134"/>
  <c r="K12" i="134"/>
  <c r="J13" i="134"/>
  <c r="K13" i="134"/>
  <c r="J14" i="134"/>
  <c r="K14" i="134"/>
  <c r="J15" i="134"/>
  <c r="K15" i="134"/>
  <c r="J16" i="134"/>
  <c r="K16" i="134"/>
  <c r="J17" i="134"/>
  <c r="K17" i="134"/>
  <c r="J18" i="134"/>
  <c r="K18" i="134"/>
  <c r="J19" i="134"/>
  <c r="K19" i="134"/>
  <c r="B25" i="134"/>
  <c r="B26" i="134"/>
  <c r="B27" i="134"/>
  <c r="E27" i="134"/>
  <c r="B28" i="134"/>
  <c r="B29" i="134"/>
  <c r="E29" i="134"/>
  <c r="B30" i="134"/>
  <c r="B31" i="134"/>
  <c r="B32" i="134"/>
  <c r="B33" i="134"/>
  <c r="B35" i="134"/>
  <c r="B36" i="134"/>
  <c r="B37" i="134"/>
  <c r="E37" i="134"/>
  <c r="B38" i="134"/>
  <c r="B39" i="134"/>
  <c r="E39" i="134"/>
  <c r="B40" i="134"/>
  <c r="B41" i="134"/>
  <c r="B42" i="134"/>
  <c r="C4" i="131"/>
  <c r="D4" i="131"/>
  <c r="E4" i="131"/>
  <c r="G4" i="131"/>
  <c r="G20" i="131" s="1"/>
  <c r="H4" i="131"/>
  <c r="H20" i="131"/>
  <c r="I4" i="131"/>
  <c r="I20" i="131" s="1"/>
  <c r="B5" i="131"/>
  <c r="E32" i="131"/>
  <c r="K5" i="131"/>
  <c r="B6" i="131"/>
  <c r="K6" i="131"/>
  <c r="B7" i="131"/>
  <c r="E34" i="131" s="1"/>
  <c r="K7" i="131"/>
  <c r="B8" i="131"/>
  <c r="E35" i="131"/>
  <c r="K8" i="131"/>
  <c r="B9" i="131"/>
  <c r="E36" i="131" s="1"/>
  <c r="K9" i="131"/>
  <c r="C10" i="131"/>
  <c r="C20" i="131"/>
  <c r="D10" i="131"/>
  <c r="E10" i="131"/>
  <c r="E20" i="131" s="1"/>
  <c r="F10" i="131"/>
  <c r="G10" i="131"/>
  <c r="I10" i="131"/>
  <c r="B11" i="131"/>
  <c r="J11" i="131"/>
  <c r="K11" i="131"/>
  <c r="B12" i="131"/>
  <c r="B33" i="131"/>
  <c r="J12" i="131"/>
  <c r="K12" i="131"/>
  <c r="B13" i="131"/>
  <c r="B34" i="131"/>
  <c r="J13" i="131"/>
  <c r="K13" i="131"/>
  <c r="B14" i="131"/>
  <c r="B35" i="131"/>
  <c r="J14" i="131"/>
  <c r="K14" i="131"/>
  <c r="B15" i="131"/>
  <c r="B36" i="131"/>
  <c r="J15" i="131"/>
  <c r="K15" i="131"/>
  <c r="B16" i="131"/>
  <c r="B37" i="131"/>
  <c r="J16" i="131"/>
  <c r="K16" i="131"/>
  <c r="B17" i="131"/>
  <c r="B38" i="131"/>
  <c r="J17" i="131"/>
  <c r="K17" i="131"/>
  <c r="B18" i="131"/>
  <c r="B39" i="131"/>
  <c r="J18" i="131"/>
  <c r="K18" i="131"/>
  <c r="B19" i="131"/>
  <c r="B40" i="131"/>
  <c r="J19" i="131"/>
  <c r="K19" i="131"/>
  <c r="B22" i="131"/>
  <c r="E22" i="131"/>
  <c r="B23" i="131"/>
  <c r="E23" i="131"/>
  <c r="B24" i="131"/>
  <c r="E24" i="131"/>
  <c r="B25" i="131"/>
  <c r="E25" i="131"/>
  <c r="B26" i="131"/>
  <c r="E26" i="131"/>
  <c r="B27" i="131"/>
  <c r="B28" i="131"/>
  <c r="B29" i="131"/>
  <c r="B30" i="131"/>
  <c r="C4" i="132"/>
  <c r="K4" i="132" s="1"/>
  <c r="D4" i="132"/>
  <c r="E4" i="132"/>
  <c r="E20" i="132" s="1"/>
  <c r="F4" i="132"/>
  <c r="G4" i="132"/>
  <c r="H4" i="132"/>
  <c r="H20" i="132" s="1"/>
  <c r="I4" i="132"/>
  <c r="B5" i="132"/>
  <c r="K5" i="132"/>
  <c r="B6" i="132"/>
  <c r="J6" i="132" s="1"/>
  <c r="K6" i="132"/>
  <c r="B7" i="132"/>
  <c r="J7" i="132" s="1"/>
  <c r="K7" i="132"/>
  <c r="B8" i="132"/>
  <c r="J8" i="132" s="1"/>
  <c r="K8" i="132"/>
  <c r="B9" i="132"/>
  <c r="J9" i="132"/>
  <c r="K9" i="132"/>
  <c r="C10" i="132"/>
  <c r="D10" i="132"/>
  <c r="E10" i="132"/>
  <c r="G10" i="132"/>
  <c r="G20" i="132" s="1"/>
  <c r="H10" i="132"/>
  <c r="B11" i="132"/>
  <c r="J11" i="132"/>
  <c r="K11" i="132"/>
  <c r="B12" i="132"/>
  <c r="J12" i="132"/>
  <c r="K12" i="132"/>
  <c r="B13" i="132"/>
  <c r="J13" i="132"/>
  <c r="K13" i="132"/>
  <c r="B14" i="132"/>
  <c r="J14" i="132"/>
  <c r="K14" i="132"/>
  <c r="B15" i="132"/>
  <c r="J15" i="132"/>
  <c r="K15" i="132"/>
  <c r="B16" i="132"/>
  <c r="J16" i="132"/>
  <c r="K16" i="132"/>
  <c r="B17" i="132"/>
  <c r="J17" i="132"/>
  <c r="K17" i="132"/>
  <c r="B18" i="132"/>
  <c r="J18" i="132"/>
  <c r="K18" i="132"/>
  <c r="B19" i="132"/>
  <c r="J19" i="132"/>
  <c r="K19" i="132"/>
  <c r="D22" i="132"/>
  <c r="C4" i="133"/>
  <c r="C20" i="133" s="1"/>
  <c r="D4" i="133"/>
  <c r="E4" i="133"/>
  <c r="F4" i="133"/>
  <c r="F20" i="133" s="1"/>
  <c r="H4" i="133"/>
  <c r="I4" i="133"/>
  <c r="B5" i="133"/>
  <c r="K5" i="133"/>
  <c r="B6" i="133"/>
  <c r="J6" i="133"/>
  <c r="K6" i="133"/>
  <c r="B7" i="133"/>
  <c r="J7" i="133"/>
  <c r="K7" i="133"/>
  <c r="B8" i="133"/>
  <c r="J8" i="133" s="1"/>
  <c r="K8" i="133"/>
  <c r="B9" i="133"/>
  <c r="J9" i="133" s="1"/>
  <c r="K9" i="133"/>
  <c r="C10" i="133"/>
  <c r="D10" i="133"/>
  <c r="E10" i="133"/>
  <c r="E20" i="133"/>
  <c r="F10" i="133"/>
  <c r="H10" i="133"/>
  <c r="H20" i="133" s="1"/>
  <c r="I10" i="133"/>
  <c r="B11" i="133"/>
  <c r="K11" i="133"/>
  <c r="B12" i="133"/>
  <c r="J12" i="133" s="1"/>
  <c r="K12" i="133"/>
  <c r="B13" i="133"/>
  <c r="J13" i="133"/>
  <c r="K13" i="133"/>
  <c r="B14" i="133"/>
  <c r="J14" i="133"/>
  <c r="K14" i="133"/>
  <c r="B15" i="133"/>
  <c r="J15" i="133"/>
  <c r="K15" i="133"/>
  <c r="B16" i="133"/>
  <c r="J16" i="133" s="1"/>
  <c r="K16" i="133"/>
  <c r="B17" i="133"/>
  <c r="J17" i="133"/>
  <c r="K17" i="133"/>
  <c r="B18" i="133"/>
  <c r="J18" i="133" s="1"/>
  <c r="K18" i="133"/>
  <c r="B19" i="133"/>
  <c r="J19" i="133"/>
  <c r="K19" i="133"/>
  <c r="F5" i="123"/>
  <c r="G5" i="123"/>
  <c r="I5" i="123"/>
  <c r="J5" i="123"/>
  <c r="K5" i="123"/>
  <c r="L5" i="123"/>
  <c r="M5" i="123"/>
  <c r="N5" i="123"/>
  <c r="O5" i="123"/>
  <c r="Q5" i="123"/>
  <c r="R5" i="123"/>
  <c r="S5" i="123"/>
  <c r="T5" i="123"/>
  <c r="U5" i="123"/>
  <c r="V5" i="123"/>
  <c r="W5" i="123"/>
  <c r="X5" i="123"/>
  <c r="Y5" i="123"/>
  <c r="Z5" i="123"/>
  <c r="AA5" i="123"/>
  <c r="AB5" i="123"/>
  <c r="AC5" i="123"/>
  <c r="AD5" i="123"/>
  <c r="AE5" i="123"/>
  <c r="AG5" i="123"/>
  <c r="AH5" i="123"/>
  <c r="E6" i="123"/>
  <c r="H6" i="123"/>
  <c r="P6" i="123"/>
  <c r="AF6" i="123"/>
  <c r="E7" i="123"/>
  <c r="H7" i="123"/>
  <c r="P7" i="123"/>
  <c r="AF7" i="123"/>
  <c r="E8" i="123"/>
  <c r="H8" i="123"/>
  <c r="P8" i="123"/>
  <c r="AF8" i="123"/>
  <c r="E9" i="123"/>
  <c r="H9" i="123"/>
  <c r="P9" i="123"/>
  <c r="P5" i="123" s="1"/>
  <c r="AF9" i="123"/>
  <c r="E10" i="123"/>
  <c r="H10" i="123"/>
  <c r="P10" i="123"/>
  <c r="AF10" i="123"/>
  <c r="H8" i="122"/>
  <c r="P8" i="122"/>
  <c r="AF8" i="122"/>
  <c r="H9" i="122"/>
  <c r="P9" i="122"/>
  <c r="AF9" i="122"/>
  <c r="F10" i="122"/>
  <c r="G10" i="122"/>
  <c r="I10" i="122"/>
  <c r="J10" i="122"/>
  <c r="K10" i="122"/>
  <c r="L10" i="122"/>
  <c r="M10" i="122"/>
  <c r="N10" i="122"/>
  <c r="O10" i="122"/>
  <c r="Q10" i="122"/>
  <c r="R10" i="122"/>
  <c r="S10" i="122"/>
  <c r="S7" i="122" s="1"/>
  <c r="T10" i="122"/>
  <c r="U10" i="122"/>
  <c r="V10" i="122"/>
  <c r="W10" i="122"/>
  <c r="X10" i="122"/>
  <c r="Y10" i="122"/>
  <c r="Z10" i="122"/>
  <c r="AA10" i="122"/>
  <c r="AB10" i="122"/>
  <c r="AC10" i="122"/>
  <c r="AD10" i="122"/>
  <c r="AD7" i="122"/>
  <c r="AE10" i="122"/>
  <c r="AG10" i="122"/>
  <c r="AH10" i="122"/>
  <c r="H11" i="122"/>
  <c r="P11" i="122"/>
  <c r="AF11" i="122"/>
  <c r="H12" i="122"/>
  <c r="P12" i="122"/>
  <c r="AF12" i="122"/>
  <c r="H13" i="122"/>
  <c r="P13" i="122"/>
  <c r="E13" i="122" s="1"/>
  <c r="AI13" i="122" s="1"/>
  <c r="AF13" i="122"/>
  <c r="H14" i="122"/>
  <c r="P14" i="122"/>
  <c r="AF14" i="122"/>
  <c r="H15" i="122"/>
  <c r="P15" i="122"/>
  <c r="AF15" i="122"/>
  <c r="H16" i="122"/>
  <c r="E16" i="122" s="1"/>
  <c r="AI16" i="122" s="1"/>
  <c r="P16" i="122"/>
  <c r="AF16" i="122"/>
  <c r="H17" i="122"/>
  <c r="AF17" i="122"/>
  <c r="E17" i="122"/>
  <c r="AI17" i="122" s="1"/>
  <c r="H18" i="122"/>
  <c r="E18" i="122" s="1"/>
  <c r="AI18" i="122" s="1"/>
  <c r="P18" i="122"/>
  <c r="AF18" i="122"/>
  <c r="H19" i="122"/>
  <c r="P19" i="122"/>
  <c r="AF19" i="122"/>
  <c r="H20" i="122"/>
  <c r="P20" i="122"/>
  <c r="E20" i="122"/>
  <c r="AI20" i="122" s="1"/>
  <c r="AF20" i="122"/>
  <c r="H21" i="122"/>
  <c r="P21" i="122"/>
  <c r="E21" i="122" s="1"/>
  <c r="AI21" i="122" s="1"/>
  <c r="AF21" i="122"/>
  <c r="H22" i="122"/>
  <c r="P22" i="122"/>
  <c r="AF22" i="122"/>
  <c r="H23" i="122"/>
  <c r="P23" i="122"/>
  <c r="AF23" i="122"/>
  <c r="H24" i="122"/>
  <c r="P24" i="122"/>
  <c r="AF24" i="122"/>
  <c r="E24" i="122" s="1"/>
  <c r="AI24" i="122" s="1"/>
  <c r="F26" i="122"/>
  <c r="G26" i="122"/>
  <c r="I26" i="122"/>
  <c r="I25" i="122" s="1"/>
  <c r="J26" i="122"/>
  <c r="K26" i="122"/>
  <c r="L26" i="122"/>
  <c r="L25" i="122" s="1"/>
  <c r="M26" i="122"/>
  <c r="N26" i="122"/>
  <c r="O26" i="122"/>
  <c r="Q26" i="122"/>
  <c r="R26" i="122"/>
  <c r="R25" i="122"/>
  <c r="R7" i="122" s="1"/>
  <c r="S26" i="122"/>
  <c r="T26" i="122"/>
  <c r="T25" i="122"/>
  <c r="U26" i="122"/>
  <c r="U25" i="122"/>
  <c r="V26" i="122"/>
  <c r="V25" i="122" s="1"/>
  <c r="V7" i="122" s="1"/>
  <c r="W26" i="122"/>
  <c r="X26" i="122"/>
  <c r="X25" i="122" s="1"/>
  <c r="Y26" i="122"/>
  <c r="Y25" i="122"/>
  <c r="Y7" i="122" s="1"/>
  <c r="Z26" i="122"/>
  <c r="AA26" i="122"/>
  <c r="AA25" i="122"/>
  <c r="AB26" i="122"/>
  <c r="AC26" i="122"/>
  <c r="AD26" i="122"/>
  <c r="AD25" i="122"/>
  <c r="AE26" i="122"/>
  <c r="AG26" i="122"/>
  <c r="AH26" i="122"/>
  <c r="E27" i="122"/>
  <c r="AI27" i="122" s="1"/>
  <c r="H27" i="122"/>
  <c r="P27" i="122"/>
  <c r="AF27" i="122"/>
  <c r="E28" i="122"/>
  <c r="H28" i="122"/>
  <c r="P28" i="122"/>
  <c r="AF28" i="122"/>
  <c r="E29" i="122"/>
  <c r="AI29" i="122" s="1"/>
  <c r="H29" i="122"/>
  <c r="P29" i="122"/>
  <c r="AF29" i="122"/>
  <c r="E30" i="122"/>
  <c r="AI30" i="122" s="1"/>
  <c r="H30" i="122"/>
  <c r="P30" i="122"/>
  <c r="AF30" i="122"/>
  <c r="E31" i="122"/>
  <c r="AI31" i="122" s="1"/>
  <c r="H31" i="122"/>
  <c r="P31" i="122"/>
  <c r="AF31" i="122"/>
  <c r="E32" i="122"/>
  <c r="H32" i="122"/>
  <c r="P32" i="122"/>
  <c r="AF32" i="122"/>
  <c r="AI32" i="122"/>
  <c r="E33" i="122"/>
  <c r="AI33" i="122"/>
  <c r="H33" i="122"/>
  <c r="P33" i="122"/>
  <c r="AF33" i="122"/>
  <c r="E34" i="122"/>
  <c r="AI34" i="122" s="1"/>
  <c r="H34" i="122"/>
  <c r="P34" i="122"/>
  <c r="AF34" i="122"/>
  <c r="E35" i="122"/>
  <c r="AI35" i="122"/>
  <c r="H35" i="122"/>
  <c r="P35" i="122"/>
  <c r="AF35" i="122"/>
  <c r="E36" i="122"/>
  <c r="AI36" i="122"/>
  <c r="H36" i="122"/>
  <c r="P36" i="122"/>
  <c r="AF36" i="122"/>
  <c r="E37" i="122"/>
  <c r="AI37" i="122"/>
  <c r="H37" i="122"/>
  <c r="P37" i="122"/>
  <c r="AF37" i="122"/>
  <c r="E38" i="122"/>
  <c r="AI38" i="122"/>
  <c r="H38" i="122"/>
  <c r="P38" i="122"/>
  <c r="AF38" i="122"/>
  <c r="E39" i="122"/>
  <c r="AI39" i="122" s="1"/>
  <c r="H39" i="122"/>
  <c r="P39" i="122"/>
  <c r="AF39" i="122"/>
  <c r="E40" i="122"/>
  <c r="AI40" i="122"/>
  <c r="H40" i="122"/>
  <c r="P40" i="122"/>
  <c r="AF40" i="122"/>
  <c r="E41" i="122"/>
  <c r="AI41" i="122"/>
  <c r="H41" i="122"/>
  <c r="P41" i="122"/>
  <c r="AF41" i="122"/>
  <c r="E42" i="122"/>
  <c r="AI42" i="122"/>
  <c r="H42" i="122"/>
  <c r="P42" i="122"/>
  <c r="AF42" i="122"/>
  <c r="E43" i="122"/>
  <c r="AI43" i="122" s="1"/>
  <c r="H43" i="122"/>
  <c r="P43" i="122"/>
  <c r="AF43" i="122"/>
  <c r="E44" i="122"/>
  <c r="H44" i="122"/>
  <c r="P44" i="122"/>
  <c r="AF44" i="122"/>
  <c r="AI44" i="122"/>
  <c r="E45" i="122"/>
  <c r="AI45" i="122"/>
  <c r="H45" i="122"/>
  <c r="P45" i="122"/>
  <c r="AF45" i="122"/>
  <c r="E46" i="122"/>
  <c r="AI46" i="122" s="1"/>
  <c r="H46" i="122"/>
  <c r="P46" i="122"/>
  <c r="AF46" i="122"/>
  <c r="E47" i="122"/>
  <c r="H47" i="122"/>
  <c r="P47" i="122"/>
  <c r="AF47" i="122"/>
  <c r="AI47" i="122"/>
  <c r="E48" i="122"/>
  <c r="AI48" i="122"/>
  <c r="H48" i="122"/>
  <c r="P48" i="122"/>
  <c r="AF48" i="122"/>
  <c r="E49" i="122"/>
  <c r="H49" i="122"/>
  <c r="P49" i="122"/>
  <c r="AF49" i="122"/>
  <c r="AI49" i="122"/>
  <c r="F50" i="122"/>
  <c r="G50" i="122"/>
  <c r="I50" i="122"/>
  <c r="J50" i="122"/>
  <c r="K50" i="122"/>
  <c r="K25" i="122" s="1"/>
  <c r="L50" i="122"/>
  <c r="M50" i="122"/>
  <c r="M25" i="122" s="1"/>
  <c r="N50" i="122"/>
  <c r="N25" i="122" s="1"/>
  <c r="O50" i="122"/>
  <c r="Q50" i="122"/>
  <c r="Q25" i="122" s="1"/>
  <c r="Q7" i="122" s="1"/>
  <c r="R50" i="122"/>
  <c r="S50" i="122"/>
  <c r="S25" i="122"/>
  <c r="T50" i="122"/>
  <c r="U50" i="122"/>
  <c r="V50" i="122"/>
  <c r="W50" i="122"/>
  <c r="X50" i="122"/>
  <c r="Y50" i="122"/>
  <c r="Z50" i="122"/>
  <c r="Z25" i="122"/>
  <c r="AA50" i="122"/>
  <c r="AB50" i="122"/>
  <c r="AC50" i="122"/>
  <c r="AC25" i="122" s="1"/>
  <c r="AC7" i="122" s="1"/>
  <c r="AD50" i="122"/>
  <c r="AE50" i="122"/>
  <c r="AG50" i="122"/>
  <c r="AH50" i="122"/>
  <c r="H51" i="122"/>
  <c r="H50" i="122" s="1"/>
  <c r="P51" i="122"/>
  <c r="AF51" i="122"/>
  <c r="H52" i="122"/>
  <c r="P52" i="122"/>
  <c r="AF52" i="122"/>
  <c r="F54" i="122"/>
  <c r="G54" i="122"/>
  <c r="I54" i="122"/>
  <c r="J54" i="122"/>
  <c r="J53" i="122"/>
  <c r="K54" i="122"/>
  <c r="L54" i="122"/>
  <c r="M54" i="122"/>
  <c r="M53" i="122"/>
  <c r="N54" i="122"/>
  <c r="O54" i="122"/>
  <c r="Q54" i="122"/>
  <c r="R54" i="122"/>
  <c r="S54" i="122"/>
  <c r="T54" i="122"/>
  <c r="U54" i="122"/>
  <c r="V54" i="122"/>
  <c r="V53" i="122" s="1"/>
  <c r="W54" i="122"/>
  <c r="X54" i="122"/>
  <c r="X53" i="122" s="1"/>
  <c r="Y54" i="122"/>
  <c r="Y53" i="122" s="1"/>
  <c r="Z54" i="122"/>
  <c r="AA54" i="122"/>
  <c r="AB54" i="122"/>
  <c r="AC54" i="122"/>
  <c r="AD54" i="122"/>
  <c r="AE54" i="122"/>
  <c r="AG54" i="122"/>
  <c r="AG53" i="122" s="1"/>
  <c r="AH54" i="122"/>
  <c r="H55" i="122"/>
  <c r="P55" i="122"/>
  <c r="AF55" i="122"/>
  <c r="H56" i="122"/>
  <c r="P56" i="122"/>
  <c r="AF56" i="122"/>
  <c r="H57" i="122"/>
  <c r="P57" i="122"/>
  <c r="AF57" i="122"/>
  <c r="H58" i="122"/>
  <c r="P58" i="122"/>
  <c r="AF58" i="122"/>
  <c r="H59" i="122"/>
  <c r="P59" i="122"/>
  <c r="AF59" i="122"/>
  <c r="H60" i="122"/>
  <c r="E60" i="122"/>
  <c r="AI60" i="122" s="1"/>
  <c r="P60" i="122"/>
  <c r="AF60" i="122"/>
  <c r="H61" i="122"/>
  <c r="P61" i="122"/>
  <c r="AF61" i="122"/>
  <c r="H62" i="122"/>
  <c r="P62" i="122"/>
  <c r="AF62" i="122"/>
  <c r="H63" i="122"/>
  <c r="P63" i="122"/>
  <c r="AF63" i="122"/>
  <c r="E63" i="122" s="1"/>
  <c r="AI63" i="122" s="1"/>
  <c r="F64" i="122"/>
  <c r="G64" i="122"/>
  <c r="I64" i="122"/>
  <c r="J64" i="122"/>
  <c r="K64" i="122"/>
  <c r="K53" i="122"/>
  <c r="L64" i="122"/>
  <c r="L53" i="122" s="1"/>
  <c r="M64" i="122"/>
  <c r="N64" i="122"/>
  <c r="O64" i="122"/>
  <c r="Q64" i="122"/>
  <c r="R64" i="122"/>
  <c r="S64" i="122"/>
  <c r="T64" i="122"/>
  <c r="U64" i="122"/>
  <c r="V64" i="122"/>
  <c r="W64" i="122"/>
  <c r="X64" i="122"/>
  <c r="Y64" i="122"/>
  <c r="Z64" i="122"/>
  <c r="AA64" i="122"/>
  <c r="AB64" i="122"/>
  <c r="AC64" i="122"/>
  <c r="AC53" i="122" s="1"/>
  <c r="AD64" i="122"/>
  <c r="AE64" i="122"/>
  <c r="AG64" i="122"/>
  <c r="AH64" i="122"/>
  <c r="H65" i="122"/>
  <c r="P65" i="122"/>
  <c r="AF65" i="122"/>
  <c r="H66" i="122"/>
  <c r="P66" i="122"/>
  <c r="E66" i="122" s="1"/>
  <c r="AI66" i="122" s="1"/>
  <c r="AF66" i="122"/>
  <c r="E67" i="122"/>
  <c r="AI67" i="122" s="1"/>
  <c r="H67" i="122"/>
  <c r="P67" i="122"/>
  <c r="AF67" i="122"/>
  <c r="H68" i="122"/>
  <c r="E68" i="122" s="1"/>
  <c r="AI68" i="122"/>
  <c r="P68" i="122"/>
  <c r="AF68" i="122"/>
  <c r="H69" i="122"/>
  <c r="P69" i="122"/>
  <c r="AF69" i="122"/>
  <c r="H70" i="122"/>
  <c r="P70" i="122"/>
  <c r="AI70" i="122"/>
  <c r="AF70" i="122"/>
  <c r="E70" i="122" s="1"/>
  <c r="H71" i="122"/>
  <c r="P71" i="122"/>
  <c r="AF71" i="122"/>
  <c r="H72" i="122"/>
  <c r="P72" i="122"/>
  <c r="AF72" i="122"/>
  <c r="H73" i="122"/>
  <c r="P73" i="122"/>
  <c r="AF73" i="122"/>
  <c r="H74" i="122"/>
  <c r="H64" i="122" s="1"/>
  <c r="P74" i="122"/>
  <c r="AF74" i="122"/>
  <c r="H75" i="122"/>
  <c r="E75" i="122" s="1"/>
  <c r="AI75" i="122" s="1"/>
  <c r="P75" i="122"/>
  <c r="AF75" i="122"/>
  <c r="H76" i="122"/>
  <c r="P76" i="122"/>
  <c r="AF76" i="122"/>
  <c r="H77" i="122"/>
  <c r="P77" i="122"/>
  <c r="AF77" i="122"/>
  <c r="AF64" i="122" s="1"/>
  <c r="F78" i="122"/>
  <c r="F53" i="122" s="1"/>
  <c r="G78" i="122"/>
  <c r="I78" i="122"/>
  <c r="I53" i="122" s="1"/>
  <c r="J78" i="122"/>
  <c r="K78" i="122"/>
  <c r="L78" i="122"/>
  <c r="M78" i="122"/>
  <c r="N78" i="122"/>
  <c r="O78" i="122"/>
  <c r="Q78" i="122"/>
  <c r="R78" i="122"/>
  <c r="S78" i="122"/>
  <c r="T78" i="122"/>
  <c r="U78" i="122"/>
  <c r="V78" i="122"/>
  <c r="W78" i="122"/>
  <c r="X78" i="122"/>
  <c r="Y78" i="122"/>
  <c r="Z78" i="122"/>
  <c r="AA78" i="122"/>
  <c r="AB78" i="122"/>
  <c r="AC78" i="122"/>
  <c r="AD78" i="122"/>
  <c r="AD53" i="122"/>
  <c r="AE78" i="122"/>
  <c r="AG78" i="122"/>
  <c r="AH78" i="122"/>
  <c r="H79" i="122"/>
  <c r="E79" i="122" s="1"/>
  <c r="P79" i="122"/>
  <c r="AF79" i="122"/>
  <c r="H80" i="122"/>
  <c r="P80" i="122"/>
  <c r="E80" i="122"/>
  <c r="AI80" i="122" s="1"/>
  <c r="AF80" i="122"/>
  <c r="H81" i="122"/>
  <c r="P81" i="122"/>
  <c r="AF81" i="122"/>
  <c r="H82" i="122"/>
  <c r="E82" i="122" s="1"/>
  <c r="AI82" i="122" s="1"/>
  <c r="P82" i="122"/>
  <c r="AF82" i="122"/>
  <c r="H83" i="122"/>
  <c r="P83" i="122"/>
  <c r="AF83" i="122"/>
  <c r="H84" i="122"/>
  <c r="P84" i="122"/>
  <c r="AF84" i="122"/>
  <c r="H85" i="122"/>
  <c r="E85" i="122" s="1"/>
  <c r="AI85" i="122"/>
  <c r="P85" i="122"/>
  <c r="AF85" i="122"/>
  <c r="H86" i="122"/>
  <c r="P86" i="122"/>
  <c r="AF86" i="122"/>
  <c r="H87" i="122"/>
  <c r="P87" i="122"/>
  <c r="AF87" i="122"/>
  <c r="H88" i="122"/>
  <c r="P88" i="122"/>
  <c r="AF88" i="122"/>
  <c r="H89" i="122"/>
  <c r="P89" i="122"/>
  <c r="E89" i="122" s="1"/>
  <c r="AI89" i="122" s="1"/>
  <c r="AF89" i="122"/>
  <c r="H90" i="122"/>
  <c r="P90" i="122"/>
  <c r="E90" i="122" s="1"/>
  <c r="AI90" i="122" s="1"/>
  <c r="AF90" i="122"/>
  <c r="H91" i="122"/>
  <c r="E91" i="122" s="1"/>
  <c r="AI91" i="122" s="1"/>
  <c r="P91" i="122"/>
  <c r="AF91" i="122"/>
  <c r="H92" i="122"/>
  <c r="E92" i="122"/>
  <c r="AI92" i="122" s="1"/>
  <c r="P92" i="122"/>
  <c r="AF92" i="122"/>
  <c r="F93" i="122"/>
  <c r="G93" i="122"/>
  <c r="I93" i="122"/>
  <c r="J93" i="122"/>
  <c r="K93" i="122"/>
  <c r="L93" i="122"/>
  <c r="M93" i="122"/>
  <c r="N93" i="122"/>
  <c r="O93" i="122"/>
  <c r="O53" i="122"/>
  <c r="Q93" i="122"/>
  <c r="R93" i="122"/>
  <c r="S93" i="122"/>
  <c r="T93" i="122"/>
  <c r="U93" i="122"/>
  <c r="V93" i="122"/>
  <c r="W93" i="122"/>
  <c r="X93" i="122"/>
  <c r="Y93" i="122"/>
  <c r="Z93" i="122"/>
  <c r="AA93" i="122"/>
  <c r="AB93" i="122"/>
  <c r="AC93" i="122"/>
  <c r="AD93" i="122"/>
  <c r="AE93" i="122"/>
  <c r="AG93" i="122"/>
  <c r="AH93" i="122"/>
  <c r="H94" i="122"/>
  <c r="P94" i="122"/>
  <c r="AF94" i="122"/>
  <c r="H95" i="122"/>
  <c r="P95" i="122"/>
  <c r="E95" i="122"/>
  <c r="AI95" i="122" s="1"/>
  <c r="AF95" i="122"/>
  <c r="H96" i="122"/>
  <c r="P96" i="122"/>
  <c r="AF96" i="122"/>
  <c r="H97" i="122"/>
  <c r="P97" i="122"/>
  <c r="AF97" i="122"/>
  <c r="H98" i="122"/>
  <c r="P98" i="122"/>
  <c r="AF98" i="122"/>
  <c r="Y99" i="122"/>
  <c r="H100" i="122"/>
  <c r="P100" i="122"/>
  <c r="AF100" i="122"/>
  <c r="F101" i="122"/>
  <c r="G101" i="122"/>
  <c r="I101" i="122"/>
  <c r="J101" i="122"/>
  <c r="K101" i="122"/>
  <c r="K99" i="122" s="1"/>
  <c r="L101" i="122"/>
  <c r="M101" i="122"/>
  <c r="N101" i="122"/>
  <c r="N99" i="122" s="1"/>
  <c r="O101" i="122"/>
  <c r="O99" i="122"/>
  <c r="Q101" i="122"/>
  <c r="Q99" i="122" s="1"/>
  <c r="R101" i="122"/>
  <c r="S101" i="122"/>
  <c r="T101" i="122"/>
  <c r="U101" i="122"/>
  <c r="V101" i="122"/>
  <c r="V99" i="122" s="1"/>
  <c r="W101" i="122"/>
  <c r="X101" i="122"/>
  <c r="X99" i="122"/>
  <c r="Y101" i="122"/>
  <c r="Z101" i="122"/>
  <c r="Z99" i="122"/>
  <c r="AA101" i="122"/>
  <c r="AA99" i="122" s="1"/>
  <c r="AB101" i="122"/>
  <c r="AC101" i="122"/>
  <c r="AD101" i="122"/>
  <c r="AE101" i="122"/>
  <c r="AG101" i="122"/>
  <c r="AG99" i="122"/>
  <c r="AH101" i="122"/>
  <c r="AH99" i="122" s="1"/>
  <c r="H102" i="122"/>
  <c r="P102" i="122"/>
  <c r="P101" i="122" s="1"/>
  <c r="AF102" i="122"/>
  <c r="AF101" i="122" s="1"/>
  <c r="H103" i="122"/>
  <c r="P103" i="122"/>
  <c r="AF103" i="122"/>
  <c r="F104" i="122"/>
  <c r="G104" i="122"/>
  <c r="I104" i="122"/>
  <c r="J104" i="122"/>
  <c r="J99" i="122" s="1"/>
  <c r="K104" i="122"/>
  <c r="L104" i="122"/>
  <c r="M104" i="122"/>
  <c r="N104" i="122"/>
  <c r="O104" i="122"/>
  <c r="Q104" i="122"/>
  <c r="R104" i="122"/>
  <c r="R99" i="122" s="1"/>
  <c r="S104" i="122"/>
  <c r="T104" i="122"/>
  <c r="U104" i="122"/>
  <c r="V104" i="122"/>
  <c r="W104" i="122"/>
  <c r="X104" i="122"/>
  <c r="Y104" i="122"/>
  <c r="Z104" i="122"/>
  <c r="AA104" i="122"/>
  <c r="AB104" i="122"/>
  <c r="AB99" i="122" s="1"/>
  <c r="AC104" i="122"/>
  <c r="AD104" i="122"/>
  <c r="AE104" i="122"/>
  <c r="AG104" i="122"/>
  <c r="AH104" i="122"/>
  <c r="H105" i="122"/>
  <c r="E105" i="122" s="1"/>
  <c r="P105" i="122"/>
  <c r="AF105" i="122"/>
  <c r="H106" i="122"/>
  <c r="P106" i="122"/>
  <c r="AF106" i="122"/>
  <c r="E106" i="122" s="1"/>
  <c r="AI106" i="122" s="1"/>
  <c r="AB107" i="122"/>
  <c r="F108" i="122"/>
  <c r="G108" i="122"/>
  <c r="G107" i="122" s="1"/>
  <c r="I108" i="122"/>
  <c r="J108" i="122"/>
  <c r="J107" i="122" s="1"/>
  <c r="K108" i="122"/>
  <c r="L108" i="122"/>
  <c r="M108" i="122"/>
  <c r="N108" i="122"/>
  <c r="O108" i="122"/>
  <c r="O107" i="122"/>
  <c r="Q108" i="122"/>
  <c r="R108" i="122"/>
  <c r="S108" i="122"/>
  <c r="T108" i="122"/>
  <c r="T107" i="122" s="1"/>
  <c r="U108" i="122"/>
  <c r="U107" i="122"/>
  <c r="V108" i="122"/>
  <c r="W108" i="122"/>
  <c r="X108" i="122"/>
  <c r="X107" i="122" s="1"/>
  <c r="Y108" i="122"/>
  <c r="Z108" i="122"/>
  <c r="Z107" i="122"/>
  <c r="AA108" i="122"/>
  <c r="AB108" i="122"/>
  <c r="AC108" i="122"/>
  <c r="AD108" i="122"/>
  <c r="AE108" i="122"/>
  <c r="AG108" i="122"/>
  <c r="AH108" i="122"/>
  <c r="H109" i="122"/>
  <c r="P109" i="122"/>
  <c r="AF109" i="122"/>
  <c r="H110" i="122"/>
  <c r="E110" i="122" s="1"/>
  <c r="AI110" i="122" s="1"/>
  <c r="P110" i="122"/>
  <c r="AF110" i="122"/>
  <c r="AI111" i="122"/>
  <c r="H111" i="122"/>
  <c r="E111" i="122" s="1"/>
  <c r="P111" i="122"/>
  <c r="AF111" i="122"/>
  <c r="H112" i="122"/>
  <c r="P112" i="122"/>
  <c r="AF112" i="122"/>
  <c r="H113" i="122"/>
  <c r="P113" i="122"/>
  <c r="AF113" i="122"/>
  <c r="E113" i="122" s="1"/>
  <c r="AI113" i="122" s="1"/>
  <c r="H114" i="122"/>
  <c r="P114" i="122"/>
  <c r="P108" i="122" s="1"/>
  <c r="AF114" i="122"/>
  <c r="H115" i="122"/>
  <c r="P115" i="122"/>
  <c r="AF115" i="122"/>
  <c r="H116" i="122"/>
  <c r="P116" i="122"/>
  <c r="AF116" i="122"/>
  <c r="H117" i="122"/>
  <c r="P117" i="122"/>
  <c r="AF117" i="122"/>
  <c r="E117" i="122" s="1"/>
  <c r="AI117" i="122" s="1"/>
  <c r="H118" i="122"/>
  <c r="E118" i="122" s="1"/>
  <c r="P118" i="122"/>
  <c r="AF118" i="122"/>
  <c r="H119" i="122"/>
  <c r="P119" i="122"/>
  <c r="AF119" i="122"/>
  <c r="H120" i="122"/>
  <c r="P120" i="122"/>
  <c r="AF120" i="122"/>
  <c r="H121" i="122"/>
  <c r="P121" i="122"/>
  <c r="AF121" i="122"/>
  <c r="E121" i="122" s="1"/>
  <c r="AI121" i="122" s="1"/>
  <c r="H122" i="122"/>
  <c r="P122" i="122"/>
  <c r="AF122" i="122"/>
  <c r="H123" i="122"/>
  <c r="P123" i="122"/>
  <c r="AF123" i="122"/>
  <c r="H124" i="122"/>
  <c r="P124" i="122"/>
  <c r="AF124" i="122"/>
  <c r="H125" i="122"/>
  <c r="P125" i="122"/>
  <c r="AF125" i="122"/>
  <c r="H126" i="122"/>
  <c r="E126" i="122" s="1"/>
  <c r="AI126" i="122" s="1"/>
  <c r="P126" i="122"/>
  <c r="AF126" i="122"/>
  <c r="H127" i="122"/>
  <c r="P127" i="122"/>
  <c r="AF127" i="122"/>
  <c r="E127" i="122"/>
  <c r="H128" i="122"/>
  <c r="P128" i="122"/>
  <c r="AF128" i="122"/>
  <c r="H129" i="122"/>
  <c r="P129" i="122"/>
  <c r="AF129" i="122"/>
  <c r="H130" i="122"/>
  <c r="P130" i="122"/>
  <c r="AF130" i="122"/>
  <c r="H131" i="122"/>
  <c r="P131" i="122"/>
  <c r="E131" i="122" s="1"/>
  <c r="AI131" i="122" s="1"/>
  <c r="AF131" i="122"/>
  <c r="H132" i="122"/>
  <c r="P132" i="122"/>
  <c r="AF132" i="122"/>
  <c r="F133" i="122"/>
  <c r="F107" i="122" s="1"/>
  <c r="G133" i="122"/>
  <c r="I133" i="122"/>
  <c r="J133" i="122"/>
  <c r="K133" i="122"/>
  <c r="K107" i="122" s="1"/>
  <c r="L133" i="122"/>
  <c r="M133" i="122"/>
  <c r="N133" i="122"/>
  <c r="O133" i="122"/>
  <c r="Q133" i="122"/>
  <c r="R133" i="122"/>
  <c r="S133" i="122"/>
  <c r="T133" i="122"/>
  <c r="U133" i="122"/>
  <c r="V133" i="122"/>
  <c r="W133" i="122"/>
  <c r="X133" i="122"/>
  <c r="Y133" i="122"/>
  <c r="Z133" i="122"/>
  <c r="AA133" i="122"/>
  <c r="AB133" i="122"/>
  <c r="AC133" i="122"/>
  <c r="AD133" i="122"/>
  <c r="AD107" i="122" s="1"/>
  <c r="AE133" i="122"/>
  <c r="AG133" i="122"/>
  <c r="AH133" i="122"/>
  <c r="H134" i="122"/>
  <c r="P134" i="122"/>
  <c r="E134" i="122"/>
  <c r="AI134" i="122" s="1"/>
  <c r="AF134" i="122"/>
  <c r="H135" i="122"/>
  <c r="P135" i="122"/>
  <c r="P133" i="122" s="1"/>
  <c r="AF135" i="122"/>
  <c r="H136" i="122"/>
  <c r="E136" i="122" s="1"/>
  <c r="AI136" i="122" s="1"/>
  <c r="P136" i="122"/>
  <c r="AF136" i="122"/>
  <c r="H137" i="122"/>
  <c r="P137" i="122"/>
  <c r="AF137" i="122"/>
  <c r="H138" i="122"/>
  <c r="P138" i="122"/>
  <c r="AF138" i="122"/>
  <c r="H139" i="122"/>
  <c r="E139" i="122" s="1"/>
  <c r="AI139" i="122" s="1"/>
  <c r="P139" i="122"/>
  <c r="AF139" i="122"/>
  <c r="H140" i="122"/>
  <c r="E140" i="122"/>
  <c r="AI140" i="122" s="1"/>
  <c r="P140" i="122"/>
  <c r="AF140" i="122"/>
  <c r="H141" i="122"/>
  <c r="E141" i="122" s="1"/>
  <c r="AI141" i="122" s="1"/>
  <c r="P141" i="122"/>
  <c r="AF141" i="122"/>
  <c r="F142" i="122"/>
  <c r="G142" i="122"/>
  <c r="I142" i="122"/>
  <c r="J142" i="122"/>
  <c r="K142" i="122"/>
  <c r="L142" i="122"/>
  <c r="M142" i="122"/>
  <c r="N142" i="122"/>
  <c r="O142" i="122"/>
  <c r="Q142" i="122"/>
  <c r="R142" i="122"/>
  <c r="S142" i="122"/>
  <c r="T142" i="122"/>
  <c r="U142" i="122"/>
  <c r="V142" i="122"/>
  <c r="W142" i="122"/>
  <c r="X142" i="122"/>
  <c r="Y142" i="122"/>
  <c r="Z142" i="122"/>
  <c r="AA142" i="122"/>
  <c r="AB142" i="122"/>
  <c r="AC142" i="122"/>
  <c r="AD142" i="122"/>
  <c r="AE142" i="122"/>
  <c r="AG142" i="122"/>
  <c r="AH142" i="122"/>
  <c r="H143" i="122"/>
  <c r="E143" i="122"/>
  <c r="P143" i="122"/>
  <c r="AF143" i="122"/>
  <c r="AF142" i="122"/>
  <c r="H144" i="122"/>
  <c r="P144" i="122"/>
  <c r="AF144" i="122"/>
  <c r="H145" i="122"/>
  <c r="E145" i="122" s="1"/>
  <c r="AI145" i="122" s="1"/>
  <c r="P145" i="122"/>
  <c r="AF145" i="122"/>
  <c r="H146" i="122"/>
  <c r="P146" i="122"/>
  <c r="AF146" i="122"/>
  <c r="H147" i="122"/>
  <c r="P147" i="122"/>
  <c r="P142" i="122" s="1"/>
  <c r="AF147" i="122"/>
  <c r="H148" i="122"/>
  <c r="P148" i="122"/>
  <c r="AF148" i="122"/>
  <c r="H149" i="122"/>
  <c r="P149" i="122"/>
  <c r="AF149" i="122"/>
  <c r="L150" i="122"/>
  <c r="M150" i="122"/>
  <c r="Y150" i="122"/>
  <c r="AE150" i="122"/>
  <c r="AG150" i="122"/>
  <c r="H151" i="122"/>
  <c r="P151" i="122"/>
  <c r="AF151" i="122"/>
  <c r="F152" i="122"/>
  <c r="G152" i="122"/>
  <c r="G150" i="122"/>
  <c r="I152" i="122"/>
  <c r="I150" i="122" s="1"/>
  <c r="J152" i="122"/>
  <c r="J150" i="122" s="1"/>
  <c r="K152" i="122"/>
  <c r="K150" i="122"/>
  <c r="L152" i="122"/>
  <c r="M152" i="122"/>
  <c r="N152" i="122"/>
  <c r="N150" i="122" s="1"/>
  <c r="O152" i="122"/>
  <c r="O150" i="122"/>
  <c r="Q152" i="122"/>
  <c r="Q150" i="122" s="1"/>
  <c r="R152" i="122"/>
  <c r="R150" i="122" s="1"/>
  <c r="S152" i="122"/>
  <c r="S150" i="122"/>
  <c r="T152" i="122"/>
  <c r="T150" i="122" s="1"/>
  <c r="U152" i="122"/>
  <c r="U150" i="122" s="1"/>
  <c r="V152" i="122"/>
  <c r="V150" i="122" s="1"/>
  <c r="W152" i="122"/>
  <c r="W150" i="122" s="1"/>
  <c r="X152" i="122"/>
  <c r="X150" i="122"/>
  <c r="Y152" i="122"/>
  <c r="Z152" i="122"/>
  <c r="Z150" i="122"/>
  <c r="AA152" i="122"/>
  <c r="AA150" i="122" s="1"/>
  <c r="AB152" i="122"/>
  <c r="AB150" i="122"/>
  <c r="AC152" i="122"/>
  <c r="AC150" i="122"/>
  <c r="AD152" i="122"/>
  <c r="AD150" i="122" s="1"/>
  <c r="AE152" i="122"/>
  <c r="AG152" i="122"/>
  <c r="AH152" i="122"/>
  <c r="AH150" i="122"/>
  <c r="H153" i="122"/>
  <c r="P153" i="122"/>
  <c r="AF153" i="122"/>
  <c r="H154" i="122"/>
  <c r="P154" i="122"/>
  <c r="AF154" i="122"/>
  <c r="H155" i="122"/>
  <c r="P155" i="122"/>
  <c r="AF155" i="122"/>
  <c r="H156" i="122"/>
  <c r="P156" i="122"/>
  <c r="AF156" i="122"/>
  <c r="E157" i="122"/>
  <c r="AI157" i="122" s="1"/>
  <c r="H157" i="122"/>
  <c r="P157" i="122"/>
  <c r="AF157" i="122"/>
  <c r="H158" i="122"/>
  <c r="P158" i="122"/>
  <c r="AF158" i="122"/>
  <c r="H159" i="122"/>
  <c r="E159" i="122" s="1"/>
  <c r="AI159" i="122" s="1"/>
  <c r="P159" i="122"/>
  <c r="AF159" i="122"/>
  <c r="H160" i="122"/>
  <c r="P160" i="122"/>
  <c r="AF160" i="122"/>
  <c r="H161" i="122"/>
  <c r="E161" i="122" s="1"/>
  <c r="AI161" i="122" s="1"/>
  <c r="P161" i="122"/>
  <c r="AF161" i="122"/>
  <c r="AI162" i="122"/>
  <c r="H162" i="122"/>
  <c r="E162" i="122" s="1"/>
  <c r="P162" i="122"/>
  <c r="AF162" i="122"/>
  <c r="H163" i="122"/>
  <c r="E163" i="122" s="1"/>
  <c r="AI163" i="122"/>
  <c r="P163" i="122"/>
  <c r="AF163" i="122"/>
  <c r="H164" i="122"/>
  <c r="E164" i="122" s="1"/>
  <c r="AI164" i="122" s="1"/>
  <c r="P164" i="122"/>
  <c r="AF164" i="122"/>
  <c r="F166" i="122"/>
  <c r="F165" i="122" s="1"/>
  <c r="G166" i="122"/>
  <c r="G165" i="122" s="1"/>
  <c r="I166" i="122"/>
  <c r="J166" i="122"/>
  <c r="K166" i="122"/>
  <c r="L166" i="122"/>
  <c r="M166" i="122"/>
  <c r="N166" i="122"/>
  <c r="N165" i="122" s="1"/>
  <c r="O166" i="122"/>
  <c r="Q166" i="122"/>
  <c r="R166" i="122"/>
  <c r="R165" i="122" s="1"/>
  <c r="S166" i="122"/>
  <c r="S165" i="122"/>
  <c r="T166" i="122"/>
  <c r="U166" i="122"/>
  <c r="U165" i="122" s="1"/>
  <c r="V166" i="122"/>
  <c r="W166" i="122"/>
  <c r="X166" i="122"/>
  <c r="Y166" i="122"/>
  <c r="Y165" i="122"/>
  <c r="Z166" i="122"/>
  <c r="Z165" i="122" s="1"/>
  <c r="AA166" i="122"/>
  <c r="AB166" i="122"/>
  <c r="AB165" i="122" s="1"/>
  <c r="AC166" i="122"/>
  <c r="AD166" i="122"/>
  <c r="AD165" i="122" s="1"/>
  <c r="AE166" i="122"/>
  <c r="AG166" i="122"/>
  <c r="AH166" i="122"/>
  <c r="H167" i="122"/>
  <c r="P167" i="122"/>
  <c r="AF167" i="122"/>
  <c r="H168" i="122"/>
  <c r="P168" i="122"/>
  <c r="AF168" i="122"/>
  <c r="H169" i="122"/>
  <c r="P169" i="122"/>
  <c r="AF169" i="122"/>
  <c r="H170" i="122"/>
  <c r="E170" i="122" s="1"/>
  <c r="AI170" i="122" s="1"/>
  <c r="P170" i="122"/>
  <c r="AF170" i="122"/>
  <c r="H171" i="122"/>
  <c r="P171" i="122"/>
  <c r="AF171" i="122"/>
  <c r="H172" i="122"/>
  <c r="E172" i="122" s="1"/>
  <c r="AI172" i="122" s="1"/>
  <c r="P172" i="122"/>
  <c r="AF172" i="122"/>
  <c r="H173" i="122"/>
  <c r="P173" i="122"/>
  <c r="E173" i="122" s="1"/>
  <c r="AI173" i="122" s="1"/>
  <c r="AF173" i="122"/>
  <c r="H174" i="122"/>
  <c r="E174" i="122"/>
  <c r="AI174" i="122" s="1"/>
  <c r="P174" i="122"/>
  <c r="AF174" i="122"/>
  <c r="H175" i="122"/>
  <c r="P175" i="122"/>
  <c r="AF175" i="122"/>
  <c r="H176" i="122"/>
  <c r="P176" i="122"/>
  <c r="AF176" i="122"/>
  <c r="AF166" i="122" s="1"/>
  <c r="H177" i="122"/>
  <c r="E177" i="122" s="1"/>
  <c r="AI177" i="122" s="1"/>
  <c r="P177" i="122"/>
  <c r="AF177" i="122"/>
  <c r="H178" i="122"/>
  <c r="P178" i="122"/>
  <c r="AF178" i="122"/>
  <c r="H179" i="122"/>
  <c r="E179" i="122" s="1"/>
  <c r="P179" i="122"/>
  <c r="AI179" i="122"/>
  <c r="AF179" i="122"/>
  <c r="H180" i="122"/>
  <c r="E180" i="122"/>
  <c r="AI180" i="122" s="1"/>
  <c r="P180" i="122"/>
  <c r="AF180" i="122"/>
  <c r="H181" i="122"/>
  <c r="E181" i="122" s="1"/>
  <c r="AI181" i="122" s="1"/>
  <c r="P181" i="122"/>
  <c r="AF181" i="122"/>
  <c r="H182" i="122"/>
  <c r="P182" i="122"/>
  <c r="AF182" i="122"/>
  <c r="H183" i="122"/>
  <c r="P183" i="122"/>
  <c r="E183" i="122" s="1"/>
  <c r="AI183" i="122" s="1"/>
  <c r="AF183" i="122"/>
  <c r="H184" i="122"/>
  <c r="P184" i="122"/>
  <c r="E184" i="122"/>
  <c r="AI184" i="122" s="1"/>
  <c r="AF184" i="122"/>
  <c r="H185" i="122"/>
  <c r="P185" i="122"/>
  <c r="AF185" i="122"/>
  <c r="H186" i="122"/>
  <c r="P186" i="122"/>
  <c r="AF186" i="122"/>
  <c r="H187" i="122"/>
  <c r="P187" i="122"/>
  <c r="E187" i="122" s="1"/>
  <c r="AI187" i="122" s="1"/>
  <c r="AF187" i="122"/>
  <c r="H188" i="122"/>
  <c r="P188" i="122"/>
  <c r="AF188" i="122"/>
  <c r="H189" i="122"/>
  <c r="P189" i="122"/>
  <c r="AF189" i="122"/>
  <c r="H190" i="122"/>
  <c r="E190" i="122" s="1"/>
  <c r="AI190" i="122" s="1"/>
  <c r="P190" i="122"/>
  <c r="AF190" i="122"/>
  <c r="H191" i="122"/>
  <c r="E191" i="122"/>
  <c r="AI191" i="122" s="1"/>
  <c r="P191" i="122"/>
  <c r="AF191" i="122"/>
  <c r="H192" i="122"/>
  <c r="E192" i="122" s="1"/>
  <c r="AI192" i="122" s="1"/>
  <c r="P192" i="122"/>
  <c r="AF192" i="122"/>
  <c r="H193" i="122"/>
  <c r="P193" i="122"/>
  <c r="AF193" i="122"/>
  <c r="P194" i="122"/>
  <c r="E194" i="122"/>
  <c r="AI194" i="122" s="1"/>
  <c r="AF194" i="122"/>
  <c r="H195" i="122"/>
  <c r="E195" i="122" s="1"/>
  <c r="AI195" i="122" s="1"/>
  <c r="P195" i="122"/>
  <c r="AF195" i="122"/>
  <c r="F196" i="122"/>
  <c r="G196" i="122"/>
  <c r="I196" i="122"/>
  <c r="J196" i="122"/>
  <c r="K196" i="122"/>
  <c r="L196" i="122"/>
  <c r="M196" i="122"/>
  <c r="N196" i="122"/>
  <c r="O196" i="122"/>
  <c r="O165" i="122" s="1"/>
  <c r="Q196" i="122"/>
  <c r="R196" i="122"/>
  <c r="S196" i="122"/>
  <c r="T196" i="122"/>
  <c r="U196" i="122"/>
  <c r="V196" i="122"/>
  <c r="V165" i="122" s="1"/>
  <c r="W196" i="122"/>
  <c r="X196" i="122"/>
  <c r="Y196" i="122"/>
  <c r="Z196" i="122"/>
  <c r="AA196" i="122"/>
  <c r="AA165" i="122"/>
  <c r="AB196" i="122"/>
  <c r="AC196" i="122"/>
  <c r="AC165" i="122"/>
  <c r="AD196" i="122"/>
  <c r="AE196" i="122"/>
  <c r="AG196" i="122"/>
  <c r="AH196" i="122"/>
  <c r="H197" i="122"/>
  <c r="P197" i="122"/>
  <c r="E197" i="122" s="1"/>
  <c r="AF197" i="122"/>
  <c r="H198" i="122"/>
  <c r="P198" i="122"/>
  <c r="AF198" i="122"/>
  <c r="H199" i="122"/>
  <c r="E199" i="122"/>
  <c r="AI199" i="122" s="1"/>
  <c r="P199" i="122"/>
  <c r="AF199" i="122"/>
  <c r="F201" i="122"/>
  <c r="G201" i="122"/>
  <c r="I201" i="122"/>
  <c r="J201" i="122"/>
  <c r="K201" i="122"/>
  <c r="K200" i="122" s="1"/>
  <c r="L201" i="122"/>
  <c r="M201" i="122"/>
  <c r="N201" i="122"/>
  <c r="N200" i="122" s="1"/>
  <c r="O201" i="122"/>
  <c r="Q201" i="122"/>
  <c r="R201" i="122"/>
  <c r="S201" i="122"/>
  <c r="T201" i="122"/>
  <c r="U201" i="122"/>
  <c r="V201" i="122"/>
  <c r="W201" i="122"/>
  <c r="X201" i="122"/>
  <c r="Y201" i="122"/>
  <c r="Y200" i="122" s="1"/>
  <c r="Z201" i="122"/>
  <c r="Z200" i="122" s="1"/>
  <c r="AA201" i="122"/>
  <c r="AB201" i="122"/>
  <c r="AC201" i="122"/>
  <c r="AD201" i="122"/>
  <c r="AE201" i="122"/>
  <c r="AG201" i="122"/>
  <c r="AH201" i="122"/>
  <c r="H202" i="122"/>
  <c r="P202" i="122"/>
  <c r="AF202" i="122"/>
  <c r="H203" i="122"/>
  <c r="P203" i="122"/>
  <c r="AF203" i="122"/>
  <c r="H204" i="122"/>
  <c r="P204" i="122"/>
  <c r="AF204" i="122"/>
  <c r="H205" i="122"/>
  <c r="P205" i="122"/>
  <c r="AF205" i="122"/>
  <c r="H206" i="122"/>
  <c r="P206" i="122"/>
  <c r="AF206" i="122"/>
  <c r="H207" i="122"/>
  <c r="E207" i="122" s="1"/>
  <c r="AI207" i="122" s="1"/>
  <c r="P207" i="122"/>
  <c r="AF207" i="122"/>
  <c r="H208" i="122"/>
  <c r="P208" i="122"/>
  <c r="AF208" i="122"/>
  <c r="H209" i="122"/>
  <c r="P209" i="122"/>
  <c r="AF209" i="122"/>
  <c r="H210" i="122"/>
  <c r="P210" i="122"/>
  <c r="AF210" i="122"/>
  <c r="E210" i="122" s="1"/>
  <c r="AI210" i="122" s="1"/>
  <c r="H211" i="122"/>
  <c r="P211" i="122"/>
  <c r="E211" i="122"/>
  <c r="AI211" i="122"/>
  <c r="AF211" i="122"/>
  <c r="H212" i="122"/>
  <c r="E212" i="122" s="1"/>
  <c r="AI212" i="122" s="1"/>
  <c r="P212" i="122"/>
  <c r="AF212" i="122"/>
  <c r="H213" i="122"/>
  <c r="P213" i="122"/>
  <c r="AF213" i="122"/>
  <c r="H214" i="122"/>
  <c r="P214" i="122"/>
  <c r="AF214" i="122"/>
  <c r="H215" i="122"/>
  <c r="P215" i="122"/>
  <c r="E215" i="122" s="1"/>
  <c r="AI215" i="122" s="1"/>
  <c r="AF215" i="122"/>
  <c r="H216" i="122"/>
  <c r="AI216" i="122"/>
  <c r="P216" i="122"/>
  <c r="E216" i="122" s="1"/>
  <c r="AF216" i="122"/>
  <c r="H217" i="122"/>
  <c r="P217" i="122"/>
  <c r="AF217" i="122"/>
  <c r="E218" i="122"/>
  <c r="AI218" i="122" s="1"/>
  <c r="H218" i="122"/>
  <c r="P218" i="122"/>
  <c r="AF218" i="122"/>
  <c r="H219" i="122"/>
  <c r="E219" i="122" s="1"/>
  <c r="AI219" i="122" s="1"/>
  <c r="P219" i="122"/>
  <c r="AF219" i="122"/>
  <c r="H220" i="122"/>
  <c r="E220" i="122" s="1"/>
  <c r="AI220" i="122" s="1"/>
  <c r="P220" i="122"/>
  <c r="AF220" i="122"/>
  <c r="H221" i="122"/>
  <c r="P221" i="122"/>
  <c r="AF221" i="122"/>
  <c r="E221" i="122"/>
  <c r="AI221" i="122" s="1"/>
  <c r="F222" i="122"/>
  <c r="G222" i="122"/>
  <c r="I222" i="122"/>
  <c r="J222" i="122"/>
  <c r="K222" i="122"/>
  <c r="L222" i="122"/>
  <c r="M222" i="122"/>
  <c r="N222" i="122"/>
  <c r="O222" i="122"/>
  <c r="Q222" i="122"/>
  <c r="R222" i="122"/>
  <c r="S222" i="122"/>
  <c r="T222" i="122"/>
  <c r="U222" i="122"/>
  <c r="V222" i="122"/>
  <c r="W222" i="122"/>
  <c r="X222" i="122"/>
  <c r="Y222" i="122"/>
  <c r="Z222" i="122"/>
  <c r="AA222" i="122"/>
  <c r="AB222" i="122"/>
  <c r="AC222" i="122"/>
  <c r="AD222" i="122"/>
  <c r="AE222" i="122"/>
  <c r="AG222" i="122"/>
  <c r="AH222" i="122"/>
  <c r="H223" i="122"/>
  <c r="P223" i="122"/>
  <c r="AF223" i="122"/>
  <c r="H224" i="122"/>
  <c r="P224" i="122"/>
  <c r="AF224" i="122"/>
  <c r="E224" i="122" s="1"/>
  <c r="AI224" i="122" s="1"/>
  <c r="H225" i="122"/>
  <c r="E225" i="122" s="1"/>
  <c r="AI225" i="122" s="1"/>
  <c r="P225" i="122"/>
  <c r="AF225" i="122"/>
  <c r="H226" i="122"/>
  <c r="P226" i="122"/>
  <c r="E226" i="122" s="1"/>
  <c r="AI226" i="122" s="1"/>
  <c r="AF226" i="122"/>
  <c r="H227" i="122"/>
  <c r="P227" i="122"/>
  <c r="AF227" i="122"/>
  <c r="E227" i="122" s="1"/>
  <c r="AI227" i="122" s="1"/>
  <c r="H228" i="122"/>
  <c r="P228" i="122"/>
  <c r="AF228" i="122"/>
  <c r="H229" i="122"/>
  <c r="E229" i="122" s="1"/>
  <c r="AI229" i="122" s="1"/>
  <c r="P229" i="122"/>
  <c r="AF229" i="122"/>
  <c r="H230" i="122"/>
  <c r="P230" i="122"/>
  <c r="AF230" i="122"/>
  <c r="H231" i="122"/>
  <c r="P231" i="122"/>
  <c r="AF231" i="122"/>
  <c r="H232" i="122"/>
  <c r="E232" i="122" s="1"/>
  <c r="AI232" i="122" s="1"/>
  <c r="P232" i="122"/>
  <c r="AF232" i="122"/>
  <c r="H233" i="122"/>
  <c r="P233" i="122"/>
  <c r="AF233" i="122"/>
  <c r="H234" i="122"/>
  <c r="E234" i="122" s="1"/>
  <c r="AI234" i="122" s="1"/>
  <c r="P234" i="122"/>
  <c r="AF234" i="122"/>
  <c r="H235" i="122"/>
  <c r="P235" i="122"/>
  <c r="AF235" i="122"/>
  <c r="H236" i="122"/>
  <c r="P236" i="122"/>
  <c r="AF236" i="122"/>
  <c r="F237" i="122"/>
  <c r="G237" i="122"/>
  <c r="I237" i="122"/>
  <c r="J237" i="122"/>
  <c r="K237" i="122"/>
  <c r="L237" i="122"/>
  <c r="M237" i="122"/>
  <c r="N237" i="122"/>
  <c r="O237" i="122"/>
  <c r="Q237" i="122"/>
  <c r="R237" i="122"/>
  <c r="S237" i="122"/>
  <c r="T237" i="122"/>
  <c r="U237" i="122"/>
  <c r="V237" i="122"/>
  <c r="W237" i="122"/>
  <c r="X237" i="122"/>
  <c r="Y237" i="122"/>
  <c r="Z237" i="122"/>
  <c r="AA237" i="122"/>
  <c r="AA200" i="122" s="1"/>
  <c r="AB237" i="122"/>
  <c r="AC237" i="122"/>
  <c r="AD237" i="122"/>
  <c r="AE237" i="122"/>
  <c r="AG237" i="122"/>
  <c r="AH237" i="122"/>
  <c r="H238" i="122"/>
  <c r="P238" i="122"/>
  <c r="AF238" i="122"/>
  <c r="H239" i="122"/>
  <c r="AI239" i="122"/>
  <c r="P239" i="122"/>
  <c r="E239" i="122" s="1"/>
  <c r="AF239" i="122"/>
  <c r="H240" i="122"/>
  <c r="E240" i="122" s="1"/>
  <c r="AI240" i="122" s="1"/>
  <c r="P240" i="122"/>
  <c r="AF240" i="122"/>
  <c r="H241" i="122"/>
  <c r="P241" i="122"/>
  <c r="E241" i="122" s="1"/>
  <c r="AI241" i="122" s="1"/>
  <c r="AF241" i="122"/>
  <c r="H242" i="122"/>
  <c r="P242" i="122"/>
  <c r="AF242" i="122"/>
  <c r="F243" i="122"/>
  <c r="G243" i="122"/>
  <c r="I243" i="122"/>
  <c r="J243" i="122"/>
  <c r="K243" i="122"/>
  <c r="L243" i="122"/>
  <c r="M243" i="122"/>
  <c r="N243" i="122"/>
  <c r="O243" i="122"/>
  <c r="Q243" i="122"/>
  <c r="R243" i="122"/>
  <c r="S243" i="122"/>
  <c r="T243" i="122"/>
  <c r="T200" i="122" s="1"/>
  <c r="U243" i="122"/>
  <c r="V243" i="122"/>
  <c r="W243" i="122"/>
  <c r="X243" i="122"/>
  <c r="Y243" i="122"/>
  <c r="Z243" i="122"/>
  <c r="AA243" i="122"/>
  <c r="AB243" i="122"/>
  <c r="AC243" i="122"/>
  <c r="AD243" i="122"/>
  <c r="AE243" i="122"/>
  <c r="AE200" i="122" s="1"/>
  <c r="AG243" i="122"/>
  <c r="AH243" i="122"/>
  <c r="H244" i="122"/>
  <c r="P244" i="122"/>
  <c r="AF244" i="122"/>
  <c r="H245" i="122"/>
  <c r="E245" i="122" s="1"/>
  <c r="P245" i="122"/>
  <c r="AF245" i="122"/>
  <c r="H246" i="122"/>
  <c r="P246" i="122"/>
  <c r="AF246" i="122"/>
  <c r="E246" i="122" s="1"/>
  <c r="AI246" i="122" s="1"/>
  <c r="H247" i="122"/>
  <c r="P247" i="122"/>
  <c r="AF247" i="122"/>
  <c r="H248" i="122"/>
  <c r="AI248" i="122"/>
  <c r="P248" i="122"/>
  <c r="E248" i="122" s="1"/>
  <c r="AF248" i="122"/>
  <c r="H249" i="122"/>
  <c r="P249" i="122"/>
  <c r="AF249" i="122"/>
  <c r="H250" i="122"/>
  <c r="P250" i="122"/>
  <c r="AF250" i="122"/>
  <c r="H251" i="122"/>
  <c r="P251" i="122"/>
  <c r="AF251" i="122"/>
  <c r="E251" i="122"/>
  <c r="AI251" i="122" s="1"/>
  <c r="F252" i="122"/>
  <c r="G252" i="122"/>
  <c r="I252" i="122"/>
  <c r="J252" i="122"/>
  <c r="K252" i="122"/>
  <c r="L252" i="122"/>
  <c r="M252" i="122"/>
  <c r="N252" i="122"/>
  <c r="O252" i="122"/>
  <c r="Q252" i="122"/>
  <c r="R252" i="122"/>
  <c r="S252" i="122"/>
  <c r="T252" i="122"/>
  <c r="U252" i="122"/>
  <c r="V252" i="122"/>
  <c r="W252" i="122"/>
  <c r="X252" i="122"/>
  <c r="Y252" i="122"/>
  <c r="Z252" i="122"/>
  <c r="AA252" i="122"/>
  <c r="AB252" i="122"/>
  <c r="AC252" i="122"/>
  <c r="AD252" i="122"/>
  <c r="AE252" i="122"/>
  <c r="AG252" i="122"/>
  <c r="AH252" i="122"/>
  <c r="H253" i="122"/>
  <c r="P253" i="122"/>
  <c r="AF253" i="122"/>
  <c r="H254" i="122"/>
  <c r="P254" i="122"/>
  <c r="AF254" i="122"/>
  <c r="H255" i="122"/>
  <c r="E255" i="122" s="1"/>
  <c r="AI255" i="122" s="1"/>
  <c r="P255" i="122"/>
  <c r="AF255" i="122"/>
  <c r="H256" i="122"/>
  <c r="P256" i="122"/>
  <c r="AF256" i="122"/>
  <c r="H257" i="122"/>
  <c r="E257" i="122" s="1"/>
  <c r="AI257" i="122" s="1"/>
  <c r="P257" i="122"/>
  <c r="AF257" i="122"/>
  <c r="H258" i="122"/>
  <c r="P258" i="122"/>
  <c r="E258" i="122" s="1"/>
  <c r="AI258" i="122" s="1"/>
  <c r="AF258" i="122"/>
  <c r="H259" i="122"/>
  <c r="P259" i="122"/>
  <c r="E259" i="122"/>
  <c r="AI259" i="122" s="1"/>
  <c r="AF259" i="122"/>
  <c r="H260" i="122"/>
  <c r="P260" i="122"/>
  <c r="AF260" i="122"/>
  <c r="E260" i="122"/>
  <c r="AI260" i="122"/>
  <c r="AI261" i="122"/>
  <c r="H261" i="122"/>
  <c r="E261" i="122" s="1"/>
  <c r="P261" i="122"/>
  <c r="AF261" i="122"/>
  <c r="H262" i="122"/>
  <c r="P262" i="122"/>
  <c r="AF262" i="122"/>
  <c r="H263" i="122"/>
  <c r="P263" i="122"/>
  <c r="AF263" i="122"/>
  <c r="H264" i="122"/>
  <c r="E264" i="122" s="1"/>
  <c r="AI264" i="122" s="1"/>
  <c r="P264" i="122"/>
  <c r="AF264" i="122"/>
  <c r="H265" i="122"/>
  <c r="E265" i="122" s="1"/>
  <c r="AI265" i="122" s="1"/>
  <c r="P265" i="122"/>
  <c r="AF265" i="122"/>
  <c r="H266" i="122"/>
  <c r="P266" i="122"/>
  <c r="AF266" i="122"/>
  <c r="F267" i="122"/>
  <c r="G267" i="122"/>
  <c r="I267" i="122"/>
  <c r="I200" i="122" s="1"/>
  <c r="J267" i="122"/>
  <c r="K267" i="122"/>
  <c r="L267" i="122"/>
  <c r="M267" i="122"/>
  <c r="N267" i="122"/>
  <c r="O267" i="122"/>
  <c r="Q267" i="122"/>
  <c r="R267" i="122"/>
  <c r="S267" i="122"/>
  <c r="T267" i="122"/>
  <c r="U267" i="122"/>
  <c r="V267" i="122"/>
  <c r="W267" i="122"/>
  <c r="X267" i="122"/>
  <c r="Y267" i="122"/>
  <c r="Z267" i="122"/>
  <c r="AA267" i="122"/>
  <c r="AB267" i="122"/>
  <c r="AC267" i="122"/>
  <c r="AD267" i="122"/>
  <c r="AE267" i="122"/>
  <c r="AG267" i="122"/>
  <c r="AH267" i="122"/>
  <c r="H268" i="122"/>
  <c r="P268" i="122"/>
  <c r="AF268" i="122"/>
  <c r="H269" i="122"/>
  <c r="P269" i="122"/>
  <c r="E269" i="122" s="1"/>
  <c r="AI269" i="122" s="1"/>
  <c r="AF269" i="122"/>
  <c r="H270" i="122"/>
  <c r="P270" i="122"/>
  <c r="AF270" i="122"/>
  <c r="H271" i="122"/>
  <c r="P271" i="122"/>
  <c r="AF271" i="122"/>
  <c r="AF267" i="122" s="1"/>
  <c r="H272" i="122"/>
  <c r="E272" i="122" s="1"/>
  <c r="AI272" i="122" s="1"/>
  <c r="P272" i="122"/>
  <c r="AF272" i="122"/>
  <c r="H273" i="122"/>
  <c r="P273" i="122"/>
  <c r="AF273" i="122"/>
  <c r="H274" i="122"/>
  <c r="P274" i="122"/>
  <c r="E274" i="122" s="1"/>
  <c r="AI274" i="122" s="1"/>
  <c r="AF274" i="122"/>
  <c r="H275" i="122"/>
  <c r="P275" i="122"/>
  <c r="AF275" i="122"/>
  <c r="H276" i="122"/>
  <c r="P276" i="122"/>
  <c r="AF276" i="122"/>
  <c r="H277" i="122"/>
  <c r="P277" i="122"/>
  <c r="AF277" i="122"/>
  <c r="E277" i="122" s="1"/>
  <c r="AI277" i="122" s="1"/>
  <c r="H278" i="122"/>
  <c r="E278" i="122" s="1"/>
  <c r="AI278" i="122" s="1"/>
  <c r="P278" i="122"/>
  <c r="AF278" i="122"/>
  <c r="H279" i="122"/>
  <c r="E279" i="122" s="1"/>
  <c r="AI279" i="122" s="1"/>
  <c r="P279" i="122"/>
  <c r="AF279" i="122"/>
  <c r="H280" i="122"/>
  <c r="P280" i="122"/>
  <c r="AF280" i="122"/>
  <c r="F282" i="122"/>
  <c r="G282" i="122"/>
  <c r="I282" i="122"/>
  <c r="J282" i="122"/>
  <c r="J281" i="122" s="1"/>
  <c r="K282" i="122"/>
  <c r="L282" i="122"/>
  <c r="L281" i="122" s="1"/>
  <c r="M282" i="122"/>
  <c r="N282" i="122"/>
  <c r="O282" i="122"/>
  <c r="Q282" i="122"/>
  <c r="Q281" i="122" s="1"/>
  <c r="R282" i="122"/>
  <c r="R281" i="122"/>
  <c r="S282" i="122"/>
  <c r="S281" i="122" s="1"/>
  <c r="T282" i="122"/>
  <c r="U282" i="122"/>
  <c r="U281" i="122" s="1"/>
  <c r="V282" i="122"/>
  <c r="V281" i="122" s="1"/>
  <c r="W282" i="122"/>
  <c r="X282" i="122"/>
  <c r="Y282" i="122"/>
  <c r="Z282" i="122"/>
  <c r="AA282" i="122"/>
  <c r="AB282" i="122"/>
  <c r="AC282" i="122"/>
  <c r="AC281" i="122" s="1"/>
  <c r="AD282" i="122"/>
  <c r="AD281" i="122"/>
  <c r="AE282" i="122"/>
  <c r="AE281" i="122" s="1"/>
  <c r="AG282" i="122"/>
  <c r="AG281" i="122" s="1"/>
  <c r="AH282" i="122"/>
  <c r="H283" i="122"/>
  <c r="P283" i="122"/>
  <c r="AF283" i="122"/>
  <c r="E283" i="122" s="1"/>
  <c r="AI283" i="122" s="1"/>
  <c r="H284" i="122"/>
  <c r="P284" i="122"/>
  <c r="AF284" i="122"/>
  <c r="H285" i="122"/>
  <c r="E285" i="122" s="1"/>
  <c r="AI285" i="122" s="1"/>
  <c r="P285" i="122"/>
  <c r="AF285" i="122"/>
  <c r="H286" i="122"/>
  <c r="P286" i="122"/>
  <c r="E286" i="122" s="1"/>
  <c r="AI286" i="122" s="1"/>
  <c r="AF286" i="122"/>
  <c r="H287" i="122"/>
  <c r="P287" i="122"/>
  <c r="AF287" i="122"/>
  <c r="E287" i="122" s="1"/>
  <c r="AI287" i="122" s="1"/>
  <c r="H288" i="122"/>
  <c r="E288" i="122" s="1"/>
  <c r="AI288" i="122" s="1"/>
  <c r="P288" i="122"/>
  <c r="AF288" i="122"/>
  <c r="H289" i="122"/>
  <c r="H282" i="122" s="1"/>
  <c r="E289" i="122"/>
  <c r="AI289" i="122" s="1"/>
  <c r="P289" i="122"/>
  <c r="AF289" i="122"/>
  <c r="H290" i="122"/>
  <c r="P290" i="122"/>
  <c r="AF290" i="122"/>
  <c r="H291" i="122"/>
  <c r="P291" i="122"/>
  <c r="E291" i="122" s="1"/>
  <c r="AI291" i="122" s="1"/>
  <c r="AF291" i="122"/>
  <c r="H292" i="122"/>
  <c r="P292" i="122"/>
  <c r="E292" i="122"/>
  <c r="AI292" i="122"/>
  <c r="AF292" i="122"/>
  <c r="H293" i="122"/>
  <c r="E293" i="122" s="1"/>
  <c r="AI293" i="122" s="1"/>
  <c r="P293" i="122"/>
  <c r="AF293" i="122"/>
  <c r="H294" i="122"/>
  <c r="P294" i="122"/>
  <c r="E294" i="122"/>
  <c r="AI294" i="122" s="1"/>
  <c r="AF294" i="122"/>
  <c r="H295" i="122"/>
  <c r="P295" i="122"/>
  <c r="AF295" i="122"/>
  <c r="AF282" i="122" s="1"/>
  <c r="H296" i="122"/>
  <c r="E296" i="122" s="1"/>
  <c r="AI296" i="122" s="1"/>
  <c r="P296" i="122"/>
  <c r="AF296" i="122"/>
  <c r="F297" i="122"/>
  <c r="G297" i="122"/>
  <c r="I297" i="122"/>
  <c r="I281" i="122"/>
  <c r="J297" i="122"/>
  <c r="K297" i="122"/>
  <c r="L297" i="122"/>
  <c r="M297" i="122"/>
  <c r="N297" i="122"/>
  <c r="O297" i="122"/>
  <c r="Q297" i="122"/>
  <c r="R297" i="122"/>
  <c r="S297" i="122"/>
  <c r="T297" i="122"/>
  <c r="U297" i="122"/>
  <c r="V297" i="122"/>
  <c r="W297" i="122"/>
  <c r="X297" i="122"/>
  <c r="Y297" i="122"/>
  <c r="Z297" i="122"/>
  <c r="Z281" i="122" s="1"/>
  <c r="AA297" i="122"/>
  <c r="AB297" i="122"/>
  <c r="AC297" i="122"/>
  <c r="AD297" i="122"/>
  <c r="AE297" i="122"/>
  <c r="AG297" i="122"/>
  <c r="AH297" i="122"/>
  <c r="AH281" i="122" s="1"/>
  <c r="H298" i="122"/>
  <c r="P298" i="122"/>
  <c r="AF298" i="122"/>
  <c r="H299" i="122"/>
  <c r="P299" i="122"/>
  <c r="E299" i="122" s="1"/>
  <c r="AI299" i="122" s="1"/>
  <c r="AF299" i="122"/>
  <c r="H300" i="122"/>
  <c r="P300" i="122"/>
  <c r="AF300" i="122"/>
  <c r="H301" i="122"/>
  <c r="P301" i="122"/>
  <c r="AF301" i="122"/>
  <c r="H302" i="122"/>
  <c r="P302" i="122"/>
  <c r="AF302" i="122"/>
  <c r="H303" i="122"/>
  <c r="E303" i="122" s="1"/>
  <c r="AI303" i="122" s="1"/>
  <c r="P303" i="122"/>
  <c r="AF303" i="122"/>
  <c r="H304" i="122"/>
  <c r="P304" i="122"/>
  <c r="AF304" i="122"/>
  <c r="H305" i="122"/>
  <c r="P305" i="122"/>
  <c r="E305" i="122" s="1"/>
  <c r="AI305" i="122" s="1"/>
  <c r="AF305" i="122"/>
  <c r="H306" i="122"/>
  <c r="E306" i="122" s="1"/>
  <c r="AI306" i="122" s="1"/>
  <c r="P306" i="122"/>
  <c r="AF306" i="122"/>
  <c r="H307" i="122"/>
  <c r="P307" i="122"/>
  <c r="AF307" i="122"/>
  <c r="H308" i="122"/>
  <c r="P308" i="122"/>
  <c r="AF308" i="122"/>
  <c r="E308" i="122" s="1"/>
  <c r="AI308" i="122" s="1"/>
  <c r="H309" i="122"/>
  <c r="P309" i="122"/>
  <c r="E309" i="122"/>
  <c r="AI309" i="122" s="1"/>
  <c r="AF309" i="122"/>
  <c r="F310" i="122"/>
  <c r="G310" i="122"/>
  <c r="I310" i="122"/>
  <c r="J310" i="122"/>
  <c r="K310" i="122"/>
  <c r="L310" i="122"/>
  <c r="M310" i="122"/>
  <c r="M281" i="122" s="1"/>
  <c r="N310" i="122"/>
  <c r="O310" i="122"/>
  <c r="Q310" i="122"/>
  <c r="R310" i="122"/>
  <c r="S310" i="122"/>
  <c r="T310" i="122"/>
  <c r="U310" i="122"/>
  <c r="V310" i="122"/>
  <c r="W310" i="122"/>
  <c r="W281" i="122" s="1"/>
  <c r="X310" i="122"/>
  <c r="Y310" i="122"/>
  <c r="Y281" i="122" s="1"/>
  <c r="Z310" i="122"/>
  <c r="AA310" i="122"/>
  <c r="AB310" i="122"/>
  <c r="AC310" i="122"/>
  <c r="AD310" i="122"/>
  <c r="AE310" i="122"/>
  <c r="AG310" i="122"/>
  <c r="AH310" i="122"/>
  <c r="H311" i="122"/>
  <c r="E311" i="122" s="1"/>
  <c r="AI311" i="122" s="1"/>
  <c r="P311" i="122"/>
  <c r="AF311" i="122"/>
  <c r="H312" i="122"/>
  <c r="P312" i="122"/>
  <c r="E312" i="122" s="1"/>
  <c r="AF312" i="122"/>
  <c r="E313" i="122"/>
  <c r="AI313" i="122" s="1"/>
  <c r="H313" i="122"/>
  <c r="P313" i="122"/>
  <c r="AF313" i="122"/>
  <c r="H314" i="122"/>
  <c r="E314" i="122" s="1"/>
  <c r="AI314" i="122" s="1"/>
  <c r="P314" i="122"/>
  <c r="AF314" i="122"/>
  <c r="F315" i="122"/>
  <c r="G315" i="122"/>
  <c r="I315" i="122"/>
  <c r="J315" i="122"/>
  <c r="K315" i="122"/>
  <c r="L315" i="122"/>
  <c r="M315" i="122"/>
  <c r="N315" i="122"/>
  <c r="O315" i="122"/>
  <c r="Q315" i="122"/>
  <c r="R315" i="122"/>
  <c r="S315" i="122"/>
  <c r="T315" i="122"/>
  <c r="U315" i="122"/>
  <c r="V315" i="122"/>
  <c r="W315" i="122"/>
  <c r="X315" i="122"/>
  <c r="Y315" i="122"/>
  <c r="Z315" i="122"/>
  <c r="AA315" i="122"/>
  <c r="AB315" i="122"/>
  <c r="AC315" i="122"/>
  <c r="AD315" i="122"/>
  <c r="AE315" i="122"/>
  <c r="AG315" i="122"/>
  <c r="AH315" i="122"/>
  <c r="H316" i="122"/>
  <c r="P316" i="122"/>
  <c r="AF316" i="122"/>
  <c r="AF315" i="122" s="1"/>
  <c r="H317" i="122"/>
  <c r="E317" i="122"/>
  <c r="AI317" i="122" s="1"/>
  <c r="P317" i="122"/>
  <c r="AF317" i="122"/>
  <c r="H318" i="122"/>
  <c r="E318" i="122" s="1"/>
  <c r="AI318" i="122" s="1"/>
  <c r="P318" i="122"/>
  <c r="AF318" i="122"/>
  <c r="R319" i="122"/>
  <c r="F320" i="122"/>
  <c r="F319" i="122" s="1"/>
  <c r="G320" i="122"/>
  <c r="I320" i="122"/>
  <c r="I319" i="122" s="1"/>
  <c r="J320" i="122"/>
  <c r="K320" i="122"/>
  <c r="L320" i="122"/>
  <c r="L319" i="122"/>
  <c r="M320" i="122"/>
  <c r="M319" i="122" s="1"/>
  <c r="N320" i="122"/>
  <c r="N319" i="122"/>
  <c r="O320" i="122"/>
  <c r="Q320" i="122"/>
  <c r="Q319" i="122" s="1"/>
  <c r="R320" i="122"/>
  <c r="S320" i="122"/>
  <c r="T320" i="122"/>
  <c r="T319" i="122" s="1"/>
  <c r="U320" i="122"/>
  <c r="V320" i="122"/>
  <c r="V319" i="122" s="1"/>
  <c r="W320" i="122"/>
  <c r="W319" i="122" s="1"/>
  <c r="X320" i="122"/>
  <c r="Y320" i="122"/>
  <c r="Y319" i="122" s="1"/>
  <c r="Z320" i="122"/>
  <c r="AA320" i="122"/>
  <c r="AB320" i="122"/>
  <c r="AB319" i="122" s="1"/>
  <c r="AC320" i="122"/>
  <c r="AD320" i="122"/>
  <c r="AD319" i="122" s="1"/>
  <c r="AE320" i="122"/>
  <c r="AG320" i="122"/>
  <c r="AG319" i="122" s="1"/>
  <c r="AH320" i="122"/>
  <c r="H321" i="122"/>
  <c r="P321" i="122"/>
  <c r="AF321" i="122"/>
  <c r="H322" i="122"/>
  <c r="P322" i="122"/>
  <c r="AF322" i="122"/>
  <c r="H323" i="122"/>
  <c r="E323" i="122" s="1"/>
  <c r="P323" i="122"/>
  <c r="AF323" i="122"/>
  <c r="H324" i="122"/>
  <c r="P324" i="122"/>
  <c r="AF324" i="122"/>
  <c r="E324" i="122" s="1"/>
  <c r="AI324" i="122" s="1"/>
  <c r="H325" i="122"/>
  <c r="E325" i="122" s="1"/>
  <c r="AI325" i="122" s="1"/>
  <c r="P325" i="122"/>
  <c r="AF325" i="122"/>
  <c r="H326" i="122"/>
  <c r="H320" i="122" s="1"/>
  <c r="P326" i="122"/>
  <c r="AF326" i="122"/>
  <c r="H327" i="122"/>
  <c r="E327" i="122" s="1"/>
  <c r="AI327" i="122" s="1"/>
  <c r="P327" i="122"/>
  <c r="AF327" i="122"/>
  <c r="H328" i="122"/>
  <c r="P328" i="122"/>
  <c r="AF328" i="122"/>
  <c r="H329" i="122"/>
  <c r="E329" i="122"/>
  <c r="AI329" i="122" s="1"/>
  <c r="P329" i="122"/>
  <c r="AF329" i="122"/>
  <c r="H330" i="122"/>
  <c r="P330" i="122"/>
  <c r="AF330" i="122"/>
  <c r="H331" i="122"/>
  <c r="P331" i="122"/>
  <c r="AF331" i="122"/>
  <c r="H332" i="122"/>
  <c r="E332" i="122" s="1"/>
  <c r="P332" i="122"/>
  <c r="AF332" i="122"/>
  <c r="H333" i="122"/>
  <c r="P333" i="122"/>
  <c r="E333" i="122"/>
  <c r="AI333" i="122" s="1"/>
  <c r="AF333" i="122"/>
  <c r="H334" i="122"/>
  <c r="P334" i="122"/>
  <c r="AF334" i="122"/>
  <c r="H335" i="122"/>
  <c r="P335" i="122"/>
  <c r="AF335" i="122"/>
  <c r="F336" i="122"/>
  <c r="G336" i="122"/>
  <c r="I336" i="122"/>
  <c r="J336" i="122"/>
  <c r="J319" i="122" s="1"/>
  <c r="K336" i="122"/>
  <c r="L336" i="122"/>
  <c r="M336" i="122"/>
  <c r="N336" i="122"/>
  <c r="O336" i="122"/>
  <c r="O319" i="122" s="1"/>
  <c r="Q336" i="122"/>
  <c r="R336" i="122"/>
  <c r="S336" i="122"/>
  <c r="T336" i="122"/>
  <c r="U336" i="122"/>
  <c r="U319" i="122" s="1"/>
  <c r="V336" i="122"/>
  <c r="W336" i="122"/>
  <c r="X336" i="122"/>
  <c r="Y336" i="122"/>
  <c r="Z336" i="122"/>
  <c r="Z319" i="122" s="1"/>
  <c r="AA336" i="122"/>
  <c r="AB336" i="122"/>
  <c r="AC336" i="122"/>
  <c r="AD336" i="122"/>
  <c r="AE336" i="122"/>
  <c r="AE319" i="122" s="1"/>
  <c r="AG336" i="122"/>
  <c r="AH336" i="122"/>
  <c r="H337" i="122"/>
  <c r="E337" i="122" s="1"/>
  <c r="AI337" i="122" s="1"/>
  <c r="P337" i="122"/>
  <c r="AF337" i="122"/>
  <c r="H338" i="122"/>
  <c r="P338" i="122"/>
  <c r="AF338" i="122"/>
  <c r="H339" i="122"/>
  <c r="P339" i="122"/>
  <c r="AF339" i="122"/>
  <c r="H340" i="122"/>
  <c r="P340" i="122"/>
  <c r="AF340" i="122"/>
  <c r="H341" i="122"/>
  <c r="E341" i="122" s="1"/>
  <c r="AI341" i="122" s="1"/>
  <c r="P341" i="122"/>
  <c r="AF341" i="122"/>
  <c r="AI344" i="122"/>
  <c r="AI346" i="122"/>
  <c r="AI347" i="122"/>
  <c r="AI348" i="122"/>
  <c r="AI349" i="122"/>
  <c r="AI350" i="122"/>
  <c r="AI351" i="122"/>
  <c r="AI352" i="122"/>
  <c r="E353" i="122"/>
  <c r="F353" i="122"/>
  <c r="AI353" i="122"/>
  <c r="G353" i="122"/>
  <c r="H353" i="122"/>
  <c r="I353" i="122"/>
  <c r="J353" i="122"/>
  <c r="K353" i="122"/>
  <c r="L353" i="122"/>
  <c r="M353" i="122"/>
  <c r="N353" i="122"/>
  <c r="O353" i="122"/>
  <c r="P353" i="122"/>
  <c r="Q353" i="122"/>
  <c r="R353" i="122"/>
  <c r="S353" i="122"/>
  <c r="T353" i="122"/>
  <c r="U353" i="122"/>
  <c r="V353" i="122"/>
  <c r="W353" i="122"/>
  <c r="X353" i="122"/>
  <c r="Y353" i="122"/>
  <c r="Z353" i="122"/>
  <c r="AA353" i="122"/>
  <c r="AB353" i="122"/>
  <c r="AC353" i="122"/>
  <c r="AD353" i="122"/>
  <c r="AE353" i="122"/>
  <c r="AF353" i="122"/>
  <c r="AG353" i="122"/>
  <c r="AH353" i="122"/>
  <c r="C4" i="103"/>
  <c r="D4" i="103"/>
  <c r="E4" i="103"/>
  <c r="E20" i="103" s="1"/>
  <c r="F4" i="103"/>
  <c r="G4" i="103"/>
  <c r="H4" i="103"/>
  <c r="B5" i="103"/>
  <c r="B6" i="103"/>
  <c r="G9" i="140" s="1"/>
  <c r="B7" i="103"/>
  <c r="G10" i="140" s="1"/>
  <c r="G6" i="140" s="1"/>
  <c r="H9" i="140" s="1"/>
  <c r="B8" i="103"/>
  <c r="B9" i="103"/>
  <c r="G12" i="140" s="1"/>
  <c r="I9" i="103"/>
  <c r="C10" i="103"/>
  <c r="C20" i="103" s="1"/>
  <c r="D10" i="103"/>
  <c r="E10" i="103"/>
  <c r="F10" i="103"/>
  <c r="G10" i="103"/>
  <c r="H10" i="103"/>
  <c r="H20" i="103" s="1"/>
  <c r="B11" i="103"/>
  <c r="G16" i="140" s="1"/>
  <c r="B12" i="103"/>
  <c r="B13" i="103"/>
  <c r="G18" i="140"/>
  <c r="B14" i="103"/>
  <c r="G19" i="140" s="1"/>
  <c r="B15" i="103"/>
  <c r="B16" i="103"/>
  <c r="G21" i="140"/>
  <c r="B17" i="103"/>
  <c r="G22" i="140" s="1"/>
  <c r="B18" i="103"/>
  <c r="G23" i="140" s="1"/>
  <c r="B19" i="103"/>
  <c r="G24" i="140"/>
  <c r="G20" i="103"/>
  <c r="C4" i="102"/>
  <c r="D4" i="102"/>
  <c r="E4" i="102"/>
  <c r="F4" i="102"/>
  <c r="F20" i="102"/>
  <c r="G4" i="102"/>
  <c r="H4" i="102"/>
  <c r="B5" i="102"/>
  <c r="B6" i="102"/>
  <c r="E9" i="140" s="1"/>
  <c r="B7" i="102"/>
  <c r="B8" i="102"/>
  <c r="E11" i="140" s="1"/>
  <c r="B9" i="102"/>
  <c r="I9" i="102"/>
  <c r="C10" i="102"/>
  <c r="D10" i="102"/>
  <c r="E10" i="102"/>
  <c r="E20" i="102" s="1"/>
  <c r="F10" i="102"/>
  <c r="G10" i="102"/>
  <c r="B11" i="102"/>
  <c r="E16" i="140"/>
  <c r="B12" i="102"/>
  <c r="B13" i="102"/>
  <c r="E18" i="140"/>
  <c r="B14" i="102"/>
  <c r="B15" i="102"/>
  <c r="B16" i="102"/>
  <c r="B17" i="102"/>
  <c r="B18" i="102"/>
  <c r="E23" i="140" s="1"/>
  <c r="B19" i="102"/>
  <c r="E24" i="140"/>
  <c r="C4" i="101"/>
  <c r="D4" i="101"/>
  <c r="D20" i="101"/>
  <c r="E4" i="101"/>
  <c r="F4" i="101"/>
  <c r="F20" i="101"/>
  <c r="G4" i="101"/>
  <c r="G20" i="101" s="1"/>
  <c r="H4" i="101"/>
  <c r="B5" i="101"/>
  <c r="C8" i="140" s="1"/>
  <c r="I8" i="140" s="1"/>
  <c r="B6" i="101"/>
  <c r="B7" i="101"/>
  <c r="C10" i="140" s="1"/>
  <c r="B8" i="101"/>
  <c r="B9" i="101"/>
  <c r="C12" i="140" s="1"/>
  <c r="C10" i="101"/>
  <c r="K10" i="101"/>
  <c r="D10" i="101"/>
  <c r="E10" i="101"/>
  <c r="F10" i="101"/>
  <c r="H10" i="101"/>
  <c r="H20" i="101" s="1"/>
  <c r="B11" i="101"/>
  <c r="C16" i="140" s="1"/>
  <c r="I11" i="101"/>
  <c r="B12" i="101"/>
  <c r="I12" i="101"/>
  <c r="B13" i="101"/>
  <c r="C18" i="140" s="1"/>
  <c r="I13" i="101"/>
  <c r="B14" i="101"/>
  <c r="C19" i="140" s="1"/>
  <c r="I14" i="101"/>
  <c r="B15" i="101"/>
  <c r="I15" i="101"/>
  <c r="B16" i="101"/>
  <c r="C21" i="140" s="1"/>
  <c r="I21" i="140" s="1"/>
  <c r="I16" i="101"/>
  <c r="B17" i="101"/>
  <c r="B38" i="115" s="1"/>
  <c r="I17" i="101"/>
  <c r="B18" i="101"/>
  <c r="I18" i="101"/>
  <c r="B19" i="101"/>
  <c r="I19" i="101"/>
  <c r="G5" i="124"/>
  <c r="J5" i="124"/>
  <c r="O5" i="124"/>
  <c r="AH5" i="124"/>
  <c r="H6" i="124"/>
  <c r="P6" i="124"/>
  <c r="E6" i="124"/>
  <c r="AF6" i="124"/>
  <c r="H7" i="124"/>
  <c r="P7" i="124"/>
  <c r="AF7" i="124"/>
  <c r="F8" i="124"/>
  <c r="F5" i="124" s="1"/>
  <c r="G8" i="124"/>
  <c r="I8" i="124"/>
  <c r="I5" i="124" s="1"/>
  <c r="J8" i="124"/>
  <c r="K8" i="124"/>
  <c r="K5" i="124" s="1"/>
  <c r="L8" i="124"/>
  <c r="L5" i="124"/>
  <c r="M8" i="124"/>
  <c r="M5" i="124" s="1"/>
  <c r="N8" i="124"/>
  <c r="N5" i="124" s="1"/>
  <c r="O8" i="124"/>
  <c r="Q8" i="124"/>
  <c r="Q5" i="124"/>
  <c r="R8" i="124"/>
  <c r="R5" i="124"/>
  <c r="S8" i="124"/>
  <c r="S5" i="124" s="1"/>
  <c r="T8" i="124"/>
  <c r="T5" i="124" s="1"/>
  <c r="U8" i="124"/>
  <c r="U5" i="124"/>
  <c r="V8" i="124"/>
  <c r="V5" i="124" s="1"/>
  <c r="W8" i="124"/>
  <c r="W5" i="124" s="1"/>
  <c r="X8" i="124"/>
  <c r="X5" i="124" s="1"/>
  <c r="Y8" i="124"/>
  <c r="Y5" i="124"/>
  <c r="Z8" i="124"/>
  <c r="Z5" i="124"/>
  <c r="AA8" i="124"/>
  <c r="AA5" i="124" s="1"/>
  <c r="AB8" i="124"/>
  <c r="AB5" i="124"/>
  <c r="AC8" i="124"/>
  <c r="AC5" i="124"/>
  <c r="AD8" i="124"/>
  <c r="AD5" i="124" s="1"/>
  <c r="AE8" i="124"/>
  <c r="AE5" i="124"/>
  <c r="AG8" i="124"/>
  <c r="AG5" i="124"/>
  <c r="AH8" i="124"/>
  <c r="H9" i="124"/>
  <c r="P9" i="124"/>
  <c r="AF9" i="124"/>
  <c r="AF8" i="124" s="1"/>
  <c r="AF5" i="124" s="1"/>
  <c r="H10" i="124"/>
  <c r="P10" i="124"/>
  <c r="AF10" i="124"/>
  <c r="H11" i="124"/>
  <c r="P11" i="124"/>
  <c r="AF11" i="124"/>
  <c r="F8" i="119"/>
  <c r="G8" i="119"/>
  <c r="I8" i="119"/>
  <c r="J8" i="119"/>
  <c r="K8" i="119"/>
  <c r="L8" i="119"/>
  <c r="M8" i="119"/>
  <c r="N8" i="119"/>
  <c r="O8" i="119"/>
  <c r="O7" i="119" s="1"/>
  <c r="Q8" i="119"/>
  <c r="R8" i="119"/>
  <c r="S8" i="119"/>
  <c r="T8" i="119"/>
  <c r="U8" i="119"/>
  <c r="U7" i="119" s="1"/>
  <c r="V8" i="119"/>
  <c r="V7" i="119" s="1"/>
  <c r="W8" i="119"/>
  <c r="X8" i="119"/>
  <c r="Y8" i="119"/>
  <c r="Z8" i="119"/>
  <c r="AA8" i="119"/>
  <c r="AB8" i="119"/>
  <c r="AC8" i="119"/>
  <c r="AC7" i="119"/>
  <c r="AD8" i="119"/>
  <c r="AE8" i="119"/>
  <c r="AG8" i="119"/>
  <c r="AH8" i="119"/>
  <c r="H9" i="119"/>
  <c r="P9" i="119"/>
  <c r="AF9" i="119"/>
  <c r="E9" i="119" s="1"/>
  <c r="AI9" i="119" s="1"/>
  <c r="H10" i="119"/>
  <c r="P10" i="119"/>
  <c r="AF10" i="119"/>
  <c r="AF8" i="119"/>
  <c r="H11" i="119"/>
  <c r="E11" i="119"/>
  <c r="AI11" i="119" s="1"/>
  <c r="P11" i="119"/>
  <c r="AF11" i="119"/>
  <c r="H12" i="119"/>
  <c r="P12" i="119"/>
  <c r="AF12" i="119"/>
  <c r="E12" i="119" s="1"/>
  <c r="AI12" i="119" s="1"/>
  <c r="H13" i="119"/>
  <c r="P13" i="119"/>
  <c r="E13" i="119"/>
  <c r="AI13" i="119" s="1"/>
  <c r="AF13" i="119"/>
  <c r="H14" i="119"/>
  <c r="E14" i="119" s="1"/>
  <c r="AI14" i="119" s="1"/>
  <c r="P14" i="119"/>
  <c r="AF14" i="119"/>
  <c r="H15" i="119"/>
  <c r="E15" i="119" s="1"/>
  <c r="AI15" i="119" s="1"/>
  <c r="P15" i="119"/>
  <c r="AF15" i="119"/>
  <c r="H16" i="119"/>
  <c r="P16" i="119"/>
  <c r="AF16" i="119"/>
  <c r="E16" i="119" s="1"/>
  <c r="AI16" i="119" s="1"/>
  <c r="F17" i="119"/>
  <c r="G17" i="119"/>
  <c r="I17" i="119"/>
  <c r="J17" i="119"/>
  <c r="K17" i="119"/>
  <c r="L17" i="119"/>
  <c r="M17" i="119"/>
  <c r="N17" i="119"/>
  <c r="O17" i="119"/>
  <c r="Q17" i="119"/>
  <c r="Q7" i="119" s="1"/>
  <c r="Q5" i="119" s="1"/>
  <c r="R17" i="119"/>
  <c r="S17" i="119"/>
  <c r="T17" i="119"/>
  <c r="U17" i="119"/>
  <c r="V17" i="119"/>
  <c r="W17" i="119"/>
  <c r="W7" i="119" s="1"/>
  <c r="W5" i="119" s="1"/>
  <c r="W6" i="119" s="1"/>
  <c r="X17" i="119"/>
  <c r="Y17" i="119"/>
  <c r="Z17" i="119"/>
  <c r="AA17" i="119"/>
  <c r="AA7" i="119" s="1"/>
  <c r="AB17" i="119"/>
  <c r="AC17" i="119"/>
  <c r="AD17" i="119"/>
  <c r="AE17" i="119"/>
  <c r="AG17" i="119"/>
  <c r="AH17" i="119"/>
  <c r="H18" i="119"/>
  <c r="P18" i="119"/>
  <c r="AF18" i="119"/>
  <c r="H19" i="119"/>
  <c r="P19" i="119"/>
  <c r="E19" i="119"/>
  <c r="AI19" i="119" s="1"/>
  <c r="AF19" i="119"/>
  <c r="H20" i="119"/>
  <c r="E20" i="119" s="1"/>
  <c r="AI20" i="119" s="1"/>
  <c r="P20" i="119"/>
  <c r="AF20" i="119"/>
  <c r="H21" i="119"/>
  <c r="E21" i="119"/>
  <c r="AI21" i="119" s="1"/>
  <c r="P21" i="119"/>
  <c r="AF21" i="119"/>
  <c r="H22" i="119"/>
  <c r="E22" i="119" s="1"/>
  <c r="AI22" i="119" s="1"/>
  <c r="P22" i="119"/>
  <c r="AF22" i="119"/>
  <c r="H23" i="119"/>
  <c r="P23" i="119"/>
  <c r="AF23" i="119"/>
  <c r="H24" i="119"/>
  <c r="P24" i="119"/>
  <c r="E24" i="119" s="1"/>
  <c r="AI24" i="119" s="1"/>
  <c r="AF24" i="119"/>
  <c r="H25" i="119"/>
  <c r="P25" i="119"/>
  <c r="AF25" i="119"/>
  <c r="AF17" i="119" s="1"/>
  <c r="H26" i="119"/>
  <c r="P26" i="119"/>
  <c r="AF26" i="119"/>
  <c r="H27" i="119"/>
  <c r="P27" i="119"/>
  <c r="E27" i="119"/>
  <c r="AI27" i="119" s="1"/>
  <c r="AF27" i="119"/>
  <c r="H28" i="119"/>
  <c r="P28" i="119"/>
  <c r="AF28" i="119"/>
  <c r="K29" i="119"/>
  <c r="U29" i="119"/>
  <c r="F30" i="119"/>
  <c r="G30" i="119"/>
  <c r="G29" i="119"/>
  <c r="I30" i="119"/>
  <c r="I29" i="119" s="1"/>
  <c r="J30" i="119"/>
  <c r="J29" i="119"/>
  <c r="L30" i="119"/>
  <c r="L29" i="119" s="1"/>
  <c r="M30" i="119"/>
  <c r="M29" i="119"/>
  <c r="N30" i="119"/>
  <c r="N29" i="119" s="1"/>
  <c r="N7" i="119" s="1"/>
  <c r="N5" i="119" s="1"/>
  <c r="N6" i="119" s="1"/>
  <c r="O30" i="119"/>
  <c r="O29" i="119"/>
  <c r="Q30" i="119"/>
  <c r="Q29" i="119"/>
  <c r="R30" i="119"/>
  <c r="R29" i="119"/>
  <c r="S30" i="119"/>
  <c r="S29" i="119" s="1"/>
  <c r="T30" i="119"/>
  <c r="T29" i="119" s="1"/>
  <c r="U30" i="119"/>
  <c r="V30" i="119"/>
  <c r="V29" i="119" s="1"/>
  <c r="W30" i="119"/>
  <c r="W29" i="119"/>
  <c r="X30" i="119"/>
  <c r="X29" i="119" s="1"/>
  <c r="X7" i="119" s="1"/>
  <c r="Y30" i="119"/>
  <c r="Y29" i="119"/>
  <c r="Z30" i="119"/>
  <c r="Z29" i="119" s="1"/>
  <c r="Z7" i="119"/>
  <c r="Z5" i="119" s="1"/>
  <c r="Z6" i="119" s="1"/>
  <c r="AA30" i="119"/>
  <c r="AA29" i="119" s="1"/>
  <c r="AB30" i="119"/>
  <c r="AB29" i="119" s="1"/>
  <c r="AC30" i="119"/>
  <c r="AC29" i="119" s="1"/>
  <c r="AD30" i="119"/>
  <c r="AD29" i="119" s="1"/>
  <c r="AE30" i="119"/>
  <c r="AE29" i="119"/>
  <c r="AG30" i="119"/>
  <c r="AG29" i="119" s="1"/>
  <c r="AG7" i="119" s="1"/>
  <c r="AH30" i="119"/>
  <c r="AH29" i="119"/>
  <c r="AH7" i="119" s="1"/>
  <c r="AH5" i="119" s="1"/>
  <c r="AH6" i="119" s="1"/>
  <c r="H31" i="119"/>
  <c r="P31" i="119"/>
  <c r="AF31" i="119"/>
  <c r="AF30" i="119" s="1"/>
  <c r="AF29" i="119" s="1"/>
  <c r="H32" i="119"/>
  <c r="P32" i="119"/>
  <c r="AF32" i="119"/>
  <c r="E32" i="119" s="1"/>
  <c r="H33" i="119"/>
  <c r="P33" i="119"/>
  <c r="AF33" i="119"/>
  <c r="H34" i="119"/>
  <c r="P34" i="119"/>
  <c r="AF34" i="119"/>
  <c r="H35" i="119"/>
  <c r="E35" i="119"/>
  <c r="AJ35" i="119" s="1"/>
  <c r="P35" i="119"/>
  <c r="AF35" i="119"/>
  <c r="H36" i="119"/>
  <c r="P36" i="119"/>
  <c r="AF36" i="119"/>
  <c r="H37" i="119"/>
  <c r="E37" i="119" s="1"/>
  <c r="P37" i="119"/>
  <c r="AF37" i="119"/>
  <c r="H38" i="119"/>
  <c r="E38" i="119"/>
  <c r="P38" i="119"/>
  <c r="AF38" i="119"/>
  <c r="H39" i="119"/>
  <c r="E39" i="119" s="1"/>
  <c r="AJ39" i="119" s="1"/>
  <c r="P39" i="119"/>
  <c r="AF39" i="119"/>
  <c r="H40" i="119"/>
  <c r="E40" i="119" s="1"/>
  <c r="P40" i="119"/>
  <c r="AF40" i="119"/>
  <c r="H41" i="119"/>
  <c r="P41" i="119"/>
  <c r="AF41" i="119"/>
  <c r="H42" i="119"/>
  <c r="E42" i="119" s="1"/>
  <c r="AJ42" i="119" s="1"/>
  <c r="P42" i="119"/>
  <c r="AF42" i="119"/>
  <c r="H43" i="119"/>
  <c r="P43" i="119"/>
  <c r="AF43" i="119"/>
  <c r="H44" i="119"/>
  <c r="P44" i="119"/>
  <c r="E44" i="119" s="1"/>
  <c r="AJ44" i="119" s="1"/>
  <c r="AF44" i="119"/>
  <c r="H45" i="119"/>
  <c r="P45" i="119"/>
  <c r="AF45" i="119"/>
  <c r="H46" i="119"/>
  <c r="P46" i="119"/>
  <c r="E46" i="119"/>
  <c r="AF46" i="119"/>
  <c r="H47" i="119"/>
  <c r="E47" i="119"/>
  <c r="AI47" i="119" s="1"/>
  <c r="P47" i="119"/>
  <c r="AF47" i="119"/>
  <c r="H48" i="119"/>
  <c r="E48" i="119" s="1"/>
  <c r="P48" i="119"/>
  <c r="AF48" i="119"/>
  <c r="H49" i="119"/>
  <c r="P49" i="119"/>
  <c r="AF49" i="119"/>
  <c r="H50" i="119"/>
  <c r="E50" i="119"/>
  <c r="AJ50" i="119"/>
  <c r="P50" i="119"/>
  <c r="AF50" i="119"/>
  <c r="H51" i="119"/>
  <c r="E51" i="119" s="1"/>
  <c r="P51" i="119"/>
  <c r="AF51" i="119"/>
  <c r="H52" i="119"/>
  <c r="P52" i="119"/>
  <c r="AF52" i="119"/>
  <c r="H53" i="119"/>
  <c r="E53" i="119"/>
  <c r="AJ53" i="119" s="1"/>
  <c r="P53" i="119"/>
  <c r="AF53" i="119"/>
  <c r="H54" i="119"/>
  <c r="E54" i="119" s="1"/>
  <c r="AJ54" i="119" s="1"/>
  <c r="P54" i="119"/>
  <c r="AF54" i="119"/>
  <c r="H55" i="119"/>
  <c r="P55" i="119"/>
  <c r="AF55" i="119"/>
  <c r="H56" i="119"/>
  <c r="H30" i="119" s="1"/>
  <c r="H29" i="119" s="1"/>
  <c r="E56" i="119"/>
  <c r="P56" i="119"/>
  <c r="AF56" i="119"/>
  <c r="H57" i="119"/>
  <c r="E57" i="119" s="1"/>
  <c r="AJ57" i="119" s="1"/>
  <c r="P57" i="119"/>
  <c r="AF57" i="119"/>
  <c r="H58" i="119"/>
  <c r="E58" i="119" s="1"/>
  <c r="AJ58" i="119" s="1"/>
  <c r="P58" i="119"/>
  <c r="AF58" i="119"/>
  <c r="H59" i="119"/>
  <c r="P59" i="119"/>
  <c r="E59" i="119" s="1"/>
  <c r="AF59" i="119"/>
  <c r="H60" i="119"/>
  <c r="E60" i="119"/>
  <c r="P60" i="119"/>
  <c r="AF60" i="119"/>
  <c r="H61" i="119"/>
  <c r="P61" i="119"/>
  <c r="AF61" i="119"/>
  <c r="H62" i="119"/>
  <c r="P62" i="119"/>
  <c r="AF62" i="119"/>
  <c r="H63" i="119"/>
  <c r="E63" i="119" s="1"/>
  <c r="AJ63" i="119" s="1"/>
  <c r="P63" i="119"/>
  <c r="AF63" i="119"/>
  <c r="H64" i="119"/>
  <c r="E64" i="119" s="1"/>
  <c r="AI64" i="119" s="1"/>
  <c r="P64" i="119"/>
  <c r="AF64" i="119"/>
  <c r="H65" i="119"/>
  <c r="P65" i="119"/>
  <c r="E65" i="119"/>
  <c r="AI65" i="119" s="1"/>
  <c r="AF65" i="119"/>
  <c r="F67" i="119"/>
  <c r="G67" i="119"/>
  <c r="I67" i="119"/>
  <c r="J67" i="119"/>
  <c r="L67" i="119"/>
  <c r="M67" i="119"/>
  <c r="N67" i="119"/>
  <c r="O67" i="119"/>
  <c r="Q67" i="119"/>
  <c r="R67" i="119"/>
  <c r="S67" i="119"/>
  <c r="T67" i="119"/>
  <c r="U67" i="119"/>
  <c r="V67" i="119"/>
  <c r="W67" i="119"/>
  <c r="X67" i="119"/>
  <c r="Y67" i="119"/>
  <c r="Z67" i="119"/>
  <c r="AA67" i="119"/>
  <c r="AB67" i="119"/>
  <c r="AC67" i="119"/>
  <c r="AD67" i="119"/>
  <c r="AE67" i="119"/>
  <c r="AG67" i="119"/>
  <c r="AH67" i="119"/>
  <c r="H68" i="119"/>
  <c r="P68" i="119"/>
  <c r="AF68" i="119"/>
  <c r="H69" i="119"/>
  <c r="P69" i="119"/>
  <c r="AF69" i="119"/>
  <c r="H70" i="119"/>
  <c r="P70" i="119"/>
  <c r="E70" i="119" s="1"/>
  <c r="AI70" i="119" s="1"/>
  <c r="AF70" i="119"/>
  <c r="H71" i="119"/>
  <c r="E71" i="119" s="1"/>
  <c r="AI71" i="119" s="1"/>
  <c r="P71" i="119"/>
  <c r="AF71" i="119"/>
  <c r="H72" i="119"/>
  <c r="P72" i="119"/>
  <c r="AF72" i="119"/>
  <c r="E72" i="119" s="1"/>
  <c r="AI72" i="119" s="1"/>
  <c r="H73" i="119"/>
  <c r="P73" i="119"/>
  <c r="AF73" i="119"/>
  <c r="H74" i="119"/>
  <c r="P74" i="119"/>
  <c r="AF74" i="119"/>
  <c r="H75" i="119"/>
  <c r="P75" i="119"/>
  <c r="AF75" i="119"/>
  <c r="H76" i="119"/>
  <c r="E76" i="119" s="1"/>
  <c r="AI76" i="119" s="1"/>
  <c r="P76" i="119"/>
  <c r="AF76" i="119"/>
  <c r="F77" i="119"/>
  <c r="F66" i="119" s="1"/>
  <c r="G77" i="119"/>
  <c r="I77" i="119"/>
  <c r="J77" i="119"/>
  <c r="L77" i="119"/>
  <c r="M77" i="119"/>
  <c r="N77" i="119"/>
  <c r="O77" i="119"/>
  <c r="Q77" i="119"/>
  <c r="R77" i="119"/>
  <c r="S77" i="119"/>
  <c r="T77" i="119"/>
  <c r="U77" i="119"/>
  <c r="V77" i="119"/>
  <c r="W77" i="119"/>
  <c r="X77" i="119"/>
  <c r="Y77" i="119"/>
  <c r="Z77" i="119"/>
  <c r="AA77" i="119"/>
  <c r="AB77" i="119"/>
  <c r="AC77" i="119"/>
  <c r="AD77" i="119"/>
  <c r="AE77" i="119"/>
  <c r="AG77" i="119"/>
  <c r="AH77" i="119"/>
  <c r="H78" i="119"/>
  <c r="E78" i="119"/>
  <c r="AI78" i="119" s="1"/>
  <c r="P78" i="119"/>
  <c r="P77" i="119" s="1"/>
  <c r="AF78" i="119"/>
  <c r="H79" i="119"/>
  <c r="P79" i="119"/>
  <c r="E79" i="119"/>
  <c r="AI79" i="119" s="1"/>
  <c r="AF79" i="119"/>
  <c r="H80" i="119"/>
  <c r="P80" i="119"/>
  <c r="AF80" i="119"/>
  <c r="AF77" i="119" s="1"/>
  <c r="H81" i="119"/>
  <c r="E81" i="119" s="1"/>
  <c r="AI81" i="119" s="1"/>
  <c r="P81" i="119"/>
  <c r="AF81" i="119"/>
  <c r="H82" i="119"/>
  <c r="P82" i="119"/>
  <c r="AF82" i="119"/>
  <c r="H83" i="119"/>
  <c r="P83" i="119"/>
  <c r="AF83" i="119"/>
  <c r="H84" i="119"/>
  <c r="E84" i="119" s="1"/>
  <c r="AI84" i="119" s="1"/>
  <c r="P84" i="119"/>
  <c r="AF84" i="119"/>
  <c r="H85" i="119"/>
  <c r="P85" i="119"/>
  <c r="AF85" i="119"/>
  <c r="H86" i="119"/>
  <c r="P86" i="119"/>
  <c r="AF86" i="119"/>
  <c r="E86" i="119" s="1"/>
  <c r="AI86" i="119" s="1"/>
  <c r="H87" i="119"/>
  <c r="P87" i="119"/>
  <c r="AF87" i="119"/>
  <c r="H88" i="119"/>
  <c r="P88" i="119"/>
  <c r="AF88" i="119"/>
  <c r="H89" i="119"/>
  <c r="P89" i="119"/>
  <c r="AF89" i="119"/>
  <c r="H90" i="119"/>
  <c r="E90" i="119"/>
  <c r="P90" i="119"/>
  <c r="AF90" i="119"/>
  <c r="F91" i="119"/>
  <c r="G91" i="119"/>
  <c r="I91" i="119"/>
  <c r="J91" i="119"/>
  <c r="L91" i="119"/>
  <c r="M91" i="119"/>
  <c r="N91" i="119"/>
  <c r="O91" i="119"/>
  <c r="Q91" i="119"/>
  <c r="R91" i="119"/>
  <c r="S91" i="119"/>
  <c r="T91" i="119"/>
  <c r="U91" i="119"/>
  <c r="V91" i="119"/>
  <c r="W91" i="119"/>
  <c r="X91" i="119"/>
  <c r="Y91" i="119"/>
  <c r="Z91" i="119"/>
  <c r="AA91" i="119"/>
  <c r="AB91" i="119"/>
  <c r="AC91" i="119"/>
  <c r="AD91" i="119"/>
  <c r="AE91" i="119"/>
  <c r="AG91" i="119"/>
  <c r="AH91" i="119"/>
  <c r="H92" i="119"/>
  <c r="P92" i="119"/>
  <c r="E92" i="119"/>
  <c r="AI92" i="119" s="1"/>
  <c r="AF92" i="119"/>
  <c r="H93" i="119"/>
  <c r="P93" i="119"/>
  <c r="AF93" i="119"/>
  <c r="H94" i="119"/>
  <c r="E94" i="119" s="1"/>
  <c r="AI94" i="119" s="1"/>
  <c r="P94" i="119"/>
  <c r="AF94" i="119"/>
  <c r="H95" i="119"/>
  <c r="P95" i="119"/>
  <c r="AF95" i="119"/>
  <c r="E95" i="119" s="1"/>
  <c r="AI95" i="119" s="1"/>
  <c r="H96" i="119"/>
  <c r="P96" i="119"/>
  <c r="AF96" i="119"/>
  <c r="H97" i="119"/>
  <c r="E97" i="119" s="1"/>
  <c r="AI97" i="119" s="1"/>
  <c r="P97" i="119"/>
  <c r="AF97" i="119"/>
  <c r="H98" i="119"/>
  <c r="P98" i="119"/>
  <c r="AF98" i="119"/>
  <c r="H99" i="119"/>
  <c r="P99" i="119"/>
  <c r="AF99" i="119"/>
  <c r="H100" i="119"/>
  <c r="E100" i="119"/>
  <c r="AI100" i="119" s="1"/>
  <c r="P100" i="119"/>
  <c r="AF100" i="119"/>
  <c r="H101" i="119"/>
  <c r="P101" i="119"/>
  <c r="AF101" i="119"/>
  <c r="H102" i="119"/>
  <c r="P102" i="119"/>
  <c r="AF102" i="119"/>
  <c r="H103" i="119"/>
  <c r="P103" i="119"/>
  <c r="AF103" i="119"/>
  <c r="H104" i="119"/>
  <c r="P104" i="119"/>
  <c r="AF104" i="119"/>
  <c r="H105" i="119"/>
  <c r="P105" i="119"/>
  <c r="AF105" i="119"/>
  <c r="F106" i="119"/>
  <c r="G106" i="119"/>
  <c r="I106" i="119"/>
  <c r="J106" i="119"/>
  <c r="L106" i="119"/>
  <c r="M106" i="119"/>
  <c r="N106" i="119"/>
  <c r="O106" i="119"/>
  <c r="Q106" i="119"/>
  <c r="R106" i="119"/>
  <c r="S106" i="119"/>
  <c r="T106" i="119"/>
  <c r="U106" i="119"/>
  <c r="V106" i="119"/>
  <c r="W106" i="119"/>
  <c r="X106" i="119"/>
  <c r="Y106" i="119"/>
  <c r="Z106" i="119"/>
  <c r="AA106" i="119"/>
  <c r="AB106" i="119"/>
  <c r="AC106" i="119"/>
  <c r="AD106" i="119"/>
  <c r="AE106" i="119"/>
  <c r="AG106" i="119"/>
  <c r="AH106" i="119"/>
  <c r="H107" i="119"/>
  <c r="P107" i="119"/>
  <c r="P106" i="119" s="1"/>
  <c r="AF107" i="119"/>
  <c r="H108" i="119"/>
  <c r="E108" i="119" s="1"/>
  <c r="AI108" i="119" s="1"/>
  <c r="P108" i="119"/>
  <c r="AF108" i="119"/>
  <c r="H109" i="119"/>
  <c r="P109" i="119"/>
  <c r="AF109" i="119"/>
  <c r="H110" i="119"/>
  <c r="P110" i="119"/>
  <c r="E110" i="119" s="1"/>
  <c r="AI110" i="119" s="1"/>
  <c r="AF110" i="119"/>
  <c r="AI111" i="119"/>
  <c r="H111" i="119"/>
  <c r="E111" i="119" s="1"/>
  <c r="P111" i="119"/>
  <c r="AF111" i="119"/>
  <c r="H113" i="119"/>
  <c r="P113" i="119"/>
  <c r="AF113" i="119"/>
  <c r="F114" i="119"/>
  <c r="G114" i="119"/>
  <c r="G112" i="119" s="1"/>
  <c r="I114" i="119"/>
  <c r="J114" i="119"/>
  <c r="L114" i="119"/>
  <c r="M114" i="119"/>
  <c r="N114" i="119"/>
  <c r="O114" i="119"/>
  <c r="Q114" i="119"/>
  <c r="R114" i="119"/>
  <c r="S114" i="119"/>
  <c r="T114" i="119"/>
  <c r="U114" i="119"/>
  <c r="V114" i="119"/>
  <c r="W114" i="119"/>
  <c r="X114" i="119"/>
  <c r="Y114" i="119"/>
  <c r="Z114" i="119"/>
  <c r="AA114" i="119"/>
  <c r="AB114" i="119"/>
  <c r="AC114" i="119"/>
  <c r="AD114" i="119"/>
  <c r="AE114" i="119"/>
  <c r="AG114" i="119"/>
  <c r="AH114" i="119"/>
  <c r="E115" i="119"/>
  <c r="AI115" i="119" s="1"/>
  <c r="H115" i="119"/>
  <c r="P115" i="119"/>
  <c r="P114" i="119" s="1"/>
  <c r="AF115" i="119"/>
  <c r="H116" i="119"/>
  <c r="P116" i="119"/>
  <c r="AF116" i="119"/>
  <c r="F117" i="119"/>
  <c r="F112" i="119" s="1"/>
  <c r="G117" i="119"/>
  <c r="I117" i="119"/>
  <c r="J117" i="119"/>
  <c r="L117" i="119"/>
  <c r="M117" i="119"/>
  <c r="N117" i="119"/>
  <c r="O117" i="119"/>
  <c r="Q117" i="119"/>
  <c r="R117" i="119"/>
  <c r="S117" i="119"/>
  <c r="T117" i="119"/>
  <c r="U117" i="119"/>
  <c r="V117" i="119"/>
  <c r="W117" i="119"/>
  <c r="X117" i="119"/>
  <c r="Y117" i="119"/>
  <c r="Z117" i="119"/>
  <c r="AA117" i="119"/>
  <c r="AB117" i="119"/>
  <c r="AC117" i="119"/>
  <c r="AD117" i="119"/>
  <c r="AE117" i="119"/>
  <c r="AG117" i="119"/>
  <c r="AH117" i="119"/>
  <c r="H118" i="119"/>
  <c r="H117" i="119"/>
  <c r="P118" i="119"/>
  <c r="E118" i="119" s="1"/>
  <c r="AF118" i="119"/>
  <c r="AF117" i="119" s="1"/>
  <c r="H119" i="119"/>
  <c r="E119" i="119" s="1"/>
  <c r="AI119" i="119" s="1"/>
  <c r="P119" i="119"/>
  <c r="AF119" i="119"/>
  <c r="F121" i="119"/>
  <c r="G121" i="119"/>
  <c r="I121" i="119"/>
  <c r="J121" i="119"/>
  <c r="L121" i="119"/>
  <c r="M121" i="119"/>
  <c r="N121" i="119"/>
  <c r="O121" i="119"/>
  <c r="Q121" i="119"/>
  <c r="R121" i="119"/>
  <c r="S121" i="119"/>
  <c r="T121" i="119"/>
  <c r="U121" i="119"/>
  <c r="V121" i="119"/>
  <c r="W121" i="119"/>
  <c r="X121" i="119"/>
  <c r="Y121" i="119"/>
  <c r="Z121" i="119"/>
  <c r="AA121" i="119"/>
  <c r="AB121" i="119"/>
  <c r="AC121" i="119"/>
  <c r="AD121" i="119"/>
  <c r="AE121" i="119"/>
  <c r="AG121" i="119"/>
  <c r="AH121" i="119"/>
  <c r="H122" i="119"/>
  <c r="P122" i="119"/>
  <c r="AF122" i="119"/>
  <c r="H123" i="119"/>
  <c r="P123" i="119"/>
  <c r="E123" i="119"/>
  <c r="AF123" i="119"/>
  <c r="H124" i="119"/>
  <c r="P124" i="119"/>
  <c r="E124" i="119" s="1"/>
  <c r="AI124" i="119" s="1"/>
  <c r="AF124" i="119"/>
  <c r="H125" i="119"/>
  <c r="P125" i="119"/>
  <c r="AF125" i="119"/>
  <c r="H126" i="119"/>
  <c r="P126" i="119"/>
  <c r="AF126" i="119"/>
  <c r="H127" i="119"/>
  <c r="E127" i="119" s="1"/>
  <c r="AI127" i="119" s="1"/>
  <c r="P127" i="119"/>
  <c r="AF127" i="119"/>
  <c r="H128" i="119"/>
  <c r="P128" i="119"/>
  <c r="AF128" i="119"/>
  <c r="E128" i="119" s="1"/>
  <c r="AI128" i="119" s="1"/>
  <c r="H129" i="119"/>
  <c r="P129" i="119"/>
  <c r="AF129" i="119"/>
  <c r="H130" i="119"/>
  <c r="E130" i="119" s="1"/>
  <c r="AI130" i="119" s="1"/>
  <c r="P130" i="119"/>
  <c r="AF130" i="119"/>
  <c r="H131" i="119"/>
  <c r="P131" i="119"/>
  <c r="AF131" i="119"/>
  <c r="H132" i="119"/>
  <c r="P132" i="119"/>
  <c r="E132" i="119"/>
  <c r="AI132" i="119" s="1"/>
  <c r="AF132" i="119"/>
  <c r="H133" i="119"/>
  <c r="E133" i="119" s="1"/>
  <c r="AI133" i="119" s="1"/>
  <c r="P133" i="119"/>
  <c r="AF133" i="119"/>
  <c r="H134" i="119"/>
  <c r="P134" i="119"/>
  <c r="AF134" i="119"/>
  <c r="H135" i="119"/>
  <c r="P135" i="119"/>
  <c r="AF135" i="119"/>
  <c r="E135" i="119" s="1"/>
  <c r="AI135" i="119" s="1"/>
  <c r="H136" i="119"/>
  <c r="P136" i="119"/>
  <c r="E136" i="119" s="1"/>
  <c r="AI136" i="119" s="1"/>
  <c r="AF136" i="119"/>
  <c r="H137" i="119"/>
  <c r="P137" i="119"/>
  <c r="AF137" i="119"/>
  <c r="E137" i="119" s="1"/>
  <c r="AI137" i="119" s="1"/>
  <c r="H138" i="119"/>
  <c r="E138" i="119" s="1"/>
  <c r="AI138" i="119"/>
  <c r="P138" i="119"/>
  <c r="AF138" i="119"/>
  <c r="H139" i="119"/>
  <c r="E139" i="119" s="1"/>
  <c r="AI139" i="119" s="1"/>
  <c r="P139" i="119"/>
  <c r="AF139" i="119"/>
  <c r="H140" i="119"/>
  <c r="P140" i="119"/>
  <c r="E140" i="119" s="1"/>
  <c r="AI140" i="119" s="1"/>
  <c r="AF140" i="119"/>
  <c r="H141" i="119"/>
  <c r="P141" i="119"/>
  <c r="AF141" i="119"/>
  <c r="H142" i="119"/>
  <c r="E142" i="119" s="1"/>
  <c r="AI142" i="119" s="1"/>
  <c r="P142" i="119"/>
  <c r="AF142" i="119"/>
  <c r="H143" i="119"/>
  <c r="E143" i="119" s="1"/>
  <c r="AI143" i="119" s="1"/>
  <c r="P143" i="119"/>
  <c r="AF143" i="119"/>
  <c r="H144" i="119"/>
  <c r="P144" i="119"/>
  <c r="AF144" i="119"/>
  <c r="F145" i="119"/>
  <c r="G145" i="119"/>
  <c r="I145" i="119"/>
  <c r="J145" i="119"/>
  <c r="L145" i="119"/>
  <c r="M145" i="119"/>
  <c r="N145" i="119"/>
  <c r="O145" i="119"/>
  <c r="Q145" i="119"/>
  <c r="R145" i="119"/>
  <c r="S145" i="119"/>
  <c r="T145" i="119"/>
  <c r="U145" i="119"/>
  <c r="V145" i="119"/>
  <c r="W145" i="119"/>
  <c r="X145" i="119"/>
  <c r="Y145" i="119"/>
  <c r="Z145" i="119"/>
  <c r="AA145" i="119"/>
  <c r="AB145" i="119"/>
  <c r="AC145" i="119"/>
  <c r="AD145" i="119"/>
  <c r="AE145" i="119"/>
  <c r="AG145" i="119"/>
  <c r="AH145" i="119"/>
  <c r="H146" i="119"/>
  <c r="E146" i="119"/>
  <c r="AI146" i="119" s="1"/>
  <c r="P146" i="119"/>
  <c r="AF146" i="119"/>
  <c r="H147" i="119"/>
  <c r="E147" i="119" s="1"/>
  <c r="P147" i="119"/>
  <c r="AF147" i="119"/>
  <c r="H148" i="119"/>
  <c r="P148" i="119"/>
  <c r="AF148" i="119"/>
  <c r="E148" i="119" s="1"/>
  <c r="AI148" i="119" s="1"/>
  <c r="H149" i="119"/>
  <c r="E149" i="119" s="1"/>
  <c r="AI149" i="119" s="1"/>
  <c r="P149" i="119"/>
  <c r="AF149" i="119"/>
  <c r="H150" i="119"/>
  <c r="P150" i="119"/>
  <c r="AF150" i="119"/>
  <c r="E150" i="119" s="1"/>
  <c r="AI150" i="119" s="1"/>
  <c r="H151" i="119"/>
  <c r="E151" i="119" s="1"/>
  <c r="AI151" i="119" s="1"/>
  <c r="P151" i="119"/>
  <c r="AF151" i="119"/>
  <c r="H152" i="119"/>
  <c r="E152" i="119" s="1"/>
  <c r="AI152" i="119" s="1"/>
  <c r="P152" i="119"/>
  <c r="AF152" i="119"/>
  <c r="H153" i="119"/>
  <c r="P153" i="119"/>
  <c r="AF153" i="119"/>
  <c r="F154" i="119"/>
  <c r="G154" i="119"/>
  <c r="G120" i="119"/>
  <c r="I154" i="119"/>
  <c r="J154" i="119"/>
  <c r="K154" i="119"/>
  <c r="L154" i="119"/>
  <c r="M154" i="119"/>
  <c r="N154" i="119"/>
  <c r="O154" i="119"/>
  <c r="Q154" i="119"/>
  <c r="R154" i="119"/>
  <c r="S154" i="119"/>
  <c r="T154" i="119"/>
  <c r="U154" i="119"/>
  <c r="V154" i="119"/>
  <c r="W154" i="119"/>
  <c r="X154" i="119"/>
  <c r="Y154" i="119"/>
  <c r="Z154" i="119"/>
  <c r="AA154" i="119"/>
  <c r="AB154" i="119"/>
  <c r="AC154" i="119"/>
  <c r="AD154" i="119"/>
  <c r="AE154" i="119"/>
  <c r="AG154" i="119"/>
  <c r="AH154" i="119"/>
  <c r="H155" i="119"/>
  <c r="P155" i="119"/>
  <c r="P154" i="119" s="1"/>
  <c r="AF155" i="119"/>
  <c r="AF154" i="119" s="1"/>
  <c r="H156" i="119"/>
  <c r="E156" i="119" s="1"/>
  <c r="P156" i="119"/>
  <c r="AF156" i="119"/>
  <c r="H157" i="119"/>
  <c r="E157" i="119" s="1"/>
  <c r="AI157" i="119" s="1"/>
  <c r="P157" i="119"/>
  <c r="AF157" i="119"/>
  <c r="H158" i="119"/>
  <c r="P158" i="119"/>
  <c r="AF158" i="119"/>
  <c r="H159" i="119"/>
  <c r="P159" i="119"/>
  <c r="AF159" i="119"/>
  <c r="H160" i="119"/>
  <c r="P160" i="119"/>
  <c r="AF160" i="119"/>
  <c r="E160" i="119" s="1"/>
  <c r="AI160" i="119" s="1"/>
  <c r="H161" i="119"/>
  <c r="P161" i="119"/>
  <c r="AF161" i="119"/>
  <c r="H162" i="119"/>
  <c r="P162" i="119"/>
  <c r="E162" i="119" s="1"/>
  <c r="AI162" i="119" s="1"/>
  <c r="AF162" i="119"/>
  <c r="H163" i="119"/>
  <c r="P163" i="119"/>
  <c r="AF163" i="119"/>
  <c r="F164" i="119"/>
  <c r="G164" i="119"/>
  <c r="H165" i="119"/>
  <c r="P165" i="119"/>
  <c r="AF165" i="119"/>
  <c r="H166" i="119"/>
  <c r="P166" i="119"/>
  <c r="AF166" i="119"/>
  <c r="H167" i="119"/>
  <c r="P167" i="119"/>
  <c r="E167" i="119" s="1"/>
  <c r="AF167" i="119"/>
  <c r="H168" i="119"/>
  <c r="E168" i="119" s="1"/>
  <c r="AI168" i="119" s="1"/>
  <c r="P168" i="119"/>
  <c r="AF168" i="119"/>
  <c r="H169" i="119"/>
  <c r="P169" i="119"/>
  <c r="AF169" i="119"/>
  <c r="H170" i="119"/>
  <c r="P170" i="119"/>
  <c r="AF170" i="119"/>
  <c r="H171" i="119"/>
  <c r="E171" i="119" s="1"/>
  <c r="AI171" i="119" s="1"/>
  <c r="P171" i="119"/>
  <c r="AF171" i="119"/>
  <c r="H172" i="119"/>
  <c r="P172" i="119"/>
  <c r="AF172" i="119"/>
  <c r="E172" i="119" s="1"/>
  <c r="H173" i="119"/>
  <c r="P173" i="119"/>
  <c r="AF173" i="119"/>
  <c r="H174" i="119"/>
  <c r="P174" i="119"/>
  <c r="AF174" i="119"/>
  <c r="H175" i="119"/>
  <c r="E175" i="119" s="1"/>
  <c r="AI175" i="119" s="1"/>
  <c r="P175" i="119"/>
  <c r="AF175" i="119"/>
  <c r="H176" i="119"/>
  <c r="P176" i="119"/>
  <c r="AF176" i="119"/>
  <c r="E176" i="119" s="1"/>
  <c r="AI176" i="119" s="1"/>
  <c r="H177" i="119"/>
  <c r="P177" i="119"/>
  <c r="AF177" i="119"/>
  <c r="H179" i="119"/>
  <c r="E179" i="119" s="1"/>
  <c r="AI179" i="119" s="1"/>
  <c r="P179" i="119"/>
  <c r="AF179" i="119"/>
  <c r="F180" i="119"/>
  <c r="G180" i="119"/>
  <c r="I180" i="119"/>
  <c r="J180" i="119"/>
  <c r="K180" i="119"/>
  <c r="L180" i="119"/>
  <c r="M180" i="119"/>
  <c r="N180" i="119"/>
  <c r="O180" i="119"/>
  <c r="Q180" i="119"/>
  <c r="R180" i="119"/>
  <c r="S180" i="119"/>
  <c r="T180" i="119"/>
  <c r="U180" i="119"/>
  <c r="V180" i="119"/>
  <c r="W180" i="119"/>
  <c r="X180" i="119"/>
  <c r="Y180" i="119"/>
  <c r="Z180" i="119"/>
  <c r="AA180" i="119"/>
  <c r="AB180" i="119"/>
  <c r="AC180" i="119"/>
  <c r="AD180" i="119"/>
  <c r="AE180" i="119"/>
  <c r="AG180" i="119"/>
  <c r="AH180" i="119"/>
  <c r="H181" i="119"/>
  <c r="P181" i="119"/>
  <c r="P180" i="119"/>
  <c r="AF181" i="119"/>
  <c r="AF180" i="119"/>
  <c r="H182" i="119"/>
  <c r="E182" i="119" s="1"/>
  <c r="AI182" i="119" s="1"/>
  <c r="P182" i="119"/>
  <c r="AF182" i="119"/>
  <c r="F183" i="119"/>
  <c r="F178" i="119"/>
  <c r="G183" i="119"/>
  <c r="G178" i="119"/>
  <c r="I183" i="119"/>
  <c r="J183" i="119"/>
  <c r="L183" i="119"/>
  <c r="M183" i="119"/>
  <c r="N183" i="119"/>
  <c r="O183" i="119"/>
  <c r="Q183" i="119"/>
  <c r="R183" i="119"/>
  <c r="S183" i="119"/>
  <c r="T183" i="119"/>
  <c r="U183" i="119"/>
  <c r="V183" i="119"/>
  <c r="W183" i="119"/>
  <c r="X183" i="119"/>
  <c r="Y183" i="119"/>
  <c r="Z183" i="119"/>
  <c r="AA183" i="119"/>
  <c r="AB183" i="119"/>
  <c r="AC183" i="119"/>
  <c r="AD183" i="119"/>
  <c r="AE183" i="119"/>
  <c r="AG183" i="119"/>
  <c r="AH183" i="119"/>
  <c r="H184" i="119"/>
  <c r="E184" i="119" s="1"/>
  <c r="H183" i="119"/>
  <c r="P184" i="119"/>
  <c r="AF184" i="119"/>
  <c r="E185" i="119"/>
  <c r="AI185" i="119" s="1"/>
  <c r="H185" i="119"/>
  <c r="P185" i="119"/>
  <c r="AF185" i="119"/>
  <c r="H186" i="119"/>
  <c r="P186" i="119"/>
  <c r="AF186" i="119"/>
  <c r="AF183" i="119" s="1"/>
  <c r="AF178" i="119" s="1"/>
  <c r="H187" i="119"/>
  <c r="P187" i="119"/>
  <c r="E187" i="119" s="1"/>
  <c r="AI187" i="119" s="1"/>
  <c r="AF187" i="119"/>
  <c r="H188" i="119"/>
  <c r="P188" i="119"/>
  <c r="AF188" i="119"/>
  <c r="E188" i="119" s="1"/>
  <c r="AI188" i="119" s="1"/>
  <c r="H189" i="119"/>
  <c r="E189" i="119" s="1"/>
  <c r="AI189" i="119" s="1"/>
  <c r="P189" i="119"/>
  <c r="AF189" i="119"/>
  <c r="H190" i="119"/>
  <c r="P190" i="119"/>
  <c r="AF190" i="119"/>
  <c r="H191" i="119"/>
  <c r="E191" i="119" s="1"/>
  <c r="AI191" i="119" s="1"/>
  <c r="P191" i="119"/>
  <c r="AF191" i="119"/>
  <c r="H192" i="119"/>
  <c r="P192" i="119"/>
  <c r="AF192" i="119"/>
  <c r="E192" i="119" s="1"/>
  <c r="AI192" i="119" s="1"/>
  <c r="H193" i="119"/>
  <c r="P193" i="119"/>
  <c r="E193" i="119" s="1"/>
  <c r="AI193" i="119" s="1"/>
  <c r="AF193" i="119"/>
  <c r="F195" i="119"/>
  <c r="G195" i="119"/>
  <c r="I195" i="119"/>
  <c r="J195" i="119"/>
  <c r="K195" i="119"/>
  <c r="L195" i="119"/>
  <c r="M195" i="119"/>
  <c r="N195" i="119"/>
  <c r="O195" i="119"/>
  <c r="Q195" i="119"/>
  <c r="R195" i="119"/>
  <c r="S195" i="119"/>
  <c r="T195" i="119"/>
  <c r="U195" i="119"/>
  <c r="V195" i="119"/>
  <c r="W195" i="119"/>
  <c r="X195" i="119"/>
  <c r="Y195" i="119"/>
  <c r="Z195" i="119"/>
  <c r="AA195" i="119"/>
  <c r="AB195" i="119"/>
  <c r="AC195" i="119"/>
  <c r="AD195" i="119"/>
  <c r="AE195" i="119"/>
  <c r="AG195" i="119"/>
  <c r="AH195" i="119"/>
  <c r="H196" i="119"/>
  <c r="E196" i="119" s="1"/>
  <c r="AI196" i="119" s="1"/>
  <c r="P196" i="119"/>
  <c r="AF196" i="119"/>
  <c r="H197" i="119"/>
  <c r="E197" i="119" s="1"/>
  <c r="AI197" i="119" s="1"/>
  <c r="P197" i="119"/>
  <c r="AF197" i="119"/>
  <c r="H198" i="119"/>
  <c r="P198" i="119"/>
  <c r="AF198" i="119"/>
  <c r="E198" i="119"/>
  <c r="AI198" i="119" s="1"/>
  <c r="H199" i="119"/>
  <c r="P199" i="119"/>
  <c r="AF199" i="119"/>
  <c r="E199" i="119" s="1"/>
  <c r="AI199" i="119" s="1"/>
  <c r="H200" i="119"/>
  <c r="E200" i="119"/>
  <c r="AI200" i="119" s="1"/>
  <c r="P200" i="119"/>
  <c r="AF200" i="119"/>
  <c r="H201" i="119"/>
  <c r="P201" i="119"/>
  <c r="AF201" i="119"/>
  <c r="H202" i="119"/>
  <c r="E202" i="119" s="1"/>
  <c r="AI202" i="119" s="1"/>
  <c r="P202" i="119"/>
  <c r="AF202" i="119"/>
  <c r="H203" i="119"/>
  <c r="E203" i="119" s="1"/>
  <c r="AI203" i="119" s="1"/>
  <c r="P203" i="119"/>
  <c r="AF203" i="119"/>
  <c r="H204" i="119"/>
  <c r="P204" i="119"/>
  <c r="AF204" i="119"/>
  <c r="H205" i="119"/>
  <c r="E205" i="119" s="1"/>
  <c r="AI205" i="119" s="1"/>
  <c r="P205" i="119"/>
  <c r="AF205" i="119"/>
  <c r="AI206" i="119"/>
  <c r="H206" i="119"/>
  <c r="E206" i="119" s="1"/>
  <c r="P206" i="119"/>
  <c r="AF206" i="119"/>
  <c r="H207" i="119"/>
  <c r="P207" i="119"/>
  <c r="AF207" i="119"/>
  <c r="H208" i="119"/>
  <c r="E208" i="119" s="1"/>
  <c r="AI208" i="119" s="1"/>
  <c r="P208" i="119"/>
  <c r="AF208" i="119"/>
  <c r="H209" i="119"/>
  <c r="E209" i="119"/>
  <c r="AI209" i="119" s="1"/>
  <c r="P209" i="119"/>
  <c r="AF209" i="119"/>
  <c r="H210" i="119"/>
  <c r="P210" i="119"/>
  <c r="AF210" i="119"/>
  <c r="E210" i="119" s="1"/>
  <c r="AI210" i="119" s="1"/>
  <c r="H211" i="119"/>
  <c r="P211" i="119"/>
  <c r="AF211" i="119"/>
  <c r="E211" i="119" s="1"/>
  <c r="AI211" i="119" s="1"/>
  <c r="H212" i="119"/>
  <c r="E212" i="119" s="1"/>
  <c r="AI212" i="119" s="1"/>
  <c r="P212" i="119"/>
  <c r="AF212" i="119"/>
  <c r="H213" i="119"/>
  <c r="P213" i="119"/>
  <c r="E213" i="119" s="1"/>
  <c r="AI213" i="119" s="1"/>
  <c r="AF213" i="119"/>
  <c r="H214" i="119"/>
  <c r="P214" i="119"/>
  <c r="AF214" i="119"/>
  <c r="H215" i="119"/>
  <c r="E215" i="119" s="1"/>
  <c r="P215" i="119"/>
  <c r="AF215" i="119"/>
  <c r="H216" i="119"/>
  <c r="E216" i="119" s="1"/>
  <c r="AI216" i="119" s="1"/>
  <c r="P216" i="119"/>
  <c r="AF216" i="119"/>
  <c r="H217" i="119"/>
  <c r="P217" i="119"/>
  <c r="AF217" i="119"/>
  <c r="H218" i="119"/>
  <c r="E218" i="119" s="1"/>
  <c r="AI218" i="119" s="1"/>
  <c r="P218" i="119"/>
  <c r="AF218" i="119"/>
  <c r="H219" i="119"/>
  <c r="E219" i="119"/>
  <c r="AI219" i="119" s="1"/>
  <c r="P219" i="119"/>
  <c r="AF219" i="119"/>
  <c r="H220" i="119"/>
  <c r="E220" i="119" s="1"/>
  <c r="AI220" i="119" s="1"/>
  <c r="P220" i="119"/>
  <c r="AF220" i="119"/>
  <c r="H221" i="119"/>
  <c r="E221" i="119"/>
  <c r="AI221" i="119" s="1"/>
  <c r="P221" i="119"/>
  <c r="AF221" i="119"/>
  <c r="H222" i="119"/>
  <c r="E222" i="119" s="1"/>
  <c r="AI222" i="119" s="1"/>
  <c r="P222" i="119"/>
  <c r="AF222" i="119"/>
  <c r="H223" i="119"/>
  <c r="E223" i="119" s="1"/>
  <c r="AI223" i="119" s="1"/>
  <c r="P223" i="119"/>
  <c r="AF223" i="119"/>
  <c r="H224" i="119"/>
  <c r="E224" i="119" s="1"/>
  <c r="AI224" i="119" s="1"/>
  <c r="P224" i="119"/>
  <c r="AF224" i="119"/>
  <c r="H225" i="119"/>
  <c r="P225" i="119"/>
  <c r="AF225" i="119"/>
  <c r="E225" i="119" s="1"/>
  <c r="AI225" i="119" s="1"/>
  <c r="H226" i="119"/>
  <c r="E226" i="119" s="1"/>
  <c r="AI226" i="119" s="1"/>
  <c r="P226" i="119"/>
  <c r="AF226" i="119"/>
  <c r="H227" i="119"/>
  <c r="P227" i="119"/>
  <c r="E227" i="119" s="1"/>
  <c r="AI227" i="119" s="1"/>
  <c r="AF227" i="119"/>
  <c r="H228" i="119"/>
  <c r="P228" i="119"/>
  <c r="E228" i="119" s="1"/>
  <c r="AI228" i="119" s="1"/>
  <c r="AF228" i="119"/>
  <c r="H229" i="119"/>
  <c r="E229" i="119" s="1"/>
  <c r="AI229" i="119" s="1"/>
  <c r="P229" i="119"/>
  <c r="AF229" i="119"/>
  <c r="F230" i="119"/>
  <c r="G230" i="119"/>
  <c r="G194" i="119" s="1"/>
  <c r="I230" i="119"/>
  <c r="J230" i="119"/>
  <c r="K230" i="119"/>
  <c r="L230" i="119"/>
  <c r="M230" i="119"/>
  <c r="N230" i="119"/>
  <c r="O230" i="119"/>
  <c r="Q230" i="119"/>
  <c r="R230" i="119"/>
  <c r="S230" i="119"/>
  <c r="T230" i="119"/>
  <c r="U230" i="119"/>
  <c r="V230" i="119"/>
  <c r="W230" i="119"/>
  <c r="X230" i="119"/>
  <c r="Y230" i="119"/>
  <c r="Z230" i="119"/>
  <c r="AA230" i="119"/>
  <c r="AB230" i="119"/>
  <c r="AC230" i="119"/>
  <c r="AD230" i="119"/>
  <c r="AE230" i="119"/>
  <c r="AG230" i="119"/>
  <c r="AH230" i="119"/>
  <c r="H231" i="119"/>
  <c r="P231" i="119"/>
  <c r="AF231" i="119"/>
  <c r="AF230" i="119"/>
  <c r="H232" i="119"/>
  <c r="P232" i="119"/>
  <c r="E232" i="119" s="1"/>
  <c r="AI232" i="119" s="1"/>
  <c r="AF232" i="119"/>
  <c r="H233" i="119"/>
  <c r="E233" i="119" s="1"/>
  <c r="AI233" i="119" s="1"/>
  <c r="P233" i="119"/>
  <c r="AF233" i="119"/>
  <c r="F235" i="119"/>
  <c r="G235" i="119"/>
  <c r="I235" i="119"/>
  <c r="J235" i="119"/>
  <c r="L235" i="119"/>
  <c r="M235" i="119"/>
  <c r="N235" i="119"/>
  <c r="O235" i="119"/>
  <c r="Q235" i="119"/>
  <c r="R235" i="119"/>
  <c r="S235" i="119"/>
  <c r="T235" i="119"/>
  <c r="U235" i="119"/>
  <c r="V235" i="119"/>
  <c r="W235" i="119"/>
  <c r="X235" i="119"/>
  <c r="Y235" i="119"/>
  <c r="Z235" i="119"/>
  <c r="AA235" i="119"/>
  <c r="AB235" i="119"/>
  <c r="AC235" i="119"/>
  <c r="AD235" i="119"/>
  <c r="AE235" i="119"/>
  <c r="AG235" i="119"/>
  <c r="AH235" i="119"/>
  <c r="H236" i="119"/>
  <c r="P236" i="119"/>
  <c r="P235" i="119" s="1"/>
  <c r="AF236" i="119"/>
  <c r="E237" i="119"/>
  <c r="AI237" i="119" s="1"/>
  <c r="H237" i="119"/>
  <c r="P237" i="119"/>
  <c r="AF237" i="119"/>
  <c r="H238" i="119"/>
  <c r="P238" i="119"/>
  <c r="AF238" i="119"/>
  <c r="H239" i="119"/>
  <c r="P239" i="119"/>
  <c r="AF239" i="119"/>
  <c r="H240" i="119"/>
  <c r="E240" i="119" s="1"/>
  <c r="AI240" i="119" s="1"/>
  <c r="P240" i="119"/>
  <c r="AF240" i="119"/>
  <c r="H241" i="119"/>
  <c r="E241" i="119" s="1"/>
  <c r="AI241" i="119" s="1"/>
  <c r="P241" i="119"/>
  <c r="AF241" i="119"/>
  <c r="H242" i="119"/>
  <c r="E242" i="119" s="1"/>
  <c r="AI242" i="119" s="1"/>
  <c r="P242" i="119"/>
  <c r="AF242" i="119"/>
  <c r="H243" i="119"/>
  <c r="P243" i="119"/>
  <c r="AF243" i="119"/>
  <c r="E243" i="119" s="1"/>
  <c r="AI243" i="119" s="1"/>
  <c r="H244" i="119"/>
  <c r="P244" i="119"/>
  <c r="AF244" i="119"/>
  <c r="E244" i="119" s="1"/>
  <c r="AI244" i="119" s="1"/>
  <c r="H245" i="119"/>
  <c r="E245" i="119" s="1"/>
  <c r="AI245" i="119" s="1"/>
  <c r="P245" i="119"/>
  <c r="AF245" i="119"/>
  <c r="H246" i="119"/>
  <c r="E246" i="119"/>
  <c r="P246" i="119"/>
  <c r="AF246" i="119"/>
  <c r="H247" i="119"/>
  <c r="P247" i="119"/>
  <c r="AF247" i="119"/>
  <c r="E247" i="119" s="1"/>
  <c r="AI247" i="119" s="1"/>
  <c r="H248" i="119"/>
  <c r="E248" i="119" s="1"/>
  <c r="AI248" i="119" s="1"/>
  <c r="P248" i="119"/>
  <c r="AF248" i="119"/>
  <c r="H249" i="119"/>
  <c r="P249" i="119"/>
  <c r="AF249" i="119"/>
  <c r="H250" i="119"/>
  <c r="E250" i="119" s="1"/>
  <c r="AI250" i="119" s="1"/>
  <c r="P250" i="119"/>
  <c r="AF250" i="119"/>
  <c r="H251" i="119"/>
  <c r="P251" i="119"/>
  <c r="AF251" i="119"/>
  <c r="H252" i="119"/>
  <c r="P252" i="119"/>
  <c r="AF252" i="119"/>
  <c r="E252" i="119" s="1"/>
  <c r="AI252" i="119" s="1"/>
  <c r="E253" i="119"/>
  <c r="AI253" i="119" s="1"/>
  <c r="H253" i="119"/>
  <c r="P253" i="119"/>
  <c r="AF253" i="119"/>
  <c r="H254" i="119"/>
  <c r="P254" i="119"/>
  <c r="E254" i="119"/>
  <c r="AF254" i="119"/>
  <c r="H255" i="119"/>
  <c r="P255" i="119"/>
  <c r="AF255" i="119"/>
  <c r="E255" i="119" s="1"/>
  <c r="AI255" i="119" s="1"/>
  <c r="H256" i="119"/>
  <c r="E256" i="119" s="1"/>
  <c r="AI256" i="119" s="1"/>
  <c r="P256" i="119"/>
  <c r="AF256" i="119"/>
  <c r="H257" i="119"/>
  <c r="E257" i="119"/>
  <c r="AI257" i="119" s="1"/>
  <c r="P257" i="119"/>
  <c r="AF257" i="119"/>
  <c r="H258" i="119"/>
  <c r="E258" i="119"/>
  <c r="AI258" i="119" s="1"/>
  <c r="P258" i="119"/>
  <c r="AF258" i="119"/>
  <c r="F259" i="119"/>
  <c r="G259" i="119"/>
  <c r="I259" i="119"/>
  <c r="J259" i="119"/>
  <c r="L259" i="119"/>
  <c r="M259" i="119"/>
  <c r="N259" i="119"/>
  <c r="O259" i="119"/>
  <c r="Q259" i="119"/>
  <c r="R259" i="119"/>
  <c r="S259" i="119"/>
  <c r="T259" i="119"/>
  <c r="U259" i="119"/>
  <c r="V259" i="119"/>
  <c r="W259" i="119"/>
  <c r="X259" i="119"/>
  <c r="Y259" i="119"/>
  <c r="Z259" i="119"/>
  <c r="AA259" i="119"/>
  <c r="AB259" i="119"/>
  <c r="AC259" i="119"/>
  <c r="AD259" i="119"/>
  <c r="AE259" i="119"/>
  <c r="AG259" i="119"/>
  <c r="AH259" i="119"/>
  <c r="H260" i="119"/>
  <c r="P260" i="119"/>
  <c r="E260" i="119" s="1"/>
  <c r="AI260" i="119" s="1"/>
  <c r="AF260" i="119"/>
  <c r="H261" i="119"/>
  <c r="P261" i="119"/>
  <c r="P259" i="119"/>
  <c r="AF261" i="119"/>
  <c r="H262" i="119"/>
  <c r="P262" i="119"/>
  <c r="AF262" i="119"/>
  <c r="H263" i="119"/>
  <c r="P263" i="119"/>
  <c r="E263" i="119" s="1"/>
  <c r="AI263" i="119" s="1"/>
  <c r="AF263" i="119"/>
  <c r="H264" i="119"/>
  <c r="E264" i="119" s="1"/>
  <c r="AI264" i="119"/>
  <c r="P264" i="119"/>
  <c r="AF264" i="119"/>
  <c r="H265" i="119"/>
  <c r="E265" i="119" s="1"/>
  <c r="AI265" i="119" s="1"/>
  <c r="P265" i="119"/>
  <c r="AF265" i="119"/>
  <c r="H266" i="119"/>
  <c r="E266" i="119" s="1"/>
  <c r="AI266" i="119" s="1"/>
  <c r="P266" i="119"/>
  <c r="AF266" i="119"/>
  <c r="H267" i="119"/>
  <c r="E267" i="119"/>
  <c r="AI267" i="119" s="1"/>
  <c r="P267" i="119"/>
  <c r="AF267" i="119"/>
  <c r="H268" i="119"/>
  <c r="E268" i="119" s="1"/>
  <c r="AI268" i="119" s="1"/>
  <c r="P268" i="119"/>
  <c r="AF268" i="119"/>
  <c r="H269" i="119"/>
  <c r="E269" i="119" s="1"/>
  <c r="P269" i="119"/>
  <c r="AI269" i="119"/>
  <c r="AF269" i="119"/>
  <c r="H270" i="119"/>
  <c r="E270" i="119" s="1"/>
  <c r="AI270" i="119" s="1"/>
  <c r="P270" i="119"/>
  <c r="AF270" i="119"/>
  <c r="H271" i="119"/>
  <c r="E271" i="119"/>
  <c r="AI271" i="119" s="1"/>
  <c r="P271" i="119"/>
  <c r="AF271" i="119"/>
  <c r="H272" i="119"/>
  <c r="E272" i="119" s="1"/>
  <c r="AI272" i="119" s="1"/>
  <c r="P272" i="119"/>
  <c r="AF272" i="119"/>
  <c r="H273" i="119"/>
  <c r="P273" i="119"/>
  <c r="AF273" i="119"/>
  <c r="F274" i="119"/>
  <c r="G274" i="119"/>
  <c r="I274" i="119"/>
  <c r="J274" i="119"/>
  <c r="L274" i="119"/>
  <c r="M274" i="119"/>
  <c r="N274" i="119"/>
  <c r="O274" i="119"/>
  <c r="Q274" i="119"/>
  <c r="R274" i="119"/>
  <c r="S274" i="119"/>
  <c r="T274" i="119"/>
  <c r="U274" i="119"/>
  <c r="V274" i="119"/>
  <c r="W274" i="119"/>
  <c r="X274" i="119"/>
  <c r="Y274" i="119"/>
  <c r="Z274" i="119"/>
  <c r="AA274" i="119"/>
  <c r="AB274" i="119"/>
  <c r="AC274" i="119"/>
  <c r="AD274" i="119"/>
  <c r="AE274" i="119"/>
  <c r="AG274" i="119"/>
  <c r="AH274" i="119"/>
  <c r="H275" i="119"/>
  <c r="P275" i="119"/>
  <c r="AF275" i="119"/>
  <c r="H276" i="119"/>
  <c r="P276" i="119"/>
  <c r="E276" i="119" s="1"/>
  <c r="AI276" i="119" s="1"/>
  <c r="AF276" i="119"/>
  <c r="H277" i="119"/>
  <c r="E277" i="119" s="1"/>
  <c r="AI277" i="119" s="1"/>
  <c r="P277" i="119"/>
  <c r="AF277" i="119"/>
  <c r="H278" i="119"/>
  <c r="E278" i="119" s="1"/>
  <c r="AI278" i="119" s="1"/>
  <c r="P278" i="119"/>
  <c r="AF278" i="119"/>
  <c r="H279" i="119"/>
  <c r="P279" i="119"/>
  <c r="AF279" i="119"/>
  <c r="F280" i="119"/>
  <c r="G280" i="119"/>
  <c r="I280" i="119"/>
  <c r="J280" i="119"/>
  <c r="L280" i="119"/>
  <c r="M280" i="119"/>
  <c r="N280" i="119"/>
  <c r="O280" i="119"/>
  <c r="Q280" i="119"/>
  <c r="R280" i="119"/>
  <c r="S280" i="119"/>
  <c r="T280" i="119"/>
  <c r="U280" i="119"/>
  <c r="V280" i="119"/>
  <c r="W280" i="119"/>
  <c r="X280" i="119"/>
  <c r="Y280" i="119"/>
  <c r="Z280" i="119"/>
  <c r="AA280" i="119"/>
  <c r="AB280" i="119"/>
  <c r="AC280" i="119"/>
  <c r="AD280" i="119"/>
  <c r="AE280" i="119"/>
  <c r="AG280" i="119"/>
  <c r="AH280" i="119"/>
  <c r="H281" i="119"/>
  <c r="P281" i="119"/>
  <c r="AF281" i="119"/>
  <c r="H282" i="119"/>
  <c r="P282" i="119"/>
  <c r="AF282" i="119"/>
  <c r="E282" i="119" s="1"/>
  <c r="AI282" i="119" s="1"/>
  <c r="H283" i="119"/>
  <c r="P283" i="119"/>
  <c r="AF283" i="119"/>
  <c r="AF280" i="119" s="1"/>
  <c r="H284" i="119"/>
  <c r="P284" i="119"/>
  <c r="AF284" i="119"/>
  <c r="H285" i="119"/>
  <c r="P285" i="119"/>
  <c r="E285" i="119" s="1"/>
  <c r="AI285" i="119" s="1"/>
  <c r="AF285" i="119"/>
  <c r="H286" i="119"/>
  <c r="P286" i="119"/>
  <c r="AF286" i="119"/>
  <c r="H287" i="119"/>
  <c r="E287" i="119" s="1"/>
  <c r="AI287" i="119" s="1"/>
  <c r="P287" i="119"/>
  <c r="AF287" i="119"/>
  <c r="H288" i="119"/>
  <c r="P288" i="119"/>
  <c r="AF288" i="119"/>
  <c r="E288" i="119" s="1"/>
  <c r="AI288" i="119" s="1"/>
  <c r="H289" i="119"/>
  <c r="E289" i="119"/>
  <c r="AI289" i="119"/>
  <c r="P289" i="119"/>
  <c r="AF289" i="119"/>
  <c r="H290" i="119"/>
  <c r="E290" i="119" s="1"/>
  <c r="AI290" i="119" s="1"/>
  <c r="P290" i="119"/>
  <c r="AF290" i="119"/>
  <c r="H291" i="119"/>
  <c r="E291" i="119" s="1"/>
  <c r="P291" i="119"/>
  <c r="AI291" i="119"/>
  <c r="AF291" i="119"/>
  <c r="F292" i="119"/>
  <c r="G292" i="119"/>
  <c r="I292" i="119"/>
  <c r="J292" i="119"/>
  <c r="L292" i="119"/>
  <c r="M292" i="119"/>
  <c r="N292" i="119"/>
  <c r="O292" i="119"/>
  <c r="Q292" i="119"/>
  <c r="R292" i="119"/>
  <c r="S292" i="119"/>
  <c r="T292" i="119"/>
  <c r="U292" i="119"/>
  <c r="V292" i="119"/>
  <c r="W292" i="119"/>
  <c r="X292" i="119"/>
  <c r="Y292" i="119"/>
  <c r="Z292" i="119"/>
  <c r="AA292" i="119"/>
  <c r="AB292" i="119"/>
  <c r="AC292" i="119"/>
  <c r="AD292" i="119"/>
  <c r="AE292" i="119"/>
  <c r="AG292" i="119"/>
  <c r="AH292" i="119"/>
  <c r="H293" i="119"/>
  <c r="E293" i="119" s="1"/>
  <c r="AI293" i="119" s="1"/>
  <c r="P293" i="119"/>
  <c r="AF293" i="119"/>
  <c r="H294" i="119"/>
  <c r="E294" i="119" s="1"/>
  <c r="P294" i="119"/>
  <c r="AI294" i="119"/>
  <c r="AF294" i="119"/>
  <c r="AF292" i="119" s="1"/>
  <c r="H295" i="119"/>
  <c r="E295" i="119" s="1"/>
  <c r="AI295" i="119" s="1"/>
  <c r="P295" i="119"/>
  <c r="AF295" i="119"/>
  <c r="H296" i="119"/>
  <c r="E296" i="119" s="1"/>
  <c r="AI296" i="119" s="1"/>
  <c r="P296" i="119"/>
  <c r="AF296" i="119"/>
  <c r="H297" i="119"/>
  <c r="E297" i="119" s="1"/>
  <c r="P297" i="119"/>
  <c r="P292" i="119" s="1"/>
  <c r="AF297" i="119"/>
  <c r="H298" i="119"/>
  <c r="P298" i="119"/>
  <c r="AF298" i="119"/>
  <c r="H299" i="119"/>
  <c r="P299" i="119"/>
  <c r="E299" i="119" s="1"/>
  <c r="AI299" i="119" s="1"/>
  <c r="AF299" i="119"/>
  <c r="H300" i="119"/>
  <c r="E300" i="119" s="1"/>
  <c r="AI300" i="119" s="1"/>
  <c r="P300" i="119"/>
  <c r="AF300" i="119"/>
  <c r="H301" i="119"/>
  <c r="P301" i="119"/>
  <c r="E301" i="119" s="1"/>
  <c r="AI301" i="119" s="1"/>
  <c r="AF301" i="119"/>
  <c r="H302" i="119"/>
  <c r="P302" i="119"/>
  <c r="E302" i="119"/>
  <c r="AI302" i="119" s="1"/>
  <c r="AF302" i="119"/>
  <c r="H303" i="119"/>
  <c r="P303" i="119"/>
  <c r="AF303" i="119"/>
  <c r="H304" i="119"/>
  <c r="E304" i="119" s="1"/>
  <c r="AI304" i="119" s="1"/>
  <c r="P304" i="119"/>
  <c r="AF304" i="119"/>
  <c r="H305" i="119"/>
  <c r="E305" i="119"/>
  <c r="AI305" i="119"/>
  <c r="P305" i="119"/>
  <c r="AF305" i="119"/>
  <c r="H306" i="119"/>
  <c r="E306" i="119" s="1"/>
  <c r="AI306" i="119" s="1"/>
  <c r="P306" i="119"/>
  <c r="AF306" i="119"/>
  <c r="H307" i="119"/>
  <c r="P307" i="119"/>
  <c r="AF307" i="119"/>
  <c r="F308" i="119"/>
  <c r="G308" i="119"/>
  <c r="I308" i="119"/>
  <c r="J308" i="119"/>
  <c r="K308" i="119"/>
  <c r="L308" i="119"/>
  <c r="M308" i="119"/>
  <c r="N308" i="119"/>
  <c r="O308" i="119"/>
  <c r="Q308" i="119"/>
  <c r="R308" i="119"/>
  <c r="S308" i="119"/>
  <c r="T308" i="119"/>
  <c r="U308" i="119"/>
  <c r="V308" i="119"/>
  <c r="W308" i="119"/>
  <c r="X308" i="119"/>
  <c r="Y308" i="119"/>
  <c r="Z308" i="119"/>
  <c r="AA308" i="119"/>
  <c r="AB308" i="119"/>
  <c r="AC308" i="119"/>
  <c r="AD308" i="119"/>
  <c r="AE308" i="119"/>
  <c r="AG308" i="119"/>
  <c r="AH308" i="119"/>
  <c r="H309" i="119"/>
  <c r="P309" i="119"/>
  <c r="AF309" i="119"/>
  <c r="AF308" i="119" s="1"/>
  <c r="H310" i="119"/>
  <c r="E310" i="119" s="1"/>
  <c r="AI310" i="119" s="1"/>
  <c r="P310" i="119"/>
  <c r="AF310" i="119"/>
  <c r="E311" i="119"/>
  <c r="AI311" i="119"/>
  <c r="H311" i="119"/>
  <c r="P311" i="119"/>
  <c r="AF311" i="119"/>
  <c r="H312" i="119"/>
  <c r="P312" i="119"/>
  <c r="AF312" i="119"/>
  <c r="H313" i="119"/>
  <c r="E313" i="119" s="1"/>
  <c r="AI313" i="119" s="1"/>
  <c r="P313" i="119"/>
  <c r="AF313" i="119"/>
  <c r="H314" i="119"/>
  <c r="E314" i="119" s="1"/>
  <c r="AI314" i="119" s="1"/>
  <c r="P314" i="119"/>
  <c r="AF314" i="119"/>
  <c r="H315" i="119"/>
  <c r="P315" i="119"/>
  <c r="AF315" i="119"/>
  <c r="H316" i="119"/>
  <c r="P316" i="119"/>
  <c r="AI316" i="119"/>
  <c r="AF316" i="119"/>
  <c r="E316" i="119" s="1"/>
  <c r="H317" i="119"/>
  <c r="E317" i="119" s="1"/>
  <c r="AI317" i="119" s="1"/>
  <c r="P317" i="119"/>
  <c r="AF317" i="119"/>
  <c r="H318" i="119"/>
  <c r="E318" i="119"/>
  <c r="AI318" i="119" s="1"/>
  <c r="P318" i="119"/>
  <c r="P308" i="119" s="1"/>
  <c r="AF318" i="119"/>
  <c r="E319" i="119"/>
  <c r="AI319" i="119" s="1"/>
  <c r="H319" i="119"/>
  <c r="P319" i="119"/>
  <c r="AF319" i="119"/>
  <c r="H320" i="119"/>
  <c r="P320" i="119"/>
  <c r="AF320" i="119"/>
  <c r="H321" i="119"/>
  <c r="E321" i="119" s="1"/>
  <c r="AI321" i="119" s="1"/>
  <c r="P321" i="119"/>
  <c r="AF321" i="119"/>
  <c r="F322" i="119"/>
  <c r="G322" i="119"/>
  <c r="H323" i="119"/>
  <c r="P323" i="119"/>
  <c r="P322" i="119" s="1"/>
  <c r="AF323" i="119"/>
  <c r="AF322" i="119" s="1"/>
  <c r="H324" i="119"/>
  <c r="P324" i="119"/>
  <c r="AF324" i="119"/>
  <c r="H325" i="119"/>
  <c r="E325" i="119" s="1"/>
  <c r="AI325" i="119" s="1"/>
  <c r="P325" i="119"/>
  <c r="AF325" i="119"/>
  <c r="F327" i="119"/>
  <c r="F326" i="119" s="1"/>
  <c r="G327" i="119"/>
  <c r="I327" i="119"/>
  <c r="J327" i="119"/>
  <c r="L327" i="119"/>
  <c r="M327" i="119"/>
  <c r="N327" i="119"/>
  <c r="O327" i="119"/>
  <c r="Q327" i="119"/>
  <c r="R327" i="119"/>
  <c r="S327" i="119"/>
  <c r="T327" i="119"/>
  <c r="U327" i="119"/>
  <c r="V327" i="119"/>
  <c r="W327" i="119"/>
  <c r="X327" i="119"/>
  <c r="Y327" i="119"/>
  <c r="Z327" i="119"/>
  <c r="AA327" i="119"/>
  <c r="AB327" i="119"/>
  <c r="AC327" i="119"/>
  <c r="AD327" i="119"/>
  <c r="AE327" i="119"/>
  <c r="AG327" i="119"/>
  <c r="AH327" i="119"/>
  <c r="H328" i="119"/>
  <c r="E328" i="119" s="1"/>
  <c r="AI328" i="119" s="1"/>
  <c r="P328" i="119"/>
  <c r="AF328" i="119"/>
  <c r="AI329" i="119"/>
  <c r="H329" i="119"/>
  <c r="E329" i="119" s="1"/>
  <c r="P329" i="119"/>
  <c r="AF329" i="119"/>
  <c r="H330" i="119"/>
  <c r="P330" i="119"/>
  <c r="AF330" i="119"/>
  <c r="H331" i="119"/>
  <c r="P331" i="119"/>
  <c r="AF331" i="119"/>
  <c r="H332" i="119"/>
  <c r="E332" i="119" s="1"/>
  <c r="AI332" i="119" s="1"/>
  <c r="P332" i="119"/>
  <c r="AF332" i="119"/>
  <c r="H333" i="119"/>
  <c r="E333" i="119" s="1"/>
  <c r="AI333" i="119" s="1"/>
  <c r="P333" i="119"/>
  <c r="AF333" i="119"/>
  <c r="H334" i="119"/>
  <c r="E334" i="119"/>
  <c r="AI334" i="119" s="1"/>
  <c r="P334" i="119"/>
  <c r="AF334" i="119"/>
  <c r="H335" i="119"/>
  <c r="P335" i="119"/>
  <c r="AF335" i="119"/>
  <c r="E335" i="119"/>
  <c r="H336" i="119"/>
  <c r="E336" i="119" s="1"/>
  <c r="P336" i="119"/>
  <c r="AF336" i="119"/>
  <c r="H337" i="119"/>
  <c r="E337" i="119" s="1"/>
  <c r="AI337" i="119" s="1"/>
  <c r="P337" i="119"/>
  <c r="AF337" i="119"/>
  <c r="H338" i="119"/>
  <c r="E338" i="119" s="1"/>
  <c r="AI338" i="119" s="1"/>
  <c r="P338" i="119"/>
  <c r="AF338" i="119"/>
  <c r="H339" i="119"/>
  <c r="P339" i="119"/>
  <c r="AF339" i="119"/>
  <c r="H340" i="119"/>
  <c r="P340" i="119"/>
  <c r="AF340" i="119"/>
  <c r="H341" i="119"/>
  <c r="P341" i="119"/>
  <c r="AF341" i="119"/>
  <c r="H342" i="119"/>
  <c r="E342" i="119" s="1"/>
  <c r="P342" i="119"/>
  <c r="AF342" i="119"/>
  <c r="AI342" i="119"/>
  <c r="F343" i="119"/>
  <c r="G343" i="119"/>
  <c r="I343" i="119"/>
  <c r="J343" i="119"/>
  <c r="K343" i="119"/>
  <c r="L343" i="119"/>
  <c r="M343" i="119"/>
  <c r="N343" i="119"/>
  <c r="O343" i="119"/>
  <c r="Q343" i="119"/>
  <c r="R343" i="119"/>
  <c r="S343" i="119"/>
  <c r="T343" i="119"/>
  <c r="U343" i="119"/>
  <c r="V343" i="119"/>
  <c r="W343" i="119"/>
  <c r="X343" i="119"/>
  <c r="Y343" i="119"/>
  <c r="Z343" i="119"/>
  <c r="AA343" i="119"/>
  <c r="AB343" i="119"/>
  <c r="AC343" i="119"/>
  <c r="AD343" i="119"/>
  <c r="AE343" i="119"/>
  <c r="AG343" i="119"/>
  <c r="AH343" i="119"/>
  <c r="H344" i="119"/>
  <c r="P344" i="119"/>
  <c r="AF344" i="119"/>
  <c r="H345" i="119"/>
  <c r="P345" i="119"/>
  <c r="AF345" i="119"/>
  <c r="E345" i="119" s="1"/>
  <c r="AI345" i="119" s="1"/>
  <c r="H346" i="119"/>
  <c r="E346" i="119"/>
  <c r="AI346" i="119" s="1"/>
  <c r="P346" i="119"/>
  <c r="AF346" i="119"/>
  <c r="H347" i="119"/>
  <c r="E347" i="119" s="1"/>
  <c r="AI347" i="119" s="1"/>
  <c r="P347" i="119"/>
  <c r="AF347" i="119"/>
  <c r="H348" i="119"/>
  <c r="P348" i="119"/>
  <c r="AF348" i="119"/>
  <c r="H349" i="119"/>
  <c r="E349" i="119" s="1"/>
  <c r="AI349" i="119" s="1"/>
  <c r="P349" i="119"/>
  <c r="AF349" i="119"/>
  <c r="H350" i="119"/>
  <c r="E350" i="119" s="1"/>
  <c r="AI350" i="119" s="1"/>
  <c r="P350" i="119"/>
  <c r="AF350" i="119"/>
  <c r="H351" i="119"/>
  <c r="P351" i="119"/>
  <c r="AF351" i="119"/>
  <c r="H352" i="119"/>
  <c r="E352" i="119" s="1"/>
  <c r="AI352" i="119" s="1"/>
  <c r="P352" i="119"/>
  <c r="AF352" i="119"/>
  <c r="H353" i="119"/>
  <c r="P353" i="119"/>
  <c r="E353" i="119" s="1"/>
  <c r="AI353" i="119" s="1"/>
  <c r="AF353" i="119"/>
  <c r="H354" i="119"/>
  <c r="P354" i="119"/>
  <c r="AF354" i="119"/>
  <c r="H355" i="119"/>
  <c r="P355" i="119"/>
  <c r="AF355" i="119"/>
  <c r="H356" i="119"/>
  <c r="E356" i="119" s="1"/>
  <c r="P356" i="119"/>
  <c r="AF356" i="119"/>
  <c r="F357" i="119"/>
  <c r="G357" i="119"/>
  <c r="I357" i="119"/>
  <c r="J357" i="119"/>
  <c r="L357" i="119"/>
  <c r="M357" i="119"/>
  <c r="N357" i="119"/>
  <c r="O357" i="119"/>
  <c r="Q357" i="119"/>
  <c r="R357" i="119"/>
  <c r="S357" i="119"/>
  <c r="T357" i="119"/>
  <c r="U357" i="119"/>
  <c r="V357" i="119"/>
  <c r="W357" i="119"/>
  <c r="X357" i="119"/>
  <c r="Y357" i="119"/>
  <c r="Z357" i="119"/>
  <c r="AA357" i="119"/>
  <c r="AB357" i="119"/>
  <c r="AC357" i="119"/>
  <c r="AD357" i="119"/>
  <c r="AE357" i="119"/>
  <c r="AG357" i="119"/>
  <c r="AH357" i="119"/>
  <c r="H358" i="119"/>
  <c r="P358" i="119"/>
  <c r="P357" i="119" s="1"/>
  <c r="AF358" i="119"/>
  <c r="AF357" i="119" s="1"/>
  <c r="H359" i="119"/>
  <c r="E359" i="119" s="1"/>
  <c r="AI359" i="119" s="1"/>
  <c r="P359" i="119"/>
  <c r="AF359" i="119"/>
  <c r="H360" i="119"/>
  <c r="E360" i="119" s="1"/>
  <c r="AI360" i="119" s="1"/>
  <c r="P360" i="119"/>
  <c r="AF360" i="119"/>
  <c r="H361" i="119"/>
  <c r="E361" i="119" s="1"/>
  <c r="AI361" i="119" s="1"/>
  <c r="P361" i="119"/>
  <c r="AF361" i="119"/>
  <c r="F362" i="119"/>
  <c r="G362" i="119"/>
  <c r="I362" i="119"/>
  <c r="J362" i="119"/>
  <c r="K362" i="119"/>
  <c r="L362" i="119"/>
  <c r="M362" i="119"/>
  <c r="N362" i="119"/>
  <c r="O362" i="119"/>
  <c r="Q362" i="119"/>
  <c r="R362" i="119"/>
  <c r="S362" i="119"/>
  <c r="T362" i="119"/>
  <c r="U362" i="119"/>
  <c r="V362" i="119"/>
  <c r="W362" i="119"/>
  <c r="X362" i="119"/>
  <c r="Y362" i="119"/>
  <c r="Z362" i="119"/>
  <c r="AA362" i="119"/>
  <c r="AB362" i="119"/>
  <c r="AC362" i="119"/>
  <c r="AD362" i="119"/>
  <c r="AE362" i="119"/>
  <c r="AG362" i="119"/>
  <c r="AH362" i="119"/>
  <c r="H363" i="119"/>
  <c r="E363" i="119" s="1"/>
  <c r="P363" i="119"/>
  <c r="AF363" i="119"/>
  <c r="H364" i="119"/>
  <c r="P364" i="119"/>
  <c r="E364" i="119" s="1"/>
  <c r="AI364" i="119" s="1"/>
  <c r="P362" i="119"/>
  <c r="AF364" i="119"/>
  <c r="H365" i="119"/>
  <c r="P365" i="119"/>
  <c r="E365" i="119" s="1"/>
  <c r="AI365" i="119" s="1"/>
  <c r="AF365" i="119"/>
  <c r="H366" i="119"/>
  <c r="P366" i="119"/>
  <c r="E366" i="119"/>
  <c r="AI366" i="119" s="1"/>
  <c r="AF366" i="119"/>
  <c r="E367" i="119"/>
  <c r="AI367" i="119" s="1"/>
  <c r="H367" i="119"/>
  <c r="P367" i="119"/>
  <c r="AF367" i="119"/>
  <c r="H368" i="119"/>
  <c r="E368" i="119" s="1"/>
  <c r="AI368" i="119" s="1"/>
  <c r="P368" i="119"/>
  <c r="AF368" i="119"/>
  <c r="H369" i="119"/>
  <c r="E369" i="119" s="1"/>
  <c r="AI369" i="119" s="1"/>
  <c r="P369" i="119"/>
  <c r="AF369" i="119"/>
  <c r="H370" i="119"/>
  <c r="E370" i="119" s="1"/>
  <c r="AI370" i="119" s="1"/>
  <c r="P370" i="119"/>
  <c r="AF370" i="119"/>
  <c r="H371" i="119"/>
  <c r="E371" i="119" s="1"/>
  <c r="AI371" i="119" s="1"/>
  <c r="P371" i="119"/>
  <c r="AF371" i="119"/>
  <c r="H372" i="119"/>
  <c r="E372" i="119" s="1"/>
  <c r="AI372" i="119" s="1"/>
  <c r="P372" i="119"/>
  <c r="AF372" i="119"/>
  <c r="H373" i="119"/>
  <c r="P373" i="119"/>
  <c r="E373" i="119" s="1"/>
  <c r="AI373" i="119" s="1"/>
  <c r="AF373" i="119"/>
  <c r="F374" i="119"/>
  <c r="G374" i="119"/>
  <c r="I374" i="119"/>
  <c r="J374" i="119"/>
  <c r="K374" i="119"/>
  <c r="L374" i="119"/>
  <c r="M374" i="119"/>
  <c r="N374" i="119"/>
  <c r="O374" i="119"/>
  <c r="Q374" i="119"/>
  <c r="R374" i="119"/>
  <c r="S374" i="119"/>
  <c r="T374" i="119"/>
  <c r="U374" i="119"/>
  <c r="V374" i="119"/>
  <c r="W374" i="119"/>
  <c r="X374" i="119"/>
  <c r="Y374" i="119"/>
  <c r="Z374" i="119"/>
  <c r="AA374" i="119"/>
  <c r="AB374" i="119"/>
  <c r="AC374" i="119"/>
  <c r="AD374" i="119"/>
  <c r="AE374" i="119"/>
  <c r="AG374" i="119"/>
  <c r="AH374" i="119"/>
  <c r="H375" i="119"/>
  <c r="E375" i="119" s="1"/>
  <c r="P375" i="119"/>
  <c r="AF375" i="119"/>
  <c r="H376" i="119"/>
  <c r="E376" i="119" s="1"/>
  <c r="AI376" i="119" s="1"/>
  <c r="P376" i="119"/>
  <c r="AF376" i="119"/>
  <c r="H377" i="119"/>
  <c r="P377" i="119"/>
  <c r="E377" i="119" s="1"/>
  <c r="AF377" i="119"/>
  <c r="AF374" i="119" s="1"/>
  <c r="F379" i="119"/>
  <c r="G379" i="119"/>
  <c r="I379" i="119"/>
  <c r="J379" i="119"/>
  <c r="L379" i="119"/>
  <c r="M379" i="119"/>
  <c r="N379" i="119"/>
  <c r="O379" i="119"/>
  <c r="Q379" i="119"/>
  <c r="R379" i="119"/>
  <c r="S379" i="119"/>
  <c r="T379" i="119"/>
  <c r="U379" i="119"/>
  <c r="V379" i="119"/>
  <c r="W379" i="119"/>
  <c r="X379" i="119"/>
  <c r="Y379" i="119"/>
  <c r="Z379" i="119"/>
  <c r="AA379" i="119"/>
  <c r="AB379" i="119"/>
  <c r="AC379" i="119"/>
  <c r="AD379" i="119"/>
  <c r="AE379" i="119"/>
  <c r="AG379" i="119"/>
  <c r="AH379" i="119"/>
  <c r="H380" i="119"/>
  <c r="P380" i="119"/>
  <c r="AF380" i="119"/>
  <c r="AF379" i="119" s="1"/>
  <c r="H381" i="119"/>
  <c r="E381" i="119" s="1"/>
  <c r="P381" i="119"/>
  <c r="AF381" i="119"/>
  <c r="AI381" i="119"/>
  <c r="H382" i="119"/>
  <c r="P382" i="119"/>
  <c r="AF382" i="119"/>
  <c r="H383" i="119"/>
  <c r="P383" i="119"/>
  <c r="E383" i="119" s="1"/>
  <c r="AF383" i="119"/>
  <c r="H384" i="119"/>
  <c r="P384" i="119"/>
  <c r="AF384" i="119"/>
  <c r="E384" i="119"/>
  <c r="AI384" i="119" s="1"/>
  <c r="H385" i="119"/>
  <c r="E385" i="119" s="1"/>
  <c r="AI385" i="119" s="1"/>
  <c r="P385" i="119"/>
  <c r="AF385" i="119"/>
  <c r="H386" i="119"/>
  <c r="P386" i="119"/>
  <c r="AF386" i="119"/>
  <c r="H387" i="119"/>
  <c r="P387" i="119"/>
  <c r="E387" i="119"/>
  <c r="AI387" i="119" s="1"/>
  <c r="AF387" i="119"/>
  <c r="H388" i="119"/>
  <c r="P388" i="119"/>
  <c r="AF388" i="119"/>
  <c r="H389" i="119"/>
  <c r="E389" i="119" s="1"/>
  <c r="AI389" i="119" s="1"/>
  <c r="P389" i="119"/>
  <c r="AF389" i="119"/>
  <c r="H390" i="119"/>
  <c r="E390" i="119"/>
  <c r="AI390" i="119" s="1"/>
  <c r="P390" i="119"/>
  <c r="AF390" i="119"/>
  <c r="H391" i="119"/>
  <c r="E391" i="119" s="1"/>
  <c r="AI391" i="119" s="1"/>
  <c r="P391" i="119"/>
  <c r="AF391" i="119"/>
  <c r="F392" i="119"/>
  <c r="F378" i="119"/>
  <c r="G392" i="119"/>
  <c r="G378" i="119"/>
  <c r="I392" i="119"/>
  <c r="J392" i="119"/>
  <c r="L392" i="119"/>
  <c r="M392" i="119"/>
  <c r="N392" i="119"/>
  <c r="O392" i="119"/>
  <c r="Q392" i="119"/>
  <c r="R392" i="119"/>
  <c r="S392" i="119"/>
  <c r="T392" i="119"/>
  <c r="U392" i="119"/>
  <c r="V392" i="119"/>
  <c r="W392" i="119"/>
  <c r="X392" i="119"/>
  <c r="Y392" i="119"/>
  <c r="Z392" i="119"/>
  <c r="AA392" i="119"/>
  <c r="AB392" i="119"/>
  <c r="AC392" i="119"/>
  <c r="AD392" i="119"/>
  <c r="AE392" i="119"/>
  <c r="AG392" i="119"/>
  <c r="AH392" i="119"/>
  <c r="H393" i="119"/>
  <c r="P393" i="119"/>
  <c r="AF393" i="119"/>
  <c r="AF392" i="119" s="1"/>
  <c r="H394" i="119"/>
  <c r="P394" i="119"/>
  <c r="E394" i="119" s="1"/>
  <c r="AI394" i="119" s="1"/>
  <c r="AF394" i="119"/>
  <c r="H395" i="119"/>
  <c r="P395" i="119"/>
  <c r="P392" i="119"/>
  <c r="AF395" i="119"/>
  <c r="H396" i="119"/>
  <c r="E396" i="119" s="1"/>
  <c r="AI396" i="119" s="1"/>
  <c r="P396" i="119"/>
  <c r="AF396" i="119"/>
  <c r="F397" i="119"/>
  <c r="G397" i="119"/>
  <c r="I397" i="119"/>
  <c r="J397" i="119"/>
  <c r="K397" i="119"/>
  <c r="L397" i="119"/>
  <c r="M397" i="119"/>
  <c r="N397" i="119"/>
  <c r="O397" i="119"/>
  <c r="Q397" i="119"/>
  <c r="R397" i="119"/>
  <c r="S397" i="119"/>
  <c r="T397" i="119"/>
  <c r="U397" i="119"/>
  <c r="V397" i="119"/>
  <c r="W397" i="119"/>
  <c r="X397" i="119"/>
  <c r="Y397" i="119"/>
  <c r="Y5" i="119" s="1"/>
  <c r="Y6" i="119" s="1"/>
  <c r="Z397" i="119"/>
  <c r="AA397" i="119"/>
  <c r="AB397" i="119"/>
  <c r="AC397" i="119"/>
  <c r="AD397" i="119"/>
  <c r="AE397" i="119"/>
  <c r="H398" i="119"/>
  <c r="P398" i="119"/>
  <c r="P397" i="119" s="1"/>
  <c r="AF398" i="119"/>
  <c r="H399" i="119"/>
  <c r="P399" i="119"/>
  <c r="AF399" i="119"/>
  <c r="AI402" i="119"/>
  <c r="AI404" i="119"/>
  <c r="AI405" i="119"/>
  <c r="AI406" i="119"/>
  <c r="AI407" i="119"/>
  <c r="AI408" i="119"/>
  <c r="AI409" i="119"/>
  <c r="AI410" i="119"/>
  <c r="E411" i="119"/>
  <c r="F411" i="119"/>
  <c r="G411" i="119"/>
  <c r="AI411" i="119"/>
  <c r="H411" i="119"/>
  <c r="I411" i="119"/>
  <c r="J411" i="119"/>
  <c r="K411" i="119"/>
  <c r="L411" i="119"/>
  <c r="M411" i="119"/>
  <c r="N411" i="119"/>
  <c r="O411" i="119"/>
  <c r="P411" i="119"/>
  <c r="P412" i="119" s="1"/>
  <c r="Q411" i="119"/>
  <c r="R411" i="119"/>
  <c r="S411" i="119"/>
  <c r="T411" i="119"/>
  <c r="U411" i="119"/>
  <c r="V411" i="119"/>
  <c r="W411" i="119"/>
  <c r="X411" i="119"/>
  <c r="Y411" i="119"/>
  <c r="Z411" i="119"/>
  <c r="AA411" i="119"/>
  <c r="AB411" i="119"/>
  <c r="AC411" i="119"/>
  <c r="AD411" i="119"/>
  <c r="AE411" i="119"/>
  <c r="AF411" i="119"/>
  <c r="AG411" i="119"/>
  <c r="AH411" i="119"/>
  <c r="C4" i="116"/>
  <c r="D4" i="116"/>
  <c r="K4" i="116"/>
  <c r="E4" i="116"/>
  <c r="E20" i="116"/>
  <c r="F4" i="116"/>
  <c r="H4" i="116"/>
  <c r="I4" i="116"/>
  <c r="I20" i="116" s="1"/>
  <c r="B5" i="116"/>
  <c r="J5" i="116" s="1"/>
  <c r="K5" i="116"/>
  <c r="B6" i="116"/>
  <c r="J6" i="116"/>
  <c r="K6" i="116"/>
  <c r="B7" i="116"/>
  <c r="J7" i="116" s="1"/>
  <c r="K7" i="116"/>
  <c r="B8" i="116"/>
  <c r="K8" i="116"/>
  <c r="B9" i="116"/>
  <c r="J9" i="116"/>
  <c r="K9" i="116"/>
  <c r="C10" i="116"/>
  <c r="K10" i="116" s="1"/>
  <c r="D10" i="116"/>
  <c r="D20" i="116" s="1"/>
  <c r="E10" i="116"/>
  <c r="F10" i="116"/>
  <c r="F20" i="116" s="1"/>
  <c r="H10" i="116"/>
  <c r="I10" i="116"/>
  <c r="B11" i="116"/>
  <c r="J11" i="103" s="1"/>
  <c r="K11" i="116"/>
  <c r="B12" i="116"/>
  <c r="J12" i="116" s="1"/>
  <c r="K12" i="116"/>
  <c r="B13" i="116"/>
  <c r="J13" i="116"/>
  <c r="K13" i="116"/>
  <c r="B14" i="116"/>
  <c r="J14" i="116" s="1"/>
  <c r="J14" i="103"/>
  <c r="K14" i="116"/>
  <c r="B15" i="116"/>
  <c r="K15" i="116"/>
  <c r="B16" i="116"/>
  <c r="J16" i="116"/>
  <c r="K16" i="116"/>
  <c r="B17" i="116"/>
  <c r="J17" i="116" s="1"/>
  <c r="K17" i="116"/>
  <c r="B18" i="116"/>
  <c r="K18" i="116"/>
  <c r="B19" i="116"/>
  <c r="J19" i="116" s="1"/>
  <c r="K19" i="116"/>
  <c r="C4" i="114"/>
  <c r="D4" i="114"/>
  <c r="E4" i="114"/>
  <c r="E20" i="114" s="1"/>
  <c r="F4" i="114"/>
  <c r="G4" i="114"/>
  <c r="G20" i="114" s="1"/>
  <c r="H4" i="114"/>
  <c r="I4" i="114"/>
  <c r="B5" i="114"/>
  <c r="J5" i="114"/>
  <c r="K5" i="114"/>
  <c r="B6" i="114"/>
  <c r="J6" i="102" s="1"/>
  <c r="K6" i="114"/>
  <c r="B7" i="114"/>
  <c r="J7" i="102" s="1"/>
  <c r="J7" i="114"/>
  <c r="K7" i="114"/>
  <c r="B8" i="114"/>
  <c r="K8" i="114"/>
  <c r="B9" i="114"/>
  <c r="J9" i="114"/>
  <c r="K9" i="114"/>
  <c r="C10" i="114"/>
  <c r="D10" i="114"/>
  <c r="E10" i="114"/>
  <c r="G10" i="114"/>
  <c r="H10" i="114"/>
  <c r="B11" i="114"/>
  <c r="K11" i="114"/>
  <c r="B12" i="114"/>
  <c r="J12" i="114" s="1"/>
  <c r="K12" i="114"/>
  <c r="B13" i="114"/>
  <c r="J13" i="114" s="1"/>
  <c r="J13" i="102"/>
  <c r="K13" i="114"/>
  <c r="B14" i="114"/>
  <c r="J14" i="114" s="1"/>
  <c r="K14" i="114"/>
  <c r="B15" i="114"/>
  <c r="J15" i="102" s="1"/>
  <c r="K15" i="114"/>
  <c r="B16" i="114"/>
  <c r="J16" i="114" s="1"/>
  <c r="K16" i="114"/>
  <c r="B17" i="114"/>
  <c r="J17" i="114"/>
  <c r="K17" i="114"/>
  <c r="B18" i="114"/>
  <c r="J18" i="114" s="1"/>
  <c r="K18" i="114"/>
  <c r="B19" i="114"/>
  <c r="K19" i="114"/>
  <c r="D22" i="114"/>
  <c r="C4" i="115"/>
  <c r="C20" i="115" s="1"/>
  <c r="D4" i="115"/>
  <c r="D20" i="115" s="1"/>
  <c r="E4" i="115"/>
  <c r="E20" i="115" s="1"/>
  <c r="G4" i="115"/>
  <c r="G20" i="115" s="1"/>
  <c r="H4" i="115"/>
  <c r="H20" i="115" s="1"/>
  <c r="I4" i="115"/>
  <c r="I20" i="115" s="1"/>
  <c r="B5" i="115"/>
  <c r="B4" i="115" s="1"/>
  <c r="B6" i="115"/>
  <c r="B7" i="115"/>
  <c r="E24" i="101" s="1"/>
  <c r="F24" i="101" s="1"/>
  <c r="E34" i="115"/>
  <c r="B8" i="115"/>
  <c r="E35" i="115"/>
  <c r="B9" i="115"/>
  <c r="E26" i="101"/>
  <c r="F26" i="101"/>
  <c r="C10" i="115"/>
  <c r="D10" i="115"/>
  <c r="E10" i="115"/>
  <c r="F10" i="115"/>
  <c r="G10" i="115"/>
  <c r="J10" i="115" s="1"/>
  <c r="I10" i="115"/>
  <c r="B11" i="115"/>
  <c r="J11" i="115"/>
  <c r="B12" i="115"/>
  <c r="J12" i="115"/>
  <c r="B13" i="115"/>
  <c r="J13" i="115"/>
  <c r="B14" i="115"/>
  <c r="J14" i="115"/>
  <c r="B15" i="115"/>
  <c r="B36" i="115" s="1"/>
  <c r="J15" i="115"/>
  <c r="B16" i="115"/>
  <c r="J16" i="115"/>
  <c r="B17" i="115"/>
  <c r="J17" i="115"/>
  <c r="B18" i="115"/>
  <c r="B39" i="115" s="1"/>
  <c r="J18" i="115"/>
  <c r="B19" i="115"/>
  <c r="B30" i="101" s="1"/>
  <c r="H30" i="101" s="1"/>
  <c r="J19" i="115"/>
  <c r="B22" i="115"/>
  <c r="E22" i="115"/>
  <c r="B23" i="115"/>
  <c r="E23" i="115"/>
  <c r="B24" i="115"/>
  <c r="E24" i="115"/>
  <c r="B25" i="115"/>
  <c r="E25" i="115"/>
  <c r="B26" i="115"/>
  <c r="E26" i="115"/>
  <c r="B27" i="115"/>
  <c r="B28" i="115"/>
  <c r="B29" i="115"/>
  <c r="B30" i="115"/>
  <c r="B32" i="115"/>
  <c r="E23" i="119"/>
  <c r="AI23" i="119"/>
  <c r="B32" i="131"/>
  <c r="B10" i="131"/>
  <c r="E323" i="119"/>
  <c r="E169" i="119"/>
  <c r="AI169" i="119" s="1"/>
  <c r="E386" i="119"/>
  <c r="AI386" i="119" s="1"/>
  <c r="AI356" i="119"/>
  <c r="E320" i="119"/>
  <c r="AI320" i="119" s="1"/>
  <c r="E141" i="119"/>
  <c r="AI141" i="119" s="1"/>
  <c r="E109" i="119"/>
  <c r="AI109" i="119" s="1"/>
  <c r="E104" i="119"/>
  <c r="AI104" i="119" s="1"/>
  <c r="AJ59" i="119"/>
  <c r="E55" i="119"/>
  <c r="AJ55" i="119" s="1"/>
  <c r="E18" i="119"/>
  <c r="H17" i="119"/>
  <c r="E339" i="122"/>
  <c r="AI339" i="122" s="1"/>
  <c r="E321" i="122"/>
  <c r="AI321" i="122" s="1"/>
  <c r="P320" i="122"/>
  <c r="E275" i="122"/>
  <c r="AI275" i="122" s="1"/>
  <c r="E202" i="122"/>
  <c r="AI202" i="122" s="1"/>
  <c r="AI58" i="119"/>
  <c r="E12" i="140"/>
  <c r="J9" i="102"/>
  <c r="G319" i="122"/>
  <c r="AI335" i="119"/>
  <c r="E281" i="119"/>
  <c r="AI281" i="119"/>
  <c r="E273" i="119"/>
  <c r="AI273" i="119"/>
  <c r="E251" i="119"/>
  <c r="AI251" i="119" s="1"/>
  <c r="E231" i="119"/>
  <c r="AI231" i="119" s="1"/>
  <c r="E158" i="119"/>
  <c r="AI158" i="119"/>
  <c r="E144" i="119"/>
  <c r="AI144" i="119"/>
  <c r="E87" i="119"/>
  <c r="AI87" i="119" s="1"/>
  <c r="E75" i="119"/>
  <c r="AI75" i="119"/>
  <c r="E301" i="122"/>
  <c r="AI301" i="122"/>
  <c r="E303" i="119"/>
  <c r="E262" i="119"/>
  <c r="AI262" i="119" s="1"/>
  <c r="E122" i="119"/>
  <c r="K7" i="119"/>
  <c r="K5" i="119" s="1"/>
  <c r="K6" i="119" s="1"/>
  <c r="C24" i="140"/>
  <c r="I24" i="140" s="1"/>
  <c r="E273" i="122"/>
  <c r="AI273" i="122"/>
  <c r="E380" i="119"/>
  <c r="AI380" i="119"/>
  <c r="E298" i="119"/>
  <c r="AI298" i="119" s="1"/>
  <c r="E20" i="140"/>
  <c r="G8" i="140"/>
  <c r="B4" i="103"/>
  <c r="E253" i="122"/>
  <c r="E233" i="122"/>
  <c r="AI233" i="122" s="1"/>
  <c r="H308" i="119"/>
  <c r="AI254" i="119"/>
  <c r="E155" i="119"/>
  <c r="AI90" i="119"/>
  <c r="H67" i="119"/>
  <c r="J9" i="103"/>
  <c r="AI332" i="122"/>
  <c r="P237" i="122"/>
  <c r="E238" i="122"/>
  <c r="AI143" i="122"/>
  <c r="AI79" i="122"/>
  <c r="E34" i="142"/>
  <c r="AI34" i="142"/>
  <c r="H15" i="142"/>
  <c r="H14" i="142" s="1"/>
  <c r="E312" i="119"/>
  <c r="AI312" i="119" s="1"/>
  <c r="AI246" i="119"/>
  <c r="AI215" i="119"/>
  <c r="F194" i="119"/>
  <c r="E36" i="119"/>
  <c r="AJ36" i="119" s="1"/>
  <c r="I16" i="140"/>
  <c r="F150" i="122"/>
  <c r="E330" i="119"/>
  <c r="AI330" i="119"/>
  <c r="E181" i="119"/>
  <c r="AI181" i="119" s="1"/>
  <c r="E98" i="119"/>
  <c r="AI98" i="119" s="1"/>
  <c r="E388" i="119"/>
  <c r="AI388" i="119" s="1"/>
  <c r="E351" i="119"/>
  <c r="AI351" i="119" s="1"/>
  <c r="E315" i="119"/>
  <c r="AI315" i="119"/>
  <c r="E284" i="119"/>
  <c r="AI284" i="119" s="1"/>
  <c r="E177" i="119"/>
  <c r="AI177" i="119"/>
  <c r="E161" i="119"/>
  <c r="AI161" i="119" s="1"/>
  <c r="E125" i="119"/>
  <c r="AI125" i="119"/>
  <c r="AI35" i="119"/>
  <c r="Q6" i="119"/>
  <c r="F29" i="119"/>
  <c r="F7" i="119" s="1"/>
  <c r="AE7" i="119"/>
  <c r="AE5" i="119" s="1"/>
  <c r="AE6" i="119" s="1"/>
  <c r="B22" i="101"/>
  <c r="H22" i="101"/>
  <c r="E8" i="140"/>
  <c r="J5" i="102"/>
  <c r="B4" i="102"/>
  <c r="H310" i="122"/>
  <c r="E175" i="122"/>
  <c r="AI175" i="122" s="1"/>
  <c r="H78" i="122"/>
  <c r="E81" i="122"/>
  <c r="AI81" i="122"/>
  <c r="E14" i="122"/>
  <c r="AI14" i="122"/>
  <c r="H10" i="122"/>
  <c r="AI167" i="119"/>
  <c r="E45" i="119"/>
  <c r="P8" i="119"/>
  <c r="E36" i="115"/>
  <c r="E190" i="119"/>
  <c r="AI190" i="119"/>
  <c r="E107" i="119"/>
  <c r="AI107" i="119" s="1"/>
  <c r="E106" i="119"/>
  <c r="C20" i="140"/>
  <c r="B26" i="101"/>
  <c r="H26" i="101" s="1"/>
  <c r="E204" i="119"/>
  <c r="AI204" i="119"/>
  <c r="AI383" i="119"/>
  <c r="E340" i="119"/>
  <c r="AI340" i="119" s="1"/>
  <c r="G326" i="119"/>
  <c r="E238" i="119"/>
  <c r="E207" i="119"/>
  <c r="AI207" i="119"/>
  <c r="AI172" i="119"/>
  <c r="E101" i="119"/>
  <c r="AI101" i="119" s="1"/>
  <c r="AI63" i="119"/>
  <c r="E52" i="119"/>
  <c r="AI39" i="119"/>
  <c r="AF336" i="122"/>
  <c r="X319" i="122"/>
  <c r="E223" i="122"/>
  <c r="AI223" i="122"/>
  <c r="R7" i="119"/>
  <c r="R5" i="119" s="1"/>
  <c r="R6" i="119" s="1"/>
  <c r="H8" i="124"/>
  <c r="H5" i="124"/>
  <c r="E334" i="122"/>
  <c r="AI334" i="122" s="1"/>
  <c r="S319" i="122"/>
  <c r="P315" i="122"/>
  <c r="E208" i="122"/>
  <c r="AI208" i="122" s="1"/>
  <c r="E156" i="122"/>
  <c r="AI156" i="122" s="1"/>
  <c r="Q107" i="122"/>
  <c r="J111" i="142"/>
  <c r="E49" i="119"/>
  <c r="AJ49" i="119" s="1"/>
  <c r="E33" i="119"/>
  <c r="AI33" i="119" s="1"/>
  <c r="AJ33" i="119"/>
  <c r="E26" i="119"/>
  <c r="AI26" i="119" s="1"/>
  <c r="Y7" i="119"/>
  <c r="B24" i="101"/>
  <c r="H24" i="101" s="1"/>
  <c r="I10" i="140"/>
  <c r="G11" i="140"/>
  <c r="AF310" i="122"/>
  <c r="F281" i="122"/>
  <c r="P243" i="122"/>
  <c r="E235" i="122"/>
  <c r="AI235" i="122" s="1"/>
  <c r="J200" i="122"/>
  <c r="P196" i="122"/>
  <c r="E151" i="122"/>
  <c r="AG107" i="122"/>
  <c r="F99" i="122"/>
  <c r="E97" i="122"/>
  <c r="AI97" i="122" s="1"/>
  <c r="E65" i="122"/>
  <c r="AB53" i="122"/>
  <c r="T53" i="122"/>
  <c r="P26" i="122"/>
  <c r="AF5" i="123"/>
  <c r="D20" i="133"/>
  <c r="AD223" i="142"/>
  <c r="AH223" i="142"/>
  <c r="E82" i="119"/>
  <c r="J7" i="119"/>
  <c r="J5" i="119" s="1"/>
  <c r="J6" i="119" s="1"/>
  <c r="I10" i="101"/>
  <c r="C11" i="140"/>
  <c r="E25" i="101"/>
  <c r="F25" i="101" s="1"/>
  <c r="AA319" i="122"/>
  <c r="K319" i="122"/>
  <c r="E168" i="122"/>
  <c r="AI168" i="122" s="1"/>
  <c r="W165" i="122"/>
  <c r="E76" i="122"/>
  <c r="AI76" i="122" s="1"/>
  <c r="AF26" i="122"/>
  <c r="AF25" i="122" s="1"/>
  <c r="E9" i="122"/>
  <c r="AI9" i="122"/>
  <c r="AF8" i="138"/>
  <c r="AF5" i="138"/>
  <c r="P103" i="142"/>
  <c r="O6" i="142"/>
  <c r="E113" i="119"/>
  <c r="AI113" i="119" s="1"/>
  <c r="E11" i="124"/>
  <c r="AI11" i="124" s="1"/>
  <c r="I18" i="140"/>
  <c r="J16" i="103"/>
  <c r="J12" i="103"/>
  <c r="E328" i="122"/>
  <c r="AI328" i="122" s="1"/>
  <c r="E284" i="122"/>
  <c r="AI284" i="122" s="1"/>
  <c r="N281" i="122"/>
  <c r="E256" i="122"/>
  <c r="AI256" i="122" s="1"/>
  <c r="E244" i="122"/>
  <c r="AG200" i="122"/>
  <c r="R200" i="122"/>
  <c r="E167" i="122"/>
  <c r="AF152" i="122"/>
  <c r="AF150" i="122" s="1"/>
  <c r="AF93" i="122"/>
  <c r="W53" i="122"/>
  <c r="AA53" i="122"/>
  <c r="E22" i="140"/>
  <c r="P313" i="142"/>
  <c r="E315" i="142"/>
  <c r="AI315" i="142"/>
  <c r="H216" i="142"/>
  <c r="E218" i="142"/>
  <c r="AI218" i="142"/>
  <c r="E149" i="142"/>
  <c r="AI149" i="142"/>
  <c r="AF147" i="142"/>
  <c r="P112" i="142"/>
  <c r="AF15" i="142"/>
  <c r="AF14" i="142" s="1"/>
  <c r="E10" i="142"/>
  <c r="AI10" i="142"/>
  <c r="P7" i="142"/>
  <c r="P230" i="119"/>
  <c r="AI197" i="122"/>
  <c r="E94" i="122"/>
  <c r="AI94" i="122" s="1"/>
  <c r="P93" i="122"/>
  <c r="P10" i="122"/>
  <c r="M223" i="142"/>
  <c r="E352" i="142"/>
  <c r="AI352" i="142" s="1"/>
  <c r="P349" i="142"/>
  <c r="E48" i="142"/>
  <c r="AI48" i="142" s="1"/>
  <c r="E31" i="119"/>
  <c r="AJ31" i="119"/>
  <c r="C20" i="101"/>
  <c r="E21" i="140"/>
  <c r="J16" i="102"/>
  <c r="J15" i="103"/>
  <c r="J6" i="103"/>
  <c r="D20" i="103"/>
  <c r="E335" i="122"/>
  <c r="AI335" i="122" s="1"/>
  <c r="E298" i="122"/>
  <c r="E290" i="122"/>
  <c r="E155" i="122"/>
  <c r="AI155" i="122"/>
  <c r="AF108" i="122"/>
  <c r="E84" i="122"/>
  <c r="AI84" i="122" s="1"/>
  <c r="AF78" i="122"/>
  <c r="E52" i="122"/>
  <c r="AI52" i="122"/>
  <c r="E5" i="123"/>
  <c r="AI6" i="123"/>
  <c r="B4" i="133"/>
  <c r="J5" i="133"/>
  <c r="E221" i="142"/>
  <c r="AI221" i="142"/>
  <c r="H219" i="142"/>
  <c r="AF157" i="142"/>
  <c r="E53" i="142"/>
  <c r="AI53" i="142" s="1"/>
  <c r="H45" i="142"/>
  <c r="Q200" i="122"/>
  <c r="AI105" i="122"/>
  <c r="E104" i="122"/>
  <c r="AI104" i="122" s="1"/>
  <c r="E17" i="140"/>
  <c r="E32" i="115"/>
  <c r="E41" i="119"/>
  <c r="C20" i="102"/>
  <c r="AB281" i="122"/>
  <c r="T281" i="122"/>
  <c r="K281" i="122"/>
  <c r="H267" i="122"/>
  <c r="P252" i="122"/>
  <c r="V200" i="122"/>
  <c r="E203" i="122"/>
  <c r="AI203" i="122" s="1"/>
  <c r="E186" i="122"/>
  <c r="AI186" i="122"/>
  <c r="I165" i="122"/>
  <c r="AI127" i="122"/>
  <c r="P78" i="122"/>
  <c r="N53" i="122"/>
  <c r="N5" i="122"/>
  <c r="N6" i="122" s="1"/>
  <c r="E33" i="131"/>
  <c r="B4" i="131"/>
  <c r="AG223" i="142"/>
  <c r="E10" i="140"/>
  <c r="E326" i="122"/>
  <c r="AI326" i="122" s="1"/>
  <c r="P282" i="122"/>
  <c r="E262" i="122"/>
  <c r="AI262" i="122"/>
  <c r="AF243" i="122"/>
  <c r="E188" i="122"/>
  <c r="AI188" i="122" s="1"/>
  <c r="E153" i="122"/>
  <c r="AI153" i="122"/>
  <c r="H152" i="122"/>
  <c r="H150" i="122"/>
  <c r="N107" i="122"/>
  <c r="E123" i="122"/>
  <c r="AI123" i="122" s="1"/>
  <c r="E115" i="122"/>
  <c r="AI115" i="122" s="1"/>
  <c r="Q53" i="122"/>
  <c r="AF50" i="122"/>
  <c r="AI28" i="122"/>
  <c r="E23" i="122"/>
  <c r="AI23" i="122"/>
  <c r="I7" i="122"/>
  <c r="H5" i="123"/>
  <c r="K10" i="132"/>
  <c r="E8" i="138"/>
  <c r="E5" i="138" s="1"/>
  <c r="W60" i="142"/>
  <c r="E336" i="142"/>
  <c r="AI336" i="142"/>
  <c r="AI266" i="142"/>
  <c r="E304" i="122"/>
  <c r="AI304" i="122" s="1"/>
  <c r="P297" i="122"/>
  <c r="E276" i="122"/>
  <c r="AI276" i="122"/>
  <c r="AF252" i="122"/>
  <c r="H237" i="122"/>
  <c r="E214" i="122"/>
  <c r="AI214" i="122"/>
  <c r="L200" i="122"/>
  <c r="E178" i="122"/>
  <c r="AI178" i="122" s="1"/>
  <c r="AG165" i="122"/>
  <c r="E158" i="122"/>
  <c r="AI158" i="122" s="1"/>
  <c r="E120" i="122"/>
  <c r="AI120" i="122" s="1"/>
  <c r="R107" i="122"/>
  <c r="E86" i="122"/>
  <c r="AI86" i="122" s="1"/>
  <c r="E73" i="122"/>
  <c r="AI73" i="122" s="1"/>
  <c r="AE53" i="122"/>
  <c r="G53" i="122"/>
  <c r="AE25" i="122"/>
  <c r="AE7" i="122" s="1"/>
  <c r="W25" i="122"/>
  <c r="W7" i="122" s="1"/>
  <c r="E8" i="122"/>
  <c r="AH60" i="142"/>
  <c r="O312" i="142"/>
  <c r="E236" i="122"/>
  <c r="AI236" i="122" s="1"/>
  <c r="H201" i="122"/>
  <c r="AB200" i="122"/>
  <c r="E193" i="122"/>
  <c r="AI193" i="122" s="1"/>
  <c r="E128" i="122"/>
  <c r="AI128" i="122"/>
  <c r="AI118" i="122"/>
  <c r="AH107" i="122"/>
  <c r="Y107" i="122"/>
  <c r="H101" i="122"/>
  <c r="E71" i="122"/>
  <c r="AI71" i="122" s="1"/>
  <c r="P64" i="122"/>
  <c r="M7" i="122"/>
  <c r="Q223" i="142"/>
  <c r="Q5" i="142" s="1"/>
  <c r="I12" i="140"/>
  <c r="AE107" i="122"/>
  <c r="W107" i="122"/>
  <c r="AC99" i="122"/>
  <c r="U99" i="122"/>
  <c r="M99" i="122"/>
  <c r="E56" i="122"/>
  <c r="AI56" i="122"/>
  <c r="H26" i="122"/>
  <c r="H25" i="122" s="1"/>
  <c r="H7" i="122" s="1"/>
  <c r="E19" i="122"/>
  <c r="AI19" i="122" s="1"/>
  <c r="N7" i="122"/>
  <c r="B10" i="133"/>
  <c r="J11" i="133"/>
  <c r="R223" i="142"/>
  <c r="R60" i="142"/>
  <c r="E204" i="122"/>
  <c r="AI204" i="122" s="1"/>
  <c r="P104" i="122"/>
  <c r="AH25" i="122"/>
  <c r="AH7" i="122" s="1"/>
  <c r="G25" i="122"/>
  <c r="G7" i="122" s="1"/>
  <c r="T7" i="122"/>
  <c r="L7" i="122"/>
  <c r="K4" i="133"/>
  <c r="J5" i="132"/>
  <c r="D20" i="132"/>
  <c r="J10" i="131"/>
  <c r="AE103" i="142"/>
  <c r="N60" i="142"/>
  <c r="F312" i="142"/>
  <c r="E247" i="142"/>
  <c r="AI247" i="142" s="1"/>
  <c r="P246" i="142"/>
  <c r="H96" i="142"/>
  <c r="E97" i="142"/>
  <c r="AC200" i="122"/>
  <c r="U200" i="122"/>
  <c r="M200" i="122"/>
  <c r="E189" i="122"/>
  <c r="AI189" i="122" s="1"/>
  <c r="H104" i="122"/>
  <c r="O25" i="122"/>
  <c r="O7" i="122" s="1"/>
  <c r="D20" i="131"/>
  <c r="AG111" i="142"/>
  <c r="AG6" i="142"/>
  <c r="N312" i="142"/>
  <c r="I223" i="142"/>
  <c r="F223" i="142"/>
  <c r="E285" i="142"/>
  <c r="AI285" i="142" s="1"/>
  <c r="H282" i="142"/>
  <c r="Z103" i="142"/>
  <c r="V111" i="142"/>
  <c r="G60" i="142"/>
  <c r="AF313" i="142"/>
  <c r="E308" i="142"/>
  <c r="AI308" i="142" s="1"/>
  <c r="E191" i="142"/>
  <c r="AI191" i="142"/>
  <c r="AF187" i="142"/>
  <c r="AF186" i="142" s="1"/>
  <c r="AF112" i="142"/>
  <c r="AF111" i="142" s="1"/>
  <c r="E110" i="142"/>
  <c r="AI110" i="142"/>
  <c r="H108" i="142"/>
  <c r="H103" i="142"/>
  <c r="E77" i="142"/>
  <c r="AI77" i="142" s="1"/>
  <c r="AI8" i="123"/>
  <c r="K10" i="133"/>
  <c r="AH103" i="142"/>
  <c r="AC111" i="142"/>
  <c r="X348" i="142"/>
  <c r="T348" i="142"/>
  <c r="T223" i="142"/>
  <c r="E291" i="142"/>
  <c r="AI291" i="142" s="1"/>
  <c r="H224" i="142"/>
  <c r="E178" i="142"/>
  <c r="AI178" i="142" s="1"/>
  <c r="H174" i="142"/>
  <c r="H172" i="142" s="1"/>
  <c r="P61" i="142"/>
  <c r="E62" i="142"/>
  <c r="AG60" i="142"/>
  <c r="Z223" i="142"/>
  <c r="X223" i="142"/>
  <c r="U223" i="142"/>
  <c r="R312" i="142"/>
  <c r="K312" i="142"/>
  <c r="I186" i="142"/>
  <c r="AI180" i="142"/>
  <c r="AC60" i="142"/>
  <c r="AC5" i="142" s="1"/>
  <c r="AB223" i="142"/>
  <c r="Y111" i="142"/>
  <c r="S312" i="142"/>
  <c r="K186" i="142"/>
  <c r="E346" i="142"/>
  <c r="E341" i="142"/>
  <c r="AI341" i="142" s="1"/>
  <c r="E331" i="142"/>
  <c r="AI331" i="142" s="1"/>
  <c r="E306" i="142"/>
  <c r="AI306" i="142" s="1"/>
  <c r="E232" i="142"/>
  <c r="AI232" i="142"/>
  <c r="E214" i="142"/>
  <c r="AI214" i="142" s="1"/>
  <c r="E182" i="142"/>
  <c r="AI182" i="142" s="1"/>
  <c r="E171" i="142"/>
  <c r="AI171" i="142" s="1"/>
  <c r="E166" i="142"/>
  <c r="AI166" i="142"/>
  <c r="E317" i="142"/>
  <c r="E260" i="142"/>
  <c r="AI260" i="142" s="1"/>
  <c r="E236" i="142"/>
  <c r="AI236" i="142"/>
  <c r="P138" i="142"/>
  <c r="E132" i="142"/>
  <c r="AI132" i="142" s="1"/>
  <c r="E82" i="142"/>
  <c r="AI82" i="142" s="1"/>
  <c r="AF328" i="142"/>
  <c r="E287" i="142"/>
  <c r="AI287" i="142"/>
  <c r="E262" i="142"/>
  <c r="AI262" i="142" s="1"/>
  <c r="E254" i="142"/>
  <c r="AI254" i="142"/>
  <c r="E198" i="142"/>
  <c r="AI198" i="142"/>
  <c r="E193" i="142"/>
  <c r="AI193" i="142"/>
  <c r="E188" i="142"/>
  <c r="AI188" i="142"/>
  <c r="E156" i="142"/>
  <c r="AI156" i="142" s="1"/>
  <c r="E140" i="142"/>
  <c r="AI140" i="142" s="1"/>
  <c r="E129" i="142"/>
  <c r="AI129" i="142"/>
  <c r="E124" i="142"/>
  <c r="AI124" i="142"/>
  <c r="AF45" i="142"/>
  <c r="AI8" i="142"/>
  <c r="O186" i="142"/>
  <c r="K223" i="142"/>
  <c r="K111" i="142"/>
  <c r="K6" i="142" s="1"/>
  <c r="F103" i="142"/>
  <c r="E369" i="142"/>
  <c r="AI369" i="142" s="1"/>
  <c r="P328" i="142"/>
  <c r="AI314" i="142"/>
  <c r="E284" i="142"/>
  <c r="AI284" i="142"/>
  <c r="E264" i="142"/>
  <c r="AI264" i="142"/>
  <c r="E238" i="142"/>
  <c r="AI238" i="142"/>
  <c r="P174" i="142"/>
  <c r="P172" i="142"/>
  <c r="E100" i="142"/>
  <c r="AI100" i="142" s="1"/>
  <c r="X111" i="142"/>
  <c r="U111" i="142"/>
  <c r="R103" i="142"/>
  <c r="L348" i="142"/>
  <c r="H246" i="142"/>
  <c r="E333" i="142"/>
  <c r="AI333" i="142"/>
  <c r="E310" i="142"/>
  <c r="AI310" i="142" s="1"/>
  <c r="P297" i="142"/>
  <c r="E288" i="142"/>
  <c r="AI288" i="142"/>
  <c r="E258" i="142"/>
  <c r="AI258" i="142"/>
  <c r="E253" i="142"/>
  <c r="AI253" i="142"/>
  <c r="E240" i="142"/>
  <c r="AI240" i="142"/>
  <c r="AF224" i="142"/>
  <c r="E220" i="142"/>
  <c r="E204" i="142"/>
  <c r="AI204" i="142"/>
  <c r="E190" i="142"/>
  <c r="AI190" i="142" s="1"/>
  <c r="E184" i="142"/>
  <c r="AI184" i="142"/>
  <c r="E163" i="142"/>
  <c r="AI163" i="142" s="1"/>
  <c r="AI113" i="142"/>
  <c r="E44" i="142"/>
  <c r="AI44" i="142" s="1"/>
  <c r="E42" i="142"/>
  <c r="AI42" i="142" s="1"/>
  <c r="E35" i="142"/>
  <c r="AI35" i="142"/>
  <c r="E30" i="142"/>
  <c r="AI30" i="142" s="1"/>
  <c r="E17" i="142"/>
  <c r="AI17" i="142" s="1"/>
  <c r="W223" i="142"/>
  <c r="W5" i="142" s="1"/>
  <c r="T111" i="142"/>
  <c r="L223" i="142"/>
  <c r="F348" i="142"/>
  <c r="E366" i="142"/>
  <c r="E342" i="142"/>
  <c r="AI342" i="142" s="1"/>
  <c r="E335" i="142"/>
  <c r="AI335" i="142"/>
  <c r="E298" i="142"/>
  <c r="AI298" i="142" s="1"/>
  <c r="H297" i="142"/>
  <c r="P224" i="142"/>
  <c r="E226" i="142"/>
  <c r="E206" i="142"/>
  <c r="AI206" i="142"/>
  <c r="E192" i="142"/>
  <c r="AI192" i="142"/>
  <c r="E73" i="142"/>
  <c r="AI73" i="142" s="1"/>
  <c r="H70" i="142"/>
  <c r="S223" i="142"/>
  <c r="E347" i="142"/>
  <c r="E339" i="142"/>
  <c r="AI339" i="142"/>
  <c r="E302" i="142"/>
  <c r="AI302" i="142" s="1"/>
  <c r="E292" i="142"/>
  <c r="AI292" i="142" s="1"/>
  <c r="E250" i="142"/>
  <c r="AI250" i="142"/>
  <c r="E212" i="142"/>
  <c r="AI212" i="142" s="1"/>
  <c r="E196" i="142"/>
  <c r="AI196" i="142" s="1"/>
  <c r="E173" i="142"/>
  <c r="AI173" i="142"/>
  <c r="E139" i="142"/>
  <c r="AI139" i="142" s="1"/>
  <c r="H138" i="142"/>
  <c r="E121" i="142"/>
  <c r="AI121" i="142" s="1"/>
  <c r="E114" i="142"/>
  <c r="AI114" i="142"/>
  <c r="H112" i="142"/>
  <c r="P70" i="142"/>
  <c r="E69" i="142"/>
  <c r="AI69" i="142"/>
  <c r="G20" i="134"/>
  <c r="E123" i="142"/>
  <c r="AI123" i="142" s="1"/>
  <c r="E102" i="142"/>
  <c r="AI102" i="142" s="1"/>
  <c r="AF96" i="142"/>
  <c r="E79" i="142"/>
  <c r="AI79" i="142" s="1"/>
  <c r="E108" i="142"/>
  <c r="AI108" i="142"/>
  <c r="AI109" i="142"/>
  <c r="F20" i="136"/>
  <c r="H328" i="142"/>
  <c r="AI256" i="142"/>
  <c r="E169" i="142"/>
  <c r="AI169" i="142"/>
  <c r="E127" i="142"/>
  <c r="AI127" i="142" s="1"/>
  <c r="E81" i="142"/>
  <c r="AI81" i="142"/>
  <c r="E32" i="142"/>
  <c r="AI32" i="142"/>
  <c r="E16" i="142"/>
  <c r="AI16" i="142" s="1"/>
  <c r="E217" i="142"/>
  <c r="E141" i="142"/>
  <c r="AI141" i="142"/>
  <c r="E131" i="142"/>
  <c r="AI131" i="142"/>
  <c r="E115" i="142"/>
  <c r="AI115" i="142" s="1"/>
  <c r="E36" i="142"/>
  <c r="AI36" i="142"/>
  <c r="E20" i="142"/>
  <c r="AI20" i="142"/>
  <c r="E11" i="142"/>
  <c r="AI11" i="142"/>
  <c r="E159" i="142"/>
  <c r="AI159" i="142"/>
  <c r="E143" i="142"/>
  <c r="AI143" i="142"/>
  <c r="E133" i="142"/>
  <c r="AI133" i="142" s="1"/>
  <c r="E117" i="142"/>
  <c r="AI117" i="142"/>
  <c r="E106" i="142"/>
  <c r="E105" i="142" s="1"/>
  <c r="AI105" i="142" s="1"/>
  <c r="E71" i="142"/>
  <c r="AI71" i="142" s="1"/>
  <c r="E38" i="142"/>
  <c r="AI38" i="142" s="1"/>
  <c r="E22" i="142"/>
  <c r="AI22" i="142" s="1"/>
  <c r="E13" i="142"/>
  <c r="AI13" i="142" s="1"/>
  <c r="AG5" i="142"/>
  <c r="AG373" i="142" s="1"/>
  <c r="AI298" i="122"/>
  <c r="AI82" i="119"/>
  <c r="AF312" i="142"/>
  <c r="AI151" i="122"/>
  <c r="E180" i="119"/>
  <c r="AI180" i="119" s="1"/>
  <c r="AI155" i="119"/>
  <c r="J4" i="133"/>
  <c r="B20" i="133"/>
  <c r="AI238" i="122"/>
  <c r="AI184" i="119"/>
  <c r="AI323" i="119"/>
  <c r="AI366" i="142"/>
  <c r="AI97" i="142"/>
  <c r="AI244" i="122"/>
  <c r="AI106" i="119"/>
  <c r="AI122" i="119"/>
  <c r="AI18" i="119"/>
  <c r="AI346" i="142"/>
  <c r="AI8" i="122"/>
  <c r="AI5" i="123"/>
  <c r="H11" i="140"/>
  <c r="AI106" i="142"/>
  <c r="AI220" i="142"/>
  <c r="AI167" i="122"/>
  <c r="I11" i="140"/>
  <c r="B20" i="131"/>
  <c r="AI59" i="119"/>
  <c r="AI62" i="142"/>
  <c r="AI57" i="119"/>
  <c r="E230" i="119"/>
  <c r="AI230" i="119" s="1"/>
  <c r="AI31" i="119"/>
  <c r="AI65" i="122"/>
  <c r="AI49" i="119"/>
  <c r="AI253" i="122"/>
  <c r="H10" i="140"/>
  <c r="H12" i="140"/>
  <c r="H8" i="140"/>
  <c r="H6" i="140" s="1"/>
  <c r="AI9" i="148"/>
  <c r="E6" i="148"/>
  <c r="AI6" i="148" s="1"/>
  <c r="P8" i="148"/>
  <c r="P5" i="148"/>
  <c r="Q6" i="147"/>
  <c r="Q374" i="147"/>
  <c r="G61" i="147"/>
  <c r="E64" i="147"/>
  <c r="AI64" i="147" s="1"/>
  <c r="O61" i="147"/>
  <c r="T112" i="147"/>
  <c r="AB112" i="147"/>
  <c r="P113" i="147"/>
  <c r="E121" i="147"/>
  <c r="AI121" i="147"/>
  <c r="F313" i="147"/>
  <c r="F15" i="147"/>
  <c r="E356" i="147"/>
  <c r="AI356" i="147"/>
  <c r="H350" i="147"/>
  <c r="P8" i="147"/>
  <c r="E72" i="147"/>
  <c r="H71" i="147"/>
  <c r="H148" i="147"/>
  <c r="H260" i="147"/>
  <c r="P16" i="147"/>
  <c r="P15" i="147"/>
  <c r="P84" i="147"/>
  <c r="H97" i="147"/>
  <c r="AI315" i="147"/>
  <c r="AF16" i="147"/>
  <c r="AF15" i="147"/>
  <c r="M61" i="147"/>
  <c r="M7" i="147" s="1"/>
  <c r="AI114" i="147"/>
  <c r="H113" i="147"/>
  <c r="E181" i="147"/>
  <c r="AI181" i="147" s="1"/>
  <c r="H175" i="147"/>
  <c r="H173" i="147"/>
  <c r="AF8" i="147"/>
  <c r="E17" i="147"/>
  <c r="H46" i="147"/>
  <c r="P71" i="147"/>
  <c r="E86" i="147"/>
  <c r="AI86" i="147"/>
  <c r="P109" i="147"/>
  <c r="P104" i="147" s="1"/>
  <c r="E117" i="147"/>
  <c r="AI117" i="147" s="1"/>
  <c r="AF113" i="147"/>
  <c r="E256" i="147"/>
  <c r="AI256" i="147" s="1"/>
  <c r="H247" i="147"/>
  <c r="AI149" i="147"/>
  <c r="AI174" i="147"/>
  <c r="K104" i="147"/>
  <c r="AA104" i="147"/>
  <c r="E14" i="147"/>
  <c r="AI14" i="147" s="1"/>
  <c r="E22" i="147"/>
  <c r="AI22" i="147" s="1"/>
  <c r="E38" i="147"/>
  <c r="AI38" i="147"/>
  <c r="AG61" i="147"/>
  <c r="AF84" i="147"/>
  <c r="E93" i="147"/>
  <c r="AI93" i="147"/>
  <c r="E95" i="147"/>
  <c r="AI95" i="147"/>
  <c r="H139" i="147"/>
  <c r="E140" i="147"/>
  <c r="E170" i="147"/>
  <c r="AI170" i="147" s="1"/>
  <c r="E172" i="147"/>
  <c r="AI172" i="147" s="1"/>
  <c r="E222" i="147"/>
  <c r="E220" i="147" s="1"/>
  <c r="AI220" i="147" s="1"/>
  <c r="P225" i="147"/>
  <c r="E353" i="147"/>
  <c r="AI353" i="147"/>
  <c r="P350" i="147"/>
  <c r="P349" i="147" s="1"/>
  <c r="H8" i="147"/>
  <c r="H1" i="147" s="1"/>
  <c r="H16" i="147"/>
  <c r="H15" i="147"/>
  <c r="E60" i="147"/>
  <c r="AI60" i="147"/>
  <c r="P62" i="147"/>
  <c r="P61" i="147" s="1"/>
  <c r="AF104" i="147"/>
  <c r="F112" i="147"/>
  <c r="E150" i="147"/>
  <c r="AI150" i="147" s="1"/>
  <c r="S187" i="147"/>
  <c r="AA187" i="147"/>
  <c r="F224" i="147"/>
  <c r="H298" i="147"/>
  <c r="AF62" i="147"/>
  <c r="E85" i="147"/>
  <c r="H84" i="147"/>
  <c r="AF188" i="147"/>
  <c r="AF187" i="147"/>
  <c r="E244" i="147"/>
  <c r="AI244" i="147"/>
  <c r="H225" i="147"/>
  <c r="E48" i="147"/>
  <c r="AI48" i="147" s="1"/>
  <c r="AE61" i="147"/>
  <c r="E83" i="147"/>
  <c r="AI83" i="147"/>
  <c r="F104" i="147"/>
  <c r="N104" i="147"/>
  <c r="V104" i="147"/>
  <c r="AD104" i="147"/>
  <c r="E135" i="147"/>
  <c r="AI135" i="147"/>
  <c r="E159" i="147"/>
  <c r="AI159" i="147"/>
  <c r="H158" i="147"/>
  <c r="AF175" i="147"/>
  <c r="E281" i="147"/>
  <c r="AI281" i="147"/>
  <c r="AF298" i="147"/>
  <c r="H62" i="147"/>
  <c r="H61" i="147" s="1"/>
  <c r="E91" i="147"/>
  <c r="AI91" i="147"/>
  <c r="E127" i="147"/>
  <c r="AI127" i="147"/>
  <c r="E133" i="147"/>
  <c r="AI133" i="147" s="1"/>
  <c r="E161" i="147"/>
  <c r="AI161" i="147" s="1"/>
  <c r="P175" i="147"/>
  <c r="P173" i="147"/>
  <c r="E179" i="147"/>
  <c r="AI179" i="147" s="1"/>
  <c r="E189" i="147"/>
  <c r="AI189" i="147" s="1"/>
  <c r="P188" i="147"/>
  <c r="E194" i="147"/>
  <c r="AI194" i="147"/>
  <c r="AF220" i="147"/>
  <c r="E228" i="147"/>
  <c r="AI228" i="147" s="1"/>
  <c r="E239" i="147"/>
  <c r="AI239" i="147"/>
  <c r="AF266" i="147"/>
  <c r="H314" i="147"/>
  <c r="AF366" i="147"/>
  <c r="E111" i="147"/>
  <c r="AI111" i="147" s="1"/>
  <c r="E119" i="147"/>
  <c r="AI119" i="147" s="1"/>
  <c r="E145" i="147"/>
  <c r="AI145" i="147"/>
  <c r="E166" i="147"/>
  <c r="AI166" i="147"/>
  <c r="AF173" i="147"/>
  <c r="E210" i="147"/>
  <c r="AI210" i="147" s="1"/>
  <c r="E262" i="147"/>
  <c r="AI262" i="147"/>
  <c r="E273" i="147"/>
  <c r="AI273" i="147" s="1"/>
  <c r="H283" i="147"/>
  <c r="E295" i="147"/>
  <c r="AI295" i="147"/>
  <c r="H329" i="147"/>
  <c r="E332" i="147"/>
  <c r="AI332" i="147" s="1"/>
  <c r="E343" i="147"/>
  <c r="AI343" i="147" s="1"/>
  <c r="F349" i="147"/>
  <c r="X224" i="147"/>
  <c r="X6" i="147" s="1"/>
  <c r="X7" i="147"/>
  <c r="E253" i="147"/>
  <c r="AI253" i="147" s="1"/>
  <c r="P329" i="147"/>
  <c r="W349" i="147"/>
  <c r="AE349" i="147"/>
  <c r="E364" i="147"/>
  <c r="AI364" i="147"/>
  <c r="E123" i="147"/>
  <c r="AI123" i="147"/>
  <c r="E138" i="147"/>
  <c r="AI138" i="147"/>
  <c r="E191" i="147"/>
  <c r="AI191" i="147" s="1"/>
  <c r="H188" i="147"/>
  <c r="H266" i="147"/>
  <c r="E267" i="147"/>
  <c r="AI267" i="147" s="1"/>
  <c r="E276" i="147"/>
  <c r="AI276" i="147" s="1"/>
  <c r="AF329" i="147"/>
  <c r="H345" i="147"/>
  <c r="E346" i="147"/>
  <c r="E345" i="147"/>
  <c r="AI345" i="147"/>
  <c r="AI205" i="147"/>
  <c r="E213" i="147"/>
  <c r="AI213" i="147"/>
  <c r="E219" i="147"/>
  <c r="AI219" i="147"/>
  <c r="H220" i="147"/>
  <c r="K224" i="147"/>
  <c r="S224" i="147"/>
  <c r="AA224" i="147"/>
  <c r="E226" i="147"/>
  <c r="AI226" i="147"/>
  <c r="E234" i="147"/>
  <c r="AI234" i="147"/>
  <c r="E242" i="147"/>
  <c r="AI242" i="147"/>
  <c r="P266" i="147"/>
  <c r="AF283" i="147"/>
  <c r="E299" i="147"/>
  <c r="E307" i="147"/>
  <c r="AI307" i="147"/>
  <c r="E330" i="147"/>
  <c r="E338" i="147"/>
  <c r="AI338" i="147" s="1"/>
  <c r="E370" i="147"/>
  <c r="AI370" i="147" s="1"/>
  <c r="L187" i="147"/>
  <c r="P283" i="147"/>
  <c r="P298" i="147"/>
  <c r="U313" i="147"/>
  <c r="AC313" i="147"/>
  <c r="P314" i="147"/>
  <c r="P313" i="147"/>
  <c r="E347" i="147"/>
  <c r="AI347" i="147"/>
  <c r="E367" i="147"/>
  <c r="M313" i="147"/>
  <c r="E351" i="147"/>
  <c r="AI351" i="147" s="1"/>
  <c r="E359" i="147"/>
  <c r="AI359" i="147"/>
  <c r="E316" i="147"/>
  <c r="AI316" i="147" s="1"/>
  <c r="E324" i="147"/>
  <c r="AI324" i="147" s="1"/>
  <c r="P366" i="147"/>
  <c r="AI17" i="147"/>
  <c r="AI367" i="147"/>
  <c r="AI222" i="147"/>
  <c r="AI330" i="147"/>
  <c r="AI299" i="147"/>
  <c r="H112" i="147"/>
  <c r="AI85" i="147"/>
  <c r="AI346" i="147"/>
  <c r="AI140" i="147"/>
  <c r="E12" i="138"/>
  <c r="AI12" i="138" s="1"/>
  <c r="AI5" i="138"/>
  <c r="AI8" i="138"/>
  <c r="P337" i="143"/>
  <c r="P424" i="143" s="1"/>
  <c r="AF337" i="143"/>
  <c r="AF424" i="143"/>
  <c r="T105" i="143"/>
  <c r="H337" i="143"/>
  <c r="H424" i="143" s="1"/>
  <c r="O242" i="143"/>
  <c r="E98" i="143"/>
  <c r="E84" i="143"/>
  <c r="L305" i="143"/>
  <c r="L304" i="143" s="1"/>
  <c r="F215" i="143"/>
  <c r="D4" i="146"/>
  <c r="AF220" i="143"/>
  <c r="AF413" i="143"/>
  <c r="AF242" i="143"/>
  <c r="AF414" i="143"/>
  <c r="P368" i="143"/>
  <c r="AF164" i="143"/>
  <c r="AF405" i="143"/>
  <c r="E71" i="143"/>
  <c r="AF368" i="143"/>
  <c r="F341" i="143"/>
  <c r="H215" i="143"/>
  <c r="H412" i="143"/>
  <c r="AF367" i="143"/>
  <c r="N105" i="143"/>
  <c r="H143" i="143"/>
  <c r="H402" i="143" s="1"/>
  <c r="P153" i="143"/>
  <c r="P403" i="143"/>
  <c r="S17" i="143"/>
  <c r="S16" i="143"/>
  <c r="M17" i="143"/>
  <c r="M16" i="143" s="1"/>
  <c r="AE105" i="143"/>
  <c r="N341" i="143"/>
  <c r="AF17" i="143"/>
  <c r="AF16" i="143"/>
  <c r="AB17" i="143"/>
  <c r="AB16" i="143" s="1"/>
  <c r="L17" i="143"/>
  <c r="L16" i="143"/>
  <c r="AF342" i="143"/>
  <c r="Q105" i="143"/>
  <c r="I17" i="143"/>
  <c r="I16" i="143" s="1"/>
  <c r="H374" i="143"/>
  <c r="R188" i="143"/>
  <c r="G189" i="143"/>
  <c r="G188" i="143" s="1"/>
  <c r="AE59" i="143"/>
  <c r="N59" i="143"/>
  <c r="W59" i="143"/>
  <c r="I59" i="143"/>
  <c r="R17" i="143"/>
  <c r="R16" i="143"/>
  <c r="P375" i="143"/>
  <c r="H8" i="143"/>
  <c r="H387" i="143"/>
  <c r="P369" i="143"/>
  <c r="H371" i="143"/>
  <c r="H189" i="143"/>
  <c r="H410" i="143"/>
  <c r="P220" i="143"/>
  <c r="P413" i="143" s="1"/>
  <c r="P242" i="143"/>
  <c r="P414" i="143" s="1"/>
  <c r="AF266" i="143"/>
  <c r="AF416" i="143"/>
  <c r="F189" i="143"/>
  <c r="F188" i="143"/>
  <c r="AG305" i="143"/>
  <c r="AG304" i="143"/>
  <c r="F17" i="143"/>
  <c r="K17" i="143"/>
  <c r="K16" i="143"/>
  <c r="P371" i="143"/>
  <c r="Q189" i="143"/>
  <c r="E220" i="143"/>
  <c r="AI220" i="143" s="1"/>
  <c r="H220" i="143"/>
  <c r="H413" i="143" s="1"/>
  <c r="H375" i="143"/>
  <c r="AO375" i="143" s="1"/>
  <c r="H242" i="143"/>
  <c r="H414" i="143"/>
  <c r="Q242" i="143"/>
  <c r="O260" i="143"/>
  <c r="H278" i="143"/>
  <c r="H417" i="143" s="1"/>
  <c r="H164" i="143"/>
  <c r="H405" i="143" s="1"/>
  <c r="AC17" i="143"/>
  <c r="AC16" i="143"/>
  <c r="AF189" i="143"/>
  <c r="AF410" i="143"/>
  <c r="AF373" i="143"/>
  <c r="P278" i="143"/>
  <c r="P417" i="143" s="1"/>
  <c r="P374" i="143"/>
  <c r="P215" i="143"/>
  <c r="P412" i="143"/>
  <c r="W17" i="143"/>
  <c r="W16" i="143" s="1"/>
  <c r="AF372" i="143"/>
  <c r="P372" i="143"/>
  <c r="H372" i="143"/>
  <c r="AF105" i="143"/>
  <c r="AF369" i="143"/>
  <c r="H378" i="143"/>
  <c r="H369" i="143"/>
  <c r="F369" i="143" s="1"/>
  <c r="AF371" i="143"/>
  <c r="AF378" i="143"/>
  <c r="P342" i="143"/>
  <c r="P425" i="143"/>
  <c r="H160" i="143"/>
  <c r="H357" i="143"/>
  <c r="F175" i="143"/>
  <c r="P143" i="143"/>
  <c r="P402" i="143" s="1"/>
  <c r="AA17" i="143"/>
  <c r="AA16" i="143"/>
  <c r="H266" i="143"/>
  <c r="H416" i="143" s="1"/>
  <c r="E60" i="143"/>
  <c r="E44" i="143"/>
  <c r="P266" i="143"/>
  <c r="P416" i="143"/>
  <c r="H290" i="143"/>
  <c r="H418" i="143"/>
  <c r="AF290" i="143"/>
  <c r="AF418" i="143"/>
  <c r="P60" i="143"/>
  <c r="P391" i="143"/>
  <c r="P71" i="143"/>
  <c r="P392" i="143" s="1"/>
  <c r="X105" i="143"/>
  <c r="H71" i="143"/>
  <c r="AF84" i="143"/>
  <c r="AF394" i="143"/>
  <c r="P98" i="143"/>
  <c r="P395" i="143"/>
  <c r="AF143" i="143"/>
  <c r="AF402" i="143" s="1"/>
  <c r="AD17" i="143"/>
  <c r="AD16" i="143" s="1"/>
  <c r="AF60" i="143"/>
  <c r="AF391" i="143"/>
  <c r="J17" i="143"/>
  <c r="J16" i="143"/>
  <c r="P164" i="143"/>
  <c r="AF71" i="143"/>
  <c r="AF392" i="143" s="1"/>
  <c r="AI71" i="143"/>
  <c r="J113" i="143"/>
  <c r="Q17" i="143"/>
  <c r="Q16" i="143" s="1"/>
  <c r="H260" i="143"/>
  <c r="H153" i="143"/>
  <c r="H403" i="143" s="1"/>
  <c r="T17" i="143"/>
  <c r="T16" i="143" s="1"/>
  <c r="V17" i="143"/>
  <c r="V16" i="143" s="1"/>
  <c r="I113" i="143"/>
  <c r="L113" i="143"/>
  <c r="P370" i="143"/>
  <c r="F370" i="143"/>
  <c r="AF370" i="143"/>
  <c r="AG113" i="143"/>
  <c r="AF114" i="143"/>
  <c r="P114" i="143"/>
  <c r="H370" i="143"/>
  <c r="H114" i="143"/>
  <c r="H113" i="143" s="1"/>
  <c r="H401" i="143" s="1"/>
  <c r="P189" i="143"/>
  <c r="P410" i="143"/>
  <c r="E266" i="143"/>
  <c r="P260" i="143"/>
  <c r="P415" i="143"/>
  <c r="E114" i="143"/>
  <c r="AI114" i="143" s="1"/>
  <c r="E260" i="143"/>
  <c r="F260" i="143"/>
  <c r="AF376" i="143"/>
  <c r="AH305" i="143"/>
  <c r="AH304" i="143"/>
  <c r="P357" i="143"/>
  <c r="P341" i="143"/>
  <c r="P378" i="143"/>
  <c r="Q357" i="143"/>
  <c r="Q341" i="143"/>
  <c r="S357" i="143"/>
  <c r="S341" i="143" s="1"/>
  <c r="H305" i="143"/>
  <c r="H304" i="143" s="1"/>
  <c r="H419" i="143"/>
  <c r="P305" i="143"/>
  <c r="P304" i="143" s="1"/>
  <c r="P376" i="143"/>
  <c r="G305" i="143"/>
  <c r="G304" i="143" s="1"/>
  <c r="R305" i="143"/>
  <c r="R304" i="143" s="1"/>
  <c r="J305" i="143"/>
  <c r="J304" i="143" s="1"/>
  <c r="AF304" i="143"/>
  <c r="H376" i="143"/>
  <c r="F376" i="143" s="1"/>
  <c r="Y59" i="143"/>
  <c r="F59" i="143"/>
  <c r="Q59" i="143"/>
  <c r="L59" i="143"/>
  <c r="L7" i="143" s="1"/>
  <c r="AC59" i="143"/>
  <c r="V59" i="143"/>
  <c r="AD59" i="143"/>
  <c r="AI84" i="143"/>
  <c r="P59" i="143"/>
  <c r="T59" i="143"/>
  <c r="T6" i="143" s="1"/>
  <c r="AB59" i="143"/>
  <c r="R59" i="143"/>
  <c r="S59" i="143"/>
  <c r="AA59" i="143"/>
  <c r="U59" i="143"/>
  <c r="K59" i="143"/>
  <c r="M59" i="143"/>
  <c r="Z59" i="143"/>
  <c r="J59" i="143"/>
  <c r="H392" i="143"/>
  <c r="AC304" i="143"/>
  <c r="T304" i="143"/>
  <c r="M304" i="143"/>
  <c r="X304" i="143"/>
  <c r="AA304" i="143"/>
  <c r="AA6" i="143" s="1"/>
  <c r="K304" i="143"/>
  <c r="P419" i="143"/>
  <c r="N219" i="143"/>
  <c r="X219" i="143"/>
  <c r="V219" i="143"/>
  <c r="R219" i="143"/>
  <c r="Y219" i="143"/>
  <c r="AA219" i="143"/>
  <c r="M219" i="143"/>
  <c r="T219" i="143"/>
  <c r="W219" i="143"/>
  <c r="L219" i="143"/>
  <c r="J219" i="143"/>
  <c r="Z219" i="143"/>
  <c r="I219" i="143"/>
  <c r="AE219" i="143"/>
  <c r="U219" i="143"/>
  <c r="S219" i="143"/>
  <c r="O219" i="143"/>
  <c r="O6" i="143" s="1"/>
  <c r="K219" i="143"/>
  <c r="AC219" i="143"/>
  <c r="AH219" i="143"/>
  <c r="AG219" i="143"/>
  <c r="AB219" i="143"/>
  <c r="Q219" i="143"/>
  <c r="AD113" i="143"/>
  <c r="X113" i="143"/>
  <c r="X7" i="143" s="1"/>
  <c r="R113" i="143"/>
  <c r="Q113" i="143"/>
  <c r="V113" i="143"/>
  <c r="V6" i="143" s="1"/>
  <c r="AH113" i="143"/>
  <c r="Z113" i="143"/>
  <c r="Z7" i="143" s="1"/>
  <c r="W113" i="143"/>
  <c r="T113" i="143"/>
  <c r="AB113" i="143"/>
  <c r="U113" i="143"/>
  <c r="S113" i="143"/>
  <c r="O113" i="143"/>
  <c r="M113" i="143"/>
  <c r="M7" i="143" s="1"/>
  <c r="K113" i="143"/>
  <c r="AE113" i="143"/>
  <c r="AF113" i="143"/>
  <c r="AF401" i="143" s="1"/>
  <c r="AC113" i="143"/>
  <c r="Y113" i="143"/>
  <c r="AF388" i="143"/>
  <c r="F16" i="143"/>
  <c r="P405" i="143"/>
  <c r="P426" i="143"/>
  <c r="T341" i="143"/>
  <c r="K341" i="143"/>
  <c r="AE341" i="143"/>
  <c r="Y341" i="143"/>
  <c r="L341" i="143"/>
  <c r="AG341" i="143"/>
  <c r="W341" i="143"/>
  <c r="W6" i="143"/>
  <c r="D20" i="146"/>
  <c r="AE188" i="143"/>
  <c r="AE7" i="143" s="1"/>
  <c r="V188" i="143"/>
  <c r="T188" i="143"/>
  <c r="T7" i="143" s="1"/>
  <c r="AD188" i="143"/>
  <c r="U188" i="143"/>
  <c r="L188" i="143"/>
  <c r="AB188" i="143"/>
  <c r="J188" i="143"/>
  <c r="K188" i="143"/>
  <c r="AO374" i="143"/>
  <c r="F375" i="143"/>
  <c r="F374" i="143"/>
  <c r="AE366" i="143"/>
  <c r="F377" i="143"/>
  <c r="AO377" i="143"/>
  <c r="O366" i="143"/>
  <c r="AO379" i="143"/>
  <c r="AO369" i="143"/>
  <c r="F372" i="143"/>
  <c r="F371" i="143"/>
  <c r="AF366" i="143"/>
  <c r="AO376" i="143"/>
  <c r="AO371" i="143"/>
  <c r="D4" i="145"/>
  <c r="D20" i="145"/>
  <c r="I20" i="165"/>
  <c r="M19" i="165"/>
  <c r="G20" i="165"/>
  <c r="L10" i="165"/>
  <c r="H20" i="165"/>
  <c r="F10" i="165"/>
  <c r="F20" i="165"/>
  <c r="B4" i="165"/>
  <c r="P13" i="165"/>
  <c r="Q12" i="165"/>
  <c r="N10" i="165"/>
  <c r="C10" i="165"/>
  <c r="O13" i="165"/>
  <c r="O10" i="165" s="1"/>
  <c r="P12" i="165"/>
  <c r="B18" i="135"/>
  <c r="K18" i="145" s="1"/>
  <c r="T365" i="143"/>
  <c r="AA7" i="143"/>
  <c r="P10" i="165"/>
  <c r="AF219" i="143"/>
  <c r="H219" i="143"/>
  <c r="H415" i="143"/>
  <c r="P219" i="143"/>
  <c r="AF59" i="143"/>
  <c r="H404" i="143"/>
  <c r="AO370" i="143"/>
  <c r="AI72" i="147"/>
  <c r="H281" i="122"/>
  <c r="E68" i="119"/>
  <c r="K10" i="114"/>
  <c r="C20" i="114"/>
  <c r="E228" i="122"/>
  <c r="AI228" i="122" s="1"/>
  <c r="P222" i="122"/>
  <c r="E213" i="122"/>
  <c r="AI213" i="122"/>
  <c r="AF201" i="122"/>
  <c r="P336" i="122"/>
  <c r="P319" i="122"/>
  <c r="E338" i="122"/>
  <c r="AI323" i="122"/>
  <c r="E263" i="122"/>
  <c r="AI263" i="122"/>
  <c r="H252" i="122"/>
  <c r="C21" i="133"/>
  <c r="K20" i="133"/>
  <c r="AI238" i="119"/>
  <c r="AI123" i="119"/>
  <c r="H313" i="147"/>
  <c r="E216" i="142"/>
  <c r="AI216" i="142"/>
  <c r="AI217" i="142"/>
  <c r="AE5" i="142"/>
  <c r="AE373" i="142"/>
  <c r="F120" i="119"/>
  <c r="V5" i="119"/>
  <c r="V6" i="119"/>
  <c r="AI226" i="142"/>
  <c r="AI317" i="142"/>
  <c r="T6" i="142"/>
  <c r="AJ45" i="119"/>
  <c r="AI45" i="119"/>
  <c r="AI375" i="119"/>
  <c r="P310" i="122"/>
  <c r="P281" i="122"/>
  <c r="H121" i="119"/>
  <c r="P121" i="119"/>
  <c r="AI44" i="119"/>
  <c r="X374" i="147"/>
  <c r="AI303" i="119"/>
  <c r="AF425" i="143"/>
  <c r="AF341" i="143"/>
  <c r="AI55" i="119"/>
  <c r="AI347" i="142"/>
  <c r="AI290" i="122"/>
  <c r="E33" i="115"/>
  <c r="E23" i="101"/>
  <c r="F23" i="101" s="1"/>
  <c r="AJ41" i="119"/>
  <c r="AI41" i="119"/>
  <c r="P379" i="119"/>
  <c r="P378" i="119" s="1"/>
  <c r="H379" i="119"/>
  <c r="J15" i="114"/>
  <c r="B10" i="114"/>
  <c r="E398" i="119"/>
  <c r="H397" i="119"/>
  <c r="P343" i="119"/>
  <c r="E344" i="119"/>
  <c r="AI344" i="119" s="1"/>
  <c r="AF343" i="119"/>
  <c r="E261" i="119"/>
  <c r="E239" i="119"/>
  <c r="AI239" i="119" s="1"/>
  <c r="AF235" i="119"/>
  <c r="E201" i="119"/>
  <c r="E165" i="119"/>
  <c r="E153" i="119"/>
  <c r="E102" i="119"/>
  <c r="AI102" i="119"/>
  <c r="E83" i="119"/>
  <c r="AI83" i="119" s="1"/>
  <c r="AF67" i="119"/>
  <c r="AJ51" i="119"/>
  <c r="AI51" i="119"/>
  <c r="AJ40" i="119"/>
  <c r="AI40" i="119"/>
  <c r="U5" i="119"/>
  <c r="U6" i="119"/>
  <c r="C23" i="140"/>
  <c r="B29" i="101"/>
  <c r="H29" i="101"/>
  <c r="AC319" i="122"/>
  <c r="AI42" i="119"/>
  <c r="H77" i="119"/>
  <c r="AI54" i="119"/>
  <c r="B4" i="114"/>
  <c r="C20" i="116"/>
  <c r="C21" i="116" s="1"/>
  <c r="E348" i="119"/>
  <c r="AI348" i="119" s="1"/>
  <c r="AF259" i="119"/>
  <c r="AA5" i="119"/>
  <c r="AA6" i="119" s="1"/>
  <c r="AF222" i="122"/>
  <c r="B25" i="101"/>
  <c r="H25" i="101"/>
  <c r="B35" i="115"/>
  <c r="AF362" i="119"/>
  <c r="AF195" i="119"/>
  <c r="AF194" i="119"/>
  <c r="E300" i="122"/>
  <c r="H297" i="122"/>
  <c r="X165" i="122"/>
  <c r="M165" i="122"/>
  <c r="H195" i="119"/>
  <c r="K4" i="114"/>
  <c r="D20" i="114"/>
  <c r="K20" i="114" s="1"/>
  <c r="E355" i="119"/>
  <c r="O5" i="119"/>
  <c r="O6" i="119" s="1"/>
  <c r="M7" i="119"/>
  <c r="M5" i="119" s="1"/>
  <c r="M6" i="119" s="1"/>
  <c r="AD7" i="119"/>
  <c r="AD5" i="119" s="1"/>
  <c r="AD6" i="119" s="1"/>
  <c r="E19" i="140"/>
  <c r="I19" i="140" s="1"/>
  <c r="J14" i="102"/>
  <c r="B10" i="102"/>
  <c r="B20" i="102" s="1"/>
  <c r="E382" i="119"/>
  <c r="AI382" i="119"/>
  <c r="E74" i="119"/>
  <c r="AI74" i="119" s="1"/>
  <c r="AJ46" i="119"/>
  <c r="AI46" i="119"/>
  <c r="X5" i="119"/>
  <c r="X6" i="119" s="1"/>
  <c r="L7" i="119"/>
  <c r="L5" i="119"/>
  <c r="L6" i="119"/>
  <c r="AC5" i="119"/>
  <c r="AC6" i="119" s="1"/>
  <c r="O281" i="122"/>
  <c r="H99" i="122"/>
  <c r="W6" i="142"/>
  <c r="W373" i="142" s="1"/>
  <c r="J6" i="142"/>
  <c r="AI377" i="119"/>
  <c r="H362" i="119"/>
  <c r="AF327" i="119"/>
  <c r="AF326" i="119" s="1"/>
  <c r="E163" i="119"/>
  <c r="AI163" i="119" s="1"/>
  <c r="P195" i="119"/>
  <c r="P194" i="119" s="1"/>
  <c r="E6" i="140"/>
  <c r="AI36" i="119"/>
  <c r="B34" i="115"/>
  <c r="E395" i="119"/>
  <c r="E166" i="119"/>
  <c r="AI166" i="119"/>
  <c r="AF164" i="119"/>
  <c r="H154" i="119"/>
  <c r="P117" i="119"/>
  <c r="P112" i="119" s="1"/>
  <c r="E116" i="119"/>
  <c r="E114" i="119" s="1"/>
  <c r="AI114" i="119" s="1"/>
  <c r="H114" i="119"/>
  <c r="H112" i="119" s="1"/>
  <c r="E73" i="119"/>
  <c r="AI73" i="119"/>
  <c r="AF165" i="122"/>
  <c r="E309" i="119"/>
  <c r="B10" i="116"/>
  <c r="J11" i="116"/>
  <c r="E358" i="119"/>
  <c r="E357" i="119" s="1"/>
  <c r="P280" i="119"/>
  <c r="P183" i="119"/>
  <c r="P178" i="119" s="1"/>
  <c r="H8" i="119"/>
  <c r="H7" i="119"/>
  <c r="E10" i="119"/>
  <c r="E8" i="119" s="1"/>
  <c r="H133" i="122"/>
  <c r="E135" i="122"/>
  <c r="AI135" i="122" s="1"/>
  <c r="H343" i="119"/>
  <c r="H235" i="119"/>
  <c r="H20" i="116"/>
  <c r="E399" i="119"/>
  <c r="AI399" i="119" s="1"/>
  <c r="E307" i="119"/>
  <c r="AI307" i="119" s="1"/>
  <c r="AJ60" i="119"/>
  <c r="AI60" i="119"/>
  <c r="AJ56" i="119"/>
  <c r="AI56" i="119"/>
  <c r="AJ37" i="119"/>
  <c r="AI37" i="119"/>
  <c r="P312" i="142"/>
  <c r="AJ52" i="119"/>
  <c r="AI52" i="119"/>
  <c r="J8" i="102"/>
  <c r="J8" i="114"/>
  <c r="H20" i="114"/>
  <c r="AF397" i="119"/>
  <c r="E341" i="119"/>
  <c r="AI341" i="119"/>
  <c r="H230" i="119"/>
  <c r="E173" i="119"/>
  <c r="AI173" i="119"/>
  <c r="AJ48" i="119"/>
  <c r="AI48" i="119"/>
  <c r="S7" i="119"/>
  <c r="S5" i="119" s="1"/>
  <c r="S6" i="119" s="1"/>
  <c r="AI245" i="122"/>
  <c r="H274" i="119"/>
  <c r="H259" i="119"/>
  <c r="H106" i="119"/>
  <c r="E10" i="124"/>
  <c r="J19" i="103"/>
  <c r="J13" i="103"/>
  <c r="E340" i="122"/>
  <c r="AI340" i="122" s="1"/>
  <c r="E295" i="122"/>
  <c r="AI295" i="122" s="1"/>
  <c r="E280" i="122"/>
  <c r="AI280" i="122" s="1"/>
  <c r="E271" i="122"/>
  <c r="AI271" i="122" s="1"/>
  <c r="E249" i="122"/>
  <c r="AI249" i="122"/>
  <c r="E154" i="122"/>
  <c r="E146" i="122"/>
  <c r="AI146" i="122"/>
  <c r="E22" i="101"/>
  <c r="F22" i="101" s="1"/>
  <c r="S200" i="122"/>
  <c r="J17" i="102"/>
  <c r="G17" i="140"/>
  <c r="AA281" i="122"/>
  <c r="G281" i="122"/>
  <c r="AD200" i="122"/>
  <c r="AF196" i="122"/>
  <c r="E185" i="122"/>
  <c r="AI185" i="122"/>
  <c r="Q165" i="122"/>
  <c r="Q5" i="122" s="1"/>
  <c r="Q6" i="122" s="1"/>
  <c r="P152" i="122"/>
  <c r="P150" i="122" s="1"/>
  <c r="P8" i="124"/>
  <c r="P5" i="124" s="1"/>
  <c r="AA7" i="122"/>
  <c r="I7" i="119"/>
  <c r="I5" i="119"/>
  <c r="I6" i="119" s="1"/>
  <c r="AJ6" i="119" s="1"/>
  <c r="J17" i="103"/>
  <c r="E330" i="122"/>
  <c r="AI330" i="122"/>
  <c r="E270" i="122"/>
  <c r="E109" i="122"/>
  <c r="B10" i="101"/>
  <c r="E254" i="122"/>
  <c r="E217" i="122"/>
  <c r="AI217" i="122" s="1"/>
  <c r="E176" i="122"/>
  <c r="AI176" i="122"/>
  <c r="AH165" i="122"/>
  <c r="L165" i="122"/>
  <c r="V107" i="122"/>
  <c r="V5" i="122" s="1"/>
  <c r="V6" i="122" s="1"/>
  <c r="C22" i="140"/>
  <c r="B28" i="101"/>
  <c r="H28" i="101" s="1"/>
  <c r="E247" i="122"/>
  <c r="AI247" i="122"/>
  <c r="E231" i="122"/>
  <c r="AI231" i="122"/>
  <c r="K165" i="122"/>
  <c r="K5" i="122" s="1"/>
  <c r="K6" i="122" s="1"/>
  <c r="E7" i="124"/>
  <c r="X200" i="122"/>
  <c r="AE165" i="122"/>
  <c r="J165" i="122"/>
  <c r="E137" i="122"/>
  <c r="AI137" i="122" s="1"/>
  <c r="W200" i="122"/>
  <c r="E69" i="122"/>
  <c r="AI69" i="122"/>
  <c r="AI53" i="119"/>
  <c r="AI50" i="119"/>
  <c r="E206" i="122"/>
  <c r="T165" i="122"/>
  <c r="E114" i="122"/>
  <c r="AI114" i="122" s="1"/>
  <c r="AC107" i="122"/>
  <c r="E83" i="122"/>
  <c r="F20" i="103"/>
  <c r="H336" i="122"/>
  <c r="H319" i="122" s="1"/>
  <c r="X281" i="122"/>
  <c r="E209" i="122"/>
  <c r="AI209" i="122" s="1"/>
  <c r="H142" i="122"/>
  <c r="E138" i="122"/>
  <c r="AI138" i="122"/>
  <c r="E130" i="122"/>
  <c r="AI130" i="122"/>
  <c r="L107" i="122"/>
  <c r="E12" i="122"/>
  <c r="AI12" i="122" s="1"/>
  <c r="AA223" i="142"/>
  <c r="P157" i="142"/>
  <c r="P282" i="142"/>
  <c r="H54" i="122"/>
  <c r="AF10" i="122"/>
  <c r="AF7" i="122"/>
  <c r="E58" i="122"/>
  <c r="AI58" i="122"/>
  <c r="E15" i="122"/>
  <c r="AI15" i="122"/>
  <c r="AA103" i="142"/>
  <c r="R111" i="142"/>
  <c r="N186" i="142"/>
  <c r="E275" i="142"/>
  <c r="AI275" i="142" s="1"/>
  <c r="AF133" i="122"/>
  <c r="AF107" i="122" s="1"/>
  <c r="E132" i="122"/>
  <c r="AI132" i="122" s="1"/>
  <c r="E119" i="122"/>
  <c r="AI119" i="122"/>
  <c r="E116" i="122"/>
  <c r="AI116" i="122"/>
  <c r="AB25" i="122"/>
  <c r="AB7" i="122" s="1"/>
  <c r="AB5" i="122"/>
  <c r="AB6" i="122" s="1"/>
  <c r="E11" i="122"/>
  <c r="I60" i="142"/>
  <c r="E271" i="142"/>
  <c r="AI271" i="142" s="1"/>
  <c r="I107" i="122"/>
  <c r="K7" i="122"/>
  <c r="O103" i="142"/>
  <c r="O5" i="142" s="1"/>
  <c r="O373" i="142"/>
  <c r="AF349" i="142"/>
  <c r="E122" i="122"/>
  <c r="AI122" i="122"/>
  <c r="AD99" i="122"/>
  <c r="AD5" i="122"/>
  <c r="AD6" i="122" s="1"/>
  <c r="U53" i="122"/>
  <c r="J7" i="122"/>
  <c r="J5" i="122" s="1"/>
  <c r="J6" i="122" s="1"/>
  <c r="AB348" i="142"/>
  <c r="X186" i="142"/>
  <c r="X6" i="142" s="1"/>
  <c r="F186" i="142"/>
  <c r="E274" i="142"/>
  <c r="AI274" i="142" s="1"/>
  <c r="E88" i="142"/>
  <c r="AI88" i="142" s="1"/>
  <c r="E125" i="122"/>
  <c r="AI125" i="122" s="1"/>
  <c r="AA107" i="122"/>
  <c r="E103" i="122"/>
  <c r="E77" i="122"/>
  <c r="AI77" i="122" s="1"/>
  <c r="E74" i="122"/>
  <c r="AI74" i="122"/>
  <c r="B10" i="132"/>
  <c r="AH111" i="142"/>
  <c r="H349" i="142"/>
  <c r="H348" i="142"/>
  <c r="E350" i="142"/>
  <c r="E164" i="142"/>
  <c r="H157" i="142"/>
  <c r="S99" i="122"/>
  <c r="E62" i="122"/>
  <c r="AI62" i="122"/>
  <c r="X312" i="142"/>
  <c r="V348" i="142"/>
  <c r="J186" i="142"/>
  <c r="E124" i="122"/>
  <c r="AI124" i="122" s="1"/>
  <c r="G99" i="122"/>
  <c r="AI10" i="123"/>
  <c r="L60" i="142"/>
  <c r="E311" i="142"/>
  <c r="AI311" i="142" s="1"/>
  <c r="E144" i="122"/>
  <c r="E51" i="122"/>
  <c r="AG25" i="122"/>
  <c r="AG7" i="122" s="1"/>
  <c r="AG5" i="122" s="1"/>
  <c r="AG6" i="122" s="1"/>
  <c r="E22" i="122"/>
  <c r="AI22" i="122"/>
  <c r="C20" i="132"/>
  <c r="Y186" i="142"/>
  <c r="N223" i="142"/>
  <c r="M107" i="122"/>
  <c r="M5" i="122"/>
  <c r="M6" i="122" s="1"/>
  <c r="E299" i="142"/>
  <c r="AI299" i="142" s="1"/>
  <c r="E57" i="122"/>
  <c r="J25" i="122"/>
  <c r="U7" i="122"/>
  <c r="U5" i="122" s="1"/>
  <c r="U6" i="122"/>
  <c r="V60" i="142"/>
  <c r="K60" i="142"/>
  <c r="H313" i="142"/>
  <c r="H312" i="142"/>
  <c r="E361" i="142"/>
  <c r="AI361" i="142" s="1"/>
  <c r="E358" i="142"/>
  <c r="AI358" i="142"/>
  <c r="E267" i="142"/>
  <c r="H265" i="142"/>
  <c r="H223" i="142" s="1"/>
  <c r="H61" i="142"/>
  <c r="H60" i="142"/>
  <c r="E9" i="142"/>
  <c r="E283" i="142"/>
  <c r="E270" i="142"/>
  <c r="AI270" i="142"/>
  <c r="E154" i="142"/>
  <c r="AI154" i="142" s="1"/>
  <c r="AI60" i="143"/>
  <c r="H187" i="142"/>
  <c r="H186" i="142"/>
  <c r="J223" i="142"/>
  <c r="E293" i="142"/>
  <c r="AI293" i="142"/>
  <c r="P259" i="142"/>
  <c r="E261" i="142"/>
  <c r="E24" i="142"/>
  <c r="AI24" i="142"/>
  <c r="I20" i="134"/>
  <c r="B10" i="134"/>
  <c r="AC6" i="143"/>
  <c r="Z7" i="122"/>
  <c r="Z348" i="142"/>
  <c r="H7" i="142"/>
  <c r="G186" i="142"/>
  <c r="E176" i="142"/>
  <c r="E145" i="142"/>
  <c r="AI145" i="142"/>
  <c r="E104" i="142"/>
  <c r="E57" i="142"/>
  <c r="AI57" i="142" s="1"/>
  <c r="E47" i="142"/>
  <c r="E27" i="142"/>
  <c r="AI27" i="142"/>
  <c r="E152" i="147"/>
  <c r="P148" i="147"/>
  <c r="P112" i="147" s="1"/>
  <c r="K103" i="142"/>
  <c r="E321" i="142"/>
  <c r="AI321" i="142"/>
  <c r="E249" i="142"/>
  <c r="AI249" i="142" s="1"/>
  <c r="E155" i="142"/>
  <c r="AI155" i="142"/>
  <c r="E84" i="142"/>
  <c r="AI84" i="142" s="1"/>
  <c r="E59" i="147"/>
  <c r="P46" i="147"/>
  <c r="Z61" i="147"/>
  <c r="E305" i="142"/>
  <c r="AI305" i="142" s="1"/>
  <c r="E280" i="142"/>
  <c r="AI280" i="142" s="1"/>
  <c r="AF246" i="142"/>
  <c r="E195" i="142"/>
  <c r="AI195" i="142"/>
  <c r="E144" i="142"/>
  <c r="AI144" i="142" s="1"/>
  <c r="E75" i="142"/>
  <c r="AI75" i="142" s="1"/>
  <c r="E41" i="142"/>
  <c r="AI41" i="142" s="1"/>
  <c r="E364" i="142"/>
  <c r="AI364" i="142"/>
  <c r="E263" i="142"/>
  <c r="E211" i="142"/>
  <c r="AI211" i="142" s="1"/>
  <c r="E185" i="142"/>
  <c r="AI185" i="142"/>
  <c r="E151" i="142"/>
  <c r="AI151" i="142" s="1"/>
  <c r="P147" i="142"/>
  <c r="P111" i="142" s="1"/>
  <c r="E94" i="142"/>
  <c r="AI94" i="142" s="1"/>
  <c r="E33" i="142"/>
  <c r="AI33" i="142"/>
  <c r="F20" i="134"/>
  <c r="AA60" i="142"/>
  <c r="E338" i="142"/>
  <c r="AI338" i="142"/>
  <c r="E268" i="142"/>
  <c r="AI268" i="142" s="1"/>
  <c r="P216" i="142"/>
  <c r="E168" i="142"/>
  <c r="AI168" i="142" s="1"/>
  <c r="E148" i="142"/>
  <c r="E135" i="142"/>
  <c r="AI135" i="142" s="1"/>
  <c r="E125" i="142"/>
  <c r="AI125" i="142"/>
  <c r="E118" i="142"/>
  <c r="E91" i="142"/>
  <c r="AI91" i="142"/>
  <c r="E85" i="142"/>
  <c r="AI85" i="142"/>
  <c r="E66" i="142"/>
  <c r="AI66" i="142" s="1"/>
  <c r="J10" i="134"/>
  <c r="E43" i="147"/>
  <c r="AI43" i="147" s="1"/>
  <c r="E63" i="147"/>
  <c r="P139" i="147"/>
  <c r="AF158" i="147"/>
  <c r="E192" i="147"/>
  <c r="E212" i="147"/>
  <c r="AI212" i="147" s="1"/>
  <c r="E289" i="147"/>
  <c r="AI289" i="147" s="1"/>
  <c r="E40" i="147"/>
  <c r="AI40" i="147" s="1"/>
  <c r="E80" i="147"/>
  <c r="AI80" i="147"/>
  <c r="E141" i="147"/>
  <c r="AH187" i="147"/>
  <c r="E153" i="147"/>
  <c r="AI153" i="147"/>
  <c r="E176" i="147"/>
  <c r="E186" i="147"/>
  <c r="AI186" i="147" s="1"/>
  <c r="H366" i="147"/>
  <c r="H349" i="147" s="1"/>
  <c r="E142" i="142"/>
  <c r="I20" i="135"/>
  <c r="AB341" i="143"/>
  <c r="H20" i="146"/>
  <c r="H22" i="165"/>
  <c r="E41" i="147"/>
  <c r="AI41" i="147"/>
  <c r="AF46" i="147"/>
  <c r="AF97" i="147"/>
  <c r="E218" i="147"/>
  <c r="E217" i="147" s="1"/>
  <c r="J103" i="142"/>
  <c r="J5" i="142"/>
  <c r="E367" i="142"/>
  <c r="E365" i="142" s="1"/>
  <c r="AI365" i="142" s="1"/>
  <c r="E289" i="142"/>
  <c r="AI289" i="142" s="1"/>
  <c r="E281" i="142"/>
  <c r="AI281" i="142"/>
  <c r="E241" i="142"/>
  <c r="AI241" i="142" s="1"/>
  <c r="E205" i="142"/>
  <c r="AI205" i="142" s="1"/>
  <c r="AF174" i="142"/>
  <c r="AF172" i="142"/>
  <c r="E18" i="142"/>
  <c r="AD219" i="143"/>
  <c r="AD7" i="143"/>
  <c r="G113" i="143"/>
  <c r="E25" i="147"/>
  <c r="AI25" i="147"/>
  <c r="E34" i="147"/>
  <c r="AI34" i="147" s="1"/>
  <c r="E154" i="147"/>
  <c r="AI154" i="147" s="1"/>
  <c r="E143" i="147"/>
  <c r="AI143" i="147"/>
  <c r="E354" i="147"/>
  <c r="U61" i="147"/>
  <c r="AF71" i="147"/>
  <c r="AF61" i="147" s="1"/>
  <c r="AA112" i="147"/>
  <c r="AF5" i="148"/>
  <c r="Z6" i="143"/>
  <c r="Z365" i="143"/>
  <c r="E99" i="142"/>
  <c r="X341" i="143"/>
  <c r="AI266" i="143"/>
  <c r="AH61" i="147"/>
  <c r="AH6" i="147" s="1"/>
  <c r="L61" i="147"/>
  <c r="AE104" i="147"/>
  <c r="K112" i="147"/>
  <c r="K7" i="147"/>
  <c r="P158" i="147"/>
  <c r="Y224" i="147"/>
  <c r="AF350" i="147"/>
  <c r="AF349" i="147" s="1"/>
  <c r="E334" i="147"/>
  <c r="V349" i="147"/>
  <c r="L349" i="147"/>
  <c r="E99" i="147"/>
  <c r="E102" i="147"/>
  <c r="AI102" i="147"/>
  <c r="L104" i="147"/>
  <c r="L6" i="147" s="1"/>
  <c r="AG112" i="147"/>
  <c r="E190" i="147"/>
  <c r="E193" i="147"/>
  <c r="AI193" i="147"/>
  <c r="E199" i="147"/>
  <c r="AI199" i="147"/>
  <c r="E277" i="147"/>
  <c r="E284" i="147"/>
  <c r="E357" i="147"/>
  <c r="AI357" i="147"/>
  <c r="E307" i="142"/>
  <c r="AI307" i="142"/>
  <c r="E227" i="142"/>
  <c r="AI227" i="142" s="1"/>
  <c r="E153" i="142"/>
  <c r="AI153" i="142" s="1"/>
  <c r="Y61" i="147"/>
  <c r="E160" i="147"/>
  <c r="AF225" i="147"/>
  <c r="E311" i="147"/>
  <c r="AI311" i="147"/>
  <c r="I313" i="147"/>
  <c r="E15" i="148"/>
  <c r="AI15" i="148" s="1"/>
  <c r="E40" i="142"/>
  <c r="AI40" i="142" s="1"/>
  <c r="AA61" i="147"/>
  <c r="E73" i="147"/>
  <c r="AI73" i="147"/>
  <c r="E94" i="147"/>
  <c r="E105" i="147"/>
  <c r="AI105" i="147" s="1"/>
  <c r="E108" i="147"/>
  <c r="E106" i="147" s="1"/>
  <c r="AI108" i="147"/>
  <c r="E183" i="147"/>
  <c r="AI183" i="147"/>
  <c r="P220" i="147"/>
  <c r="Z224" i="147"/>
  <c r="E252" i="147"/>
  <c r="AI252" i="147"/>
  <c r="AF260" i="147"/>
  <c r="E309" i="147"/>
  <c r="AI309" i="147"/>
  <c r="E358" i="147"/>
  <c r="AI358" i="147" s="1"/>
  <c r="AF8" i="148"/>
  <c r="E20" i="145"/>
  <c r="O112" i="147"/>
  <c r="O7" i="147" s="1"/>
  <c r="I187" i="147"/>
  <c r="E203" i="147"/>
  <c r="AI203" i="147" s="1"/>
  <c r="G224" i="147"/>
  <c r="G7" i="147"/>
  <c r="AC224" i="147"/>
  <c r="E303" i="147"/>
  <c r="AI303" i="147" s="1"/>
  <c r="V313" i="147"/>
  <c r="E317" i="147"/>
  <c r="AI317" i="147"/>
  <c r="E339" i="147"/>
  <c r="AI339" i="147"/>
  <c r="E243" i="142"/>
  <c r="AI243" i="142"/>
  <c r="E80" i="142"/>
  <c r="AI80" i="142" s="1"/>
  <c r="R341" i="143"/>
  <c r="R7" i="143" s="1"/>
  <c r="E124" i="147"/>
  <c r="E142" i="147"/>
  <c r="AI142" i="147" s="1"/>
  <c r="U187" i="147"/>
  <c r="AE187" i="147"/>
  <c r="E209" i="147"/>
  <c r="AI209" i="147" s="1"/>
  <c r="P217" i="147"/>
  <c r="P187" i="147" s="1"/>
  <c r="T224" i="147"/>
  <c r="E246" i="147"/>
  <c r="AI246" i="147" s="1"/>
  <c r="P345" i="147"/>
  <c r="E368" i="147"/>
  <c r="E366" i="147" s="1"/>
  <c r="E13" i="148"/>
  <c r="AI13" i="148"/>
  <c r="E365" i="147"/>
  <c r="AI365" i="147"/>
  <c r="E87" i="142"/>
  <c r="AI87" i="142" s="1"/>
  <c r="E76" i="142"/>
  <c r="AI76" i="142"/>
  <c r="AI44" i="143"/>
  <c r="E128" i="147"/>
  <c r="AI128" i="147"/>
  <c r="E146" i="147"/>
  <c r="AI146" i="147"/>
  <c r="E162" i="147"/>
  <c r="AI162" i="147" s="1"/>
  <c r="E321" i="147"/>
  <c r="AI321" i="147"/>
  <c r="E340" i="147"/>
  <c r="AI340" i="147" s="1"/>
  <c r="AG59" i="143"/>
  <c r="AG6" i="143" s="1"/>
  <c r="E107" i="147"/>
  <c r="AI107" i="147" s="1"/>
  <c r="E245" i="147"/>
  <c r="AI245" i="147" s="1"/>
  <c r="E248" i="147"/>
  <c r="E229" i="147"/>
  <c r="AI229" i="147"/>
  <c r="AI98" i="143"/>
  <c r="R224" i="147"/>
  <c r="E369" i="147"/>
  <c r="AI369" i="147"/>
  <c r="AN6" i="154"/>
  <c r="I224" i="147"/>
  <c r="E286" i="147"/>
  <c r="AI286" i="147" s="1"/>
  <c r="E344" i="147"/>
  <c r="AI344" i="147" s="1"/>
  <c r="P160" i="143"/>
  <c r="P404" i="143"/>
  <c r="AO83" i="153"/>
  <c r="AO8" i="153"/>
  <c r="K6" i="153"/>
  <c r="AF3" i="143"/>
  <c r="AF387" i="143"/>
  <c r="AO14" i="153"/>
  <c r="AG5" i="153"/>
  <c r="AO6" i="154"/>
  <c r="AM50" i="153"/>
  <c r="AJ5" i="154"/>
  <c r="AN8" i="154"/>
  <c r="AO30" i="153"/>
  <c r="H121" i="153"/>
  <c r="W5" i="153"/>
  <c r="K113" i="154"/>
  <c r="AO100" i="154"/>
  <c r="H20" i="143"/>
  <c r="H41" i="143"/>
  <c r="E41" i="143" s="1"/>
  <c r="AI41" i="143" s="1"/>
  <c r="AL29" i="154"/>
  <c r="H8" i="153"/>
  <c r="H6" i="153" s="1"/>
  <c r="AL11" i="153"/>
  <c r="S116" i="153"/>
  <c r="T29" i="153"/>
  <c r="AO16" i="154"/>
  <c r="K15" i="154"/>
  <c r="AO15" i="154" s="1"/>
  <c r="S94" i="154"/>
  <c r="AN94" i="154"/>
  <c r="AN96" i="154"/>
  <c r="AI256" i="143"/>
  <c r="AO256" i="143"/>
  <c r="Z5" i="154"/>
  <c r="AL84" i="154"/>
  <c r="AL24" i="153"/>
  <c r="K121" i="153"/>
  <c r="N5" i="153"/>
  <c r="AO10" i="153"/>
  <c r="AO19" i="153"/>
  <c r="M29" i="153"/>
  <c r="M5" i="153" s="1"/>
  <c r="M50" i="153"/>
  <c r="K51" i="153"/>
  <c r="J51" i="153" s="1"/>
  <c r="AI55" i="153"/>
  <c r="AI50" i="153" s="1"/>
  <c r="V83" i="154"/>
  <c r="E359" i="143"/>
  <c r="AI359" i="143" s="1"/>
  <c r="AI109" i="143"/>
  <c r="AM298" i="143"/>
  <c r="E298" i="143"/>
  <c r="AO8" i="154"/>
  <c r="AL22" i="153"/>
  <c r="AN63" i="153"/>
  <c r="I29" i="153"/>
  <c r="I5" i="153" s="1"/>
  <c r="S114" i="153"/>
  <c r="AM51" i="153"/>
  <c r="AI125" i="153"/>
  <c r="S15" i="154"/>
  <c r="AN15" i="154" s="1"/>
  <c r="S55" i="153"/>
  <c r="AN55" i="153" s="1"/>
  <c r="AL16" i="154"/>
  <c r="AN8" i="153"/>
  <c r="S18" i="153"/>
  <c r="S14" i="153" s="1"/>
  <c r="AN90" i="153"/>
  <c r="AO84" i="153"/>
  <c r="K120" i="153"/>
  <c r="K111" i="153"/>
  <c r="AO58" i="153"/>
  <c r="P62" i="153"/>
  <c r="AK62" i="153"/>
  <c r="AN86" i="153"/>
  <c r="Q5" i="154"/>
  <c r="AH62" i="154"/>
  <c r="E18" i="143"/>
  <c r="O5" i="153"/>
  <c r="S131" i="153"/>
  <c r="AL131" i="153" s="1"/>
  <c r="S98" i="153"/>
  <c r="AN98" i="153" s="1"/>
  <c r="AN99" i="153"/>
  <c r="S116" i="154"/>
  <c r="AN19" i="154"/>
  <c r="E283" i="143"/>
  <c r="AI283" i="143" s="1"/>
  <c r="AL283" i="143"/>
  <c r="S111" i="154"/>
  <c r="S125" i="153"/>
  <c r="H8" i="154"/>
  <c r="AL8" i="154" s="1"/>
  <c r="AI116" i="154"/>
  <c r="H114" i="154"/>
  <c r="AO38" i="154"/>
  <c r="AM62" i="154"/>
  <c r="P41" i="143"/>
  <c r="E181" i="143"/>
  <c r="AI181" i="143" s="1"/>
  <c r="AF178" i="143"/>
  <c r="AI240" i="143"/>
  <c r="AM240" i="143"/>
  <c r="J84" i="153"/>
  <c r="AL84" i="153" s="1"/>
  <c r="H27" i="153"/>
  <c r="AL19" i="154"/>
  <c r="AB50" i="154"/>
  <c r="AB5" i="154"/>
  <c r="Y14" i="153"/>
  <c r="Y5" i="153" s="1"/>
  <c r="P29" i="153"/>
  <c r="Z50" i="153"/>
  <c r="Z5" i="153"/>
  <c r="AN52" i="153"/>
  <c r="AM58" i="153"/>
  <c r="AL58" i="153"/>
  <c r="AL123" i="153"/>
  <c r="AI289" i="143"/>
  <c r="AO289" i="143"/>
  <c r="AN84" i="153"/>
  <c r="S29" i="153"/>
  <c r="AN63" i="154"/>
  <c r="AI114" i="153"/>
  <c r="AO7" i="153"/>
  <c r="AN45" i="153"/>
  <c r="AA50" i="153"/>
  <c r="AA5" i="153" s="1"/>
  <c r="K77" i="153"/>
  <c r="AO77" i="153"/>
  <c r="AO80" i="153"/>
  <c r="J80" i="153"/>
  <c r="AJ83" i="153"/>
  <c r="AJ5" i="153"/>
  <c r="K27" i="153"/>
  <c r="AO27" i="153" s="1"/>
  <c r="AL56" i="153"/>
  <c r="AO63" i="153"/>
  <c r="K62" i="153"/>
  <c r="AO62" i="153" s="1"/>
  <c r="AN80" i="153"/>
  <c r="S77" i="153"/>
  <c r="S126" i="153"/>
  <c r="AK83" i="153"/>
  <c r="AA29" i="154"/>
  <c r="AA5" i="154" s="1"/>
  <c r="AO52" i="154"/>
  <c r="P83" i="154"/>
  <c r="P5" i="154" s="1"/>
  <c r="AB83" i="154"/>
  <c r="E347" i="143"/>
  <c r="AI347" i="143" s="1"/>
  <c r="AI27" i="143"/>
  <c r="AI127" i="143"/>
  <c r="AM228" i="143"/>
  <c r="AI228" i="143"/>
  <c r="AO15" i="153"/>
  <c r="AI18" i="154"/>
  <c r="AL18" i="154" s="1"/>
  <c r="H55" i="154"/>
  <c r="H50" i="154"/>
  <c r="H15" i="153"/>
  <c r="AL30" i="153"/>
  <c r="AL45" i="153"/>
  <c r="AL57" i="153"/>
  <c r="R114" i="153"/>
  <c r="V5" i="154"/>
  <c r="AL22" i="154"/>
  <c r="AO96" i="154"/>
  <c r="AL100" i="154"/>
  <c r="E108" i="143"/>
  <c r="E107" i="143" s="1"/>
  <c r="E105" i="143" s="1"/>
  <c r="F108" i="143"/>
  <c r="E343" i="143"/>
  <c r="AI343" i="143" s="1"/>
  <c r="P107" i="143"/>
  <c r="AI120" i="143"/>
  <c r="AI138" i="143"/>
  <c r="E156" i="143"/>
  <c r="AI156" i="143"/>
  <c r="AJ221" i="143"/>
  <c r="AO221" i="143" s="1"/>
  <c r="AI227" i="143"/>
  <c r="E244" i="143"/>
  <c r="AO244" i="143"/>
  <c r="AI244" i="143"/>
  <c r="AO268" i="143"/>
  <c r="AI89" i="143"/>
  <c r="E111" i="143"/>
  <c r="AI124" i="143"/>
  <c r="AI142" i="143"/>
  <c r="E182" i="143"/>
  <c r="AI182" i="143" s="1"/>
  <c r="E303" i="143"/>
  <c r="AI221" i="143"/>
  <c r="AI224" i="143"/>
  <c r="AO225" i="143"/>
  <c r="AN231" i="143"/>
  <c r="AI231" i="143"/>
  <c r="AL289" i="143"/>
  <c r="AI295" i="143"/>
  <c r="AO295" i="143"/>
  <c r="AM300" i="143"/>
  <c r="E300" i="143"/>
  <c r="M7" i="165"/>
  <c r="AO302" i="143"/>
  <c r="E358" i="143"/>
  <c r="AI37" i="143"/>
  <c r="E10" i="143"/>
  <c r="AI121" i="143"/>
  <c r="AI139" i="143"/>
  <c r="AO224" i="143"/>
  <c r="AI226" i="143"/>
  <c r="AL249" i="143"/>
  <c r="F249" i="143"/>
  <c r="E258" i="143"/>
  <c r="AL258" i="143"/>
  <c r="E322" i="143"/>
  <c r="AI322" i="143"/>
  <c r="E349" i="143"/>
  <c r="AI349" i="143"/>
  <c r="E39" i="143"/>
  <c r="AI39" i="143" s="1"/>
  <c r="AI132" i="143"/>
  <c r="E183" i="143"/>
  <c r="AI183" i="143" s="1"/>
  <c r="AN244" i="143"/>
  <c r="H210" i="143"/>
  <c r="AI54" i="143"/>
  <c r="E109" i="143"/>
  <c r="AI118" i="143"/>
  <c r="AI136" i="143"/>
  <c r="E154" i="143"/>
  <c r="AI154" i="143" s="1"/>
  <c r="AM224" i="143"/>
  <c r="AI229" i="143"/>
  <c r="AO230" i="143"/>
  <c r="AI235" i="143"/>
  <c r="AI238" i="143"/>
  <c r="AO247" i="143"/>
  <c r="AI253" i="143"/>
  <c r="AO274" i="143"/>
  <c r="E307" i="143"/>
  <c r="E321" i="143"/>
  <c r="AI321" i="143" s="1"/>
  <c r="P211" i="143"/>
  <c r="P373" i="143" s="1"/>
  <c r="Q210" i="143"/>
  <c r="Q188" i="143"/>
  <c r="Q6" i="143"/>
  <c r="T55" i="153"/>
  <c r="T50" i="153" s="1"/>
  <c r="T5" i="153" s="1"/>
  <c r="AM95" i="154"/>
  <c r="P40" i="143"/>
  <c r="E162" i="143"/>
  <c r="AI162" i="143"/>
  <c r="E286" i="143"/>
  <c r="AO286" i="143" s="1"/>
  <c r="AI286" i="143"/>
  <c r="AL286" i="143"/>
  <c r="AI83" i="153"/>
  <c r="AM83" i="153" s="1"/>
  <c r="K94" i="154"/>
  <c r="AO94" i="154" s="1"/>
  <c r="E173" i="143"/>
  <c r="AI57" i="143"/>
  <c r="E35" i="143"/>
  <c r="AI35" i="143"/>
  <c r="AI115" i="143"/>
  <c r="AI133" i="143"/>
  <c r="E145" i="143"/>
  <c r="E158" i="143"/>
  <c r="AI158" i="143" s="1"/>
  <c r="E218" i="143"/>
  <c r="AN223" i="143"/>
  <c r="AI223" i="143"/>
  <c r="AI232" i="143"/>
  <c r="E296" i="143"/>
  <c r="AI81" i="143"/>
  <c r="E14" i="143"/>
  <c r="AI14" i="143" s="1"/>
  <c r="AI126" i="143"/>
  <c r="E184" i="143"/>
  <c r="AI184" i="143"/>
  <c r="E187" i="143"/>
  <c r="AI187" i="143" s="1"/>
  <c r="F248" i="143"/>
  <c r="F242" i="143" s="1"/>
  <c r="AI250" i="143"/>
  <c r="AI52" i="143"/>
  <c r="E30" i="143"/>
  <c r="P43" i="143"/>
  <c r="P389" i="143" s="1"/>
  <c r="E155" i="143"/>
  <c r="AI155" i="143" s="1"/>
  <c r="AO232" i="143"/>
  <c r="AI90" i="143"/>
  <c r="E214" i="143"/>
  <c r="AI214" i="143" s="1"/>
  <c r="AO250" i="143"/>
  <c r="E282" i="143"/>
  <c r="AO282" i="143" s="1"/>
  <c r="E288" i="143"/>
  <c r="AO288" i="143" s="1"/>
  <c r="E335" i="143"/>
  <c r="AI335" i="143" s="1"/>
  <c r="AI73" i="143"/>
  <c r="E206" i="143"/>
  <c r="AI206" i="143"/>
  <c r="AI239" i="143"/>
  <c r="AO283" i="143"/>
  <c r="E285" i="143"/>
  <c r="AO285" i="143" s="1"/>
  <c r="AI285" i="143"/>
  <c r="E292" i="143"/>
  <c r="AL295" i="143"/>
  <c r="AM297" i="143"/>
  <c r="AI67" i="143"/>
  <c r="E190" i="143"/>
  <c r="E301" i="143"/>
  <c r="AO301" i="143" s="1"/>
  <c r="AI91" i="143"/>
  <c r="E201" i="143"/>
  <c r="AI201" i="143" s="1"/>
  <c r="AF210" i="143"/>
  <c r="AF411" i="143" s="1"/>
  <c r="E291" i="143"/>
  <c r="AI291" i="143" s="1"/>
  <c r="AI94" i="143"/>
  <c r="AI100" i="143"/>
  <c r="E204" i="143"/>
  <c r="AI204" i="143" s="1"/>
  <c r="AI63" i="143"/>
  <c r="E199" i="143"/>
  <c r="AI199" i="143"/>
  <c r="G252" i="143"/>
  <c r="E280" i="143"/>
  <c r="AL280" i="143"/>
  <c r="E339" i="143"/>
  <c r="E208" i="143"/>
  <c r="AI208" i="143"/>
  <c r="J20" i="165"/>
  <c r="J22" i="165" s="1"/>
  <c r="H211" i="143"/>
  <c r="AI160" i="147"/>
  <c r="AI190" i="147"/>
  <c r="AI57" i="122"/>
  <c r="AI83" i="122"/>
  <c r="E374" i="119"/>
  <c r="AI374" i="119" s="1"/>
  <c r="AI303" i="143"/>
  <c r="AO303" i="143"/>
  <c r="AL116" i="154"/>
  <c r="Y7" i="147"/>
  <c r="AI142" i="142"/>
  <c r="E138" i="142"/>
  <c r="AI138" i="142" s="1"/>
  <c r="Z6" i="147"/>
  <c r="AI47" i="142"/>
  <c r="AI9" i="142"/>
  <c r="E7" i="142"/>
  <c r="AC5" i="122"/>
  <c r="AC6" i="122" s="1"/>
  <c r="AI254" i="122"/>
  <c r="AI366" i="147"/>
  <c r="AI218" i="143"/>
  <c r="E215" i="143"/>
  <c r="AI215" i="143"/>
  <c r="S14" i="154"/>
  <c r="AO298" i="143"/>
  <c r="AI298" i="143"/>
  <c r="AI301" i="143"/>
  <c r="K14" i="154"/>
  <c r="AI354" i="147"/>
  <c r="AI148" i="142"/>
  <c r="P1" i="147"/>
  <c r="AI7" i="124"/>
  <c r="AI309" i="119"/>
  <c r="E308" i="119"/>
  <c r="AI308" i="119"/>
  <c r="E397" i="119"/>
  <c r="AI397" i="119" s="1"/>
  <c r="AI398" i="119"/>
  <c r="AI68" i="119"/>
  <c r="E43" i="143"/>
  <c r="AI43" i="143" s="1"/>
  <c r="AI94" i="147"/>
  <c r="AI63" i="147"/>
  <c r="AI59" i="147"/>
  <c r="E103" i="142"/>
  <c r="AI104" i="142"/>
  <c r="AI261" i="142"/>
  <c r="E160" i="143"/>
  <c r="AI160" i="143" s="1"/>
  <c r="AI339" i="143"/>
  <c r="E337" i="143"/>
  <c r="AI337" i="143"/>
  <c r="E372" i="143"/>
  <c r="AI267" i="142"/>
  <c r="AI103" i="122"/>
  <c r="AI206" i="122"/>
  <c r="AI270" i="122"/>
  <c r="J10" i="102"/>
  <c r="AI153" i="119"/>
  <c r="AI338" i="122"/>
  <c r="E336" i="122"/>
  <c r="AI336" i="122" s="1"/>
  <c r="AI99" i="147"/>
  <c r="E252" i="143"/>
  <c r="AI252" i="143" s="1"/>
  <c r="AO252" i="143"/>
  <c r="G242" i="143"/>
  <c r="G219" i="143"/>
  <c r="AI10" i="143"/>
  <c r="E110" i="143"/>
  <c r="AI111" i="143"/>
  <c r="AL114" i="153"/>
  <c r="AA6" i="147"/>
  <c r="AA7" i="147"/>
  <c r="AI218" i="147"/>
  <c r="AI217" i="147"/>
  <c r="AI176" i="142"/>
  <c r="C21" i="132"/>
  <c r="C23" i="132" s="1"/>
  <c r="K20" i="132"/>
  <c r="AI10" i="119"/>
  <c r="F9" i="140"/>
  <c r="F8" i="140"/>
  <c r="E26" i="140"/>
  <c r="F11" i="140"/>
  <c r="F12" i="140"/>
  <c r="F10" i="140"/>
  <c r="AI165" i="119"/>
  <c r="AI288" i="143"/>
  <c r="P399" i="143"/>
  <c r="H6" i="154"/>
  <c r="AM55" i="153"/>
  <c r="G6" i="142"/>
  <c r="AI116" i="119"/>
  <c r="E14" i="140"/>
  <c r="F19" i="140"/>
  <c r="I23" i="140"/>
  <c r="X6" i="143"/>
  <c r="X365" i="143"/>
  <c r="AI145" i="143"/>
  <c r="AI280" i="143"/>
  <c r="AO280" i="143"/>
  <c r="L374" i="147"/>
  <c r="L7" i="147"/>
  <c r="AI282" i="143"/>
  <c r="AI173" i="143"/>
  <c r="AI358" i="143"/>
  <c r="AN18" i="153"/>
  <c r="K114" i="153"/>
  <c r="K125" i="153"/>
  <c r="AO51" i="153"/>
  <c r="AI248" i="147"/>
  <c r="AI141" i="147"/>
  <c r="I22" i="140"/>
  <c r="AI10" i="124"/>
  <c r="K20" i="116"/>
  <c r="E282" i="122"/>
  <c r="E379" i="119"/>
  <c r="K6" i="147"/>
  <c r="K374" i="147" s="1"/>
  <c r="AN77" i="153"/>
  <c r="S62" i="153"/>
  <c r="S97" i="153"/>
  <c r="AI18" i="143"/>
  <c r="AC6" i="147"/>
  <c r="AC374" i="147" s="1"/>
  <c r="AC7" i="147"/>
  <c r="AI284" i="147"/>
  <c r="AI99" i="142"/>
  <c r="E96" i="142"/>
  <c r="AI96" i="142" s="1"/>
  <c r="K5" i="142"/>
  <c r="E50" i="122"/>
  <c r="AI51" i="122"/>
  <c r="AA5" i="122"/>
  <c r="AA6" i="122" s="1"/>
  <c r="B20" i="114"/>
  <c r="J20" i="114"/>
  <c r="J4" i="114"/>
  <c r="J4" i="102"/>
  <c r="AO258" i="143"/>
  <c r="AI258" i="143"/>
  <c r="H80" i="153"/>
  <c r="J77" i="153"/>
  <c r="E371" i="143"/>
  <c r="AI106" i="147"/>
  <c r="AI277" i="147"/>
  <c r="AI18" i="142"/>
  <c r="AI164" i="142"/>
  <c r="AI300" i="122"/>
  <c r="P113" i="143"/>
  <c r="P401" i="143"/>
  <c r="AO291" i="143"/>
  <c r="P210" i="143"/>
  <c r="P188" i="143" s="1"/>
  <c r="E249" i="143"/>
  <c r="AO249" i="143" s="1"/>
  <c r="AI108" i="143"/>
  <c r="F107" i="143"/>
  <c r="E20" i="143"/>
  <c r="AI20" i="143"/>
  <c r="AI334" i="147"/>
  <c r="AI190" i="143"/>
  <c r="H188" i="143"/>
  <c r="H411" i="143"/>
  <c r="AI124" i="147"/>
  <c r="AI350" i="142"/>
  <c r="AI11" i="122"/>
  <c r="AI358" i="119"/>
  <c r="AI357" i="119"/>
  <c r="E248" i="143"/>
  <c r="AO248" i="143" s="1"/>
  <c r="AO292" i="143"/>
  <c r="AI307" i="143"/>
  <c r="E305" i="143"/>
  <c r="E304" i="143" s="1"/>
  <c r="AI304" i="143" s="1"/>
  <c r="E375" i="143"/>
  <c r="AF408" i="143"/>
  <c r="AF175" i="143"/>
  <c r="S50" i="153"/>
  <c r="AN50" i="153" s="1"/>
  <c r="E40" i="143"/>
  <c r="AI40" i="143"/>
  <c r="AI118" i="142"/>
  <c r="E112" i="142"/>
  <c r="AI152" i="147"/>
  <c r="AI283" i="142"/>
  <c r="AI154" i="122"/>
  <c r="AI395" i="119"/>
  <c r="Q7" i="143"/>
  <c r="J62" i="153"/>
  <c r="F105" i="143"/>
  <c r="H126" i="153"/>
  <c r="AL126" i="153" s="1"/>
  <c r="H77" i="153"/>
  <c r="H62" i="153"/>
  <c r="J50" i="153"/>
  <c r="H51" i="153"/>
  <c r="H114" i="153" s="1"/>
  <c r="AL80" i="153"/>
  <c r="AI8" i="119"/>
  <c r="AI249" i="143"/>
  <c r="AI50" i="122"/>
  <c r="AN97" i="153"/>
  <c r="K373" i="142"/>
  <c r="AI379" i="119"/>
  <c r="AI282" i="122"/>
  <c r="F23" i="140"/>
  <c r="F20" i="140"/>
  <c r="F24" i="140"/>
  <c r="F21" i="140"/>
  <c r="F17" i="140"/>
  <c r="F16" i="140"/>
  <c r="AL6" i="154"/>
  <c r="AA374" i="147"/>
  <c r="AN14" i="154"/>
  <c r="P411" i="143"/>
  <c r="F6" i="140"/>
  <c r="AI7" i="142"/>
  <c r="AL77" i="153"/>
  <c r="H125" i="153"/>
  <c r="AL125" i="153" s="1"/>
  <c r="B12" i="135"/>
  <c r="J12" i="135" s="1"/>
  <c r="J16" i="136"/>
  <c r="M18" i="145"/>
  <c r="K13" i="136" l="1"/>
  <c r="B13" i="136"/>
  <c r="J13" i="136" s="1"/>
  <c r="B15" i="135"/>
  <c r="J15" i="135" s="1"/>
  <c r="B19" i="146"/>
  <c r="B11" i="146"/>
  <c r="L11" i="146" s="1"/>
  <c r="B5" i="135"/>
  <c r="K5" i="145" s="1"/>
  <c r="M14" i="145"/>
  <c r="N14" i="145" s="1"/>
  <c r="M5" i="145"/>
  <c r="N5" i="145" s="1"/>
  <c r="N8" i="146"/>
  <c r="O8" i="146"/>
  <c r="M12" i="146"/>
  <c r="N12" i="146" s="1"/>
  <c r="M17" i="165"/>
  <c r="M16" i="146"/>
  <c r="N16" i="146" s="1"/>
  <c r="J20" i="146"/>
  <c r="B7" i="136"/>
  <c r="J7" i="136" s="1"/>
  <c r="M7" i="146"/>
  <c r="N7" i="146" s="1"/>
  <c r="O7" i="145"/>
  <c r="N18" i="145"/>
  <c r="K11" i="135"/>
  <c r="B11" i="135"/>
  <c r="K11" i="145" s="1"/>
  <c r="L11" i="145" s="1"/>
  <c r="O18" i="145"/>
  <c r="L18" i="145"/>
  <c r="O5" i="146"/>
  <c r="B17" i="136"/>
  <c r="J17" i="136" s="1"/>
  <c r="M17" i="146"/>
  <c r="N17" i="146" s="1"/>
  <c r="M15" i="145"/>
  <c r="N15" i="145" s="1"/>
  <c r="N6" i="165"/>
  <c r="O6" i="165" s="1"/>
  <c r="M5" i="146"/>
  <c r="N5" i="146" s="1"/>
  <c r="B16" i="145"/>
  <c r="B5" i="136"/>
  <c r="J5" i="136" s="1"/>
  <c r="N19" i="146"/>
  <c r="M18" i="146"/>
  <c r="N18" i="146" s="1"/>
  <c r="B9" i="136"/>
  <c r="J9" i="136" s="1"/>
  <c r="B19" i="145"/>
  <c r="B15" i="145"/>
  <c r="K9" i="136"/>
  <c r="K5" i="134"/>
  <c r="N5" i="165"/>
  <c r="O5" i="165" s="1"/>
  <c r="B16" i="135"/>
  <c r="K16" i="145" s="1"/>
  <c r="M16" i="145"/>
  <c r="N16" i="145" s="1"/>
  <c r="B5" i="134"/>
  <c r="E35" i="134" s="1"/>
  <c r="B18" i="136"/>
  <c r="J18" i="136" s="1"/>
  <c r="M6" i="145"/>
  <c r="N6" i="145" s="1"/>
  <c r="B13" i="145"/>
  <c r="K6" i="135"/>
  <c r="B12" i="136"/>
  <c r="J12" i="136" s="1"/>
  <c r="N13" i="145"/>
  <c r="O14" i="146"/>
  <c r="B13" i="146"/>
  <c r="B6" i="136"/>
  <c r="J6" i="136" s="1"/>
  <c r="K9" i="135"/>
  <c r="B9" i="135"/>
  <c r="J9" i="135" s="1"/>
  <c r="K11" i="136"/>
  <c r="B19" i="135"/>
  <c r="J19" i="135" s="1"/>
  <c r="M19" i="145"/>
  <c r="N19" i="145" s="1"/>
  <c r="K6" i="136"/>
  <c r="N8" i="145"/>
  <c r="B8" i="145"/>
  <c r="N9" i="146"/>
  <c r="B9" i="146"/>
  <c r="B4" i="146" s="1"/>
  <c r="M11" i="146"/>
  <c r="N11" i="146" s="1"/>
  <c r="B8" i="135"/>
  <c r="K8" i="145" s="1"/>
  <c r="K10" i="165"/>
  <c r="K20" i="165" s="1"/>
  <c r="K21" i="165" s="1"/>
  <c r="K8" i="135"/>
  <c r="J11" i="136"/>
  <c r="L14" i="146"/>
  <c r="K14" i="136"/>
  <c r="M12" i="145"/>
  <c r="N12" i="145" s="1"/>
  <c r="B16" i="146"/>
  <c r="L16" i="146" s="1"/>
  <c r="J14" i="136"/>
  <c r="J18" i="135"/>
  <c r="M14" i="146"/>
  <c r="N14" i="146" s="1"/>
  <c r="K17" i="135"/>
  <c r="M17" i="145"/>
  <c r="N17" i="145" s="1"/>
  <c r="C10" i="136"/>
  <c r="K10" i="136" s="1"/>
  <c r="B19" i="136"/>
  <c r="O6" i="146"/>
  <c r="K19" i="136"/>
  <c r="C4" i="136"/>
  <c r="K8" i="136"/>
  <c r="N6" i="146"/>
  <c r="B8" i="136"/>
  <c r="J8" i="136" s="1"/>
  <c r="K16" i="136"/>
  <c r="K6" i="134"/>
  <c r="B6" i="134"/>
  <c r="B14" i="135"/>
  <c r="C4" i="135"/>
  <c r="K4" i="135" s="1"/>
  <c r="C21" i="165"/>
  <c r="B7" i="135"/>
  <c r="K7" i="145" s="1"/>
  <c r="L7" i="145" s="1"/>
  <c r="M7" i="145"/>
  <c r="N7" i="145" s="1"/>
  <c r="O6" i="145"/>
  <c r="N11" i="145"/>
  <c r="K15" i="136"/>
  <c r="K8" i="134"/>
  <c r="B15" i="136"/>
  <c r="K15" i="146" s="1"/>
  <c r="L15" i="146" s="1"/>
  <c r="C4" i="134"/>
  <c r="C20" i="134" s="1"/>
  <c r="C24" i="134" s="1"/>
  <c r="N8" i="165"/>
  <c r="O8" i="165" s="1"/>
  <c r="C10" i="135"/>
  <c r="K10" i="135" s="1"/>
  <c r="B8" i="134"/>
  <c r="E38" i="134" s="1"/>
  <c r="B13" i="135"/>
  <c r="K13" i="135"/>
  <c r="O11" i="145"/>
  <c r="N13" i="146"/>
  <c r="O14" i="145"/>
  <c r="N15" i="146"/>
  <c r="O15" i="146"/>
  <c r="O17" i="146"/>
  <c r="J6" i="135"/>
  <c r="K6" i="145"/>
  <c r="L6" i="145" s="1"/>
  <c r="K17" i="145"/>
  <c r="K12" i="145"/>
  <c r="L12" i="145" s="1"/>
  <c r="C4" i="145"/>
  <c r="B17" i="145"/>
  <c r="C4" i="146"/>
  <c r="O7" i="146"/>
  <c r="C10" i="145"/>
  <c r="B18" i="146"/>
  <c r="C10" i="146"/>
  <c r="B9" i="145"/>
  <c r="N9" i="145"/>
  <c r="F219" i="143"/>
  <c r="AG365" i="143"/>
  <c r="P6" i="147"/>
  <c r="G17" i="141"/>
  <c r="Q365" i="143"/>
  <c r="AI147" i="119"/>
  <c r="E145" i="119"/>
  <c r="AI145" i="119" s="1"/>
  <c r="AB6" i="142"/>
  <c r="AB5" i="142"/>
  <c r="AB373" i="142" s="1"/>
  <c r="AD7" i="147"/>
  <c r="AD6" i="147"/>
  <c r="AD374" i="147" s="1"/>
  <c r="E261" i="147"/>
  <c r="P260" i="147"/>
  <c r="P224" i="147" s="1"/>
  <c r="E297" i="142"/>
  <c r="AI297" i="142" s="1"/>
  <c r="AI292" i="143"/>
  <c r="AI30" i="143"/>
  <c r="E265" i="142"/>
  <c r="AI265" i="142" s="1"/>
  <c r="AI263" i="142"/>
  <c r="E259" i="142"/>
  <c r="AI259" i="142" s="1"/>
  <c r="N6" i="143"/>
  <c r="N7" i="143"/>
  <c r="AI248" i="143"/>
  <c r="AH5" i="142"/>
  <c r="AH6" i="142"/>
  <c r="Q10" i="165"/>
  <c r="C20" i="165"/>
  <c r="E211" i="143"/>
  <c r="H373" i="143"/>
  <c r="E17" i="141"/>
  <c r="AF188" i="143"/>
  <c r="AF7" i="143" s="1"/>
  <c r="AK5" i="153"/>
  <c r="AI368" i="147"/>
  <c r="N6" i="142"/>
  <c r="AH7" i="147"/>
  <c r="AH374" i="147" s="1"/>
  <c r="E350" i="147"/>
  <c r="M12" i="165"/>
  <c r="B10" i="165"/>
  <c r="B20" i="165" s="1"/>
  <c r="U6" i="143"/>
  <c r="AI305" i="143"/>
  <c r="AL51" i="153"/>
  <c r="H17" i="143"/>
  <c r="H16" i="143" s="1"/>
  <c r="H367" i="143"/>
  <c r="AM18" i="154"/>
  <c r="AI367" i="142"/>
  <c r="AI192" i="147"/>
  <c r="V5" i="142"/>
  <c r="V373" i="142" s="1"/>
  <c r="AO300" i="143"/>
  <c r="AI300" i="143"/>
  <c r="M6" i="143"/>
  <c r="M365" i="143" s="1"/>
  <c r="H50" i="153"/>
  <c r="C21" i="114"/>
  <c r="C23" i="114" s="1"/>
  <c r="P5" i="153"/>
  <c r="Y6" i="143"/>
  <c r="Y365" i="143" s="1"/>
  <c r="AI112" i="142"/>
  <c r="AG7" i="143"/>
  <c r="V365" i="143"/>
  <c r="R6" i="143"/>
  <c r="R365" i="143" s="1"/>
  <c r="J7" i="143"/>
  <c r="J6" i="143"/>
  <c r="F18" i="140"/>
  <c r="F14" i="140" s="1"/>
  <c r="F22" i="140"/>
  <c r="AO14" i="154"/>
  <c r="Z7" i="147"/>
  <c r="Z374" i="147" s="1"/>
  <c r="O7" i="143"/>
  <c r="O365" i="143" s="1"/>
  <c r="P7" i="147"/>
  <c r="AA365" i="143"/>
  <c r="S7" i="143"/>
  <c r="E142" i="122"/>
  <c r="AI142" i="122" s="1"/>
  <c r="AI144" i="122"/>
  <c r="AB6" i="143"/>
  <c r="AB365" i="143" s="1"/>
  <c r="AB7" i="143"/>
  <c r="AF3" i="147"/>
  <c r="AI176" i="147"/>
  <c r="F6" i="143"/>
  <c r="F7" i="143"/>
  <c r="AO378" i="143"/>
  <c r="F378" i="143"/>
  <c r="AE7" i="147"/>
  <c r="AI261" i="119"/>
  <c r="E259" i="119"/>
  <c r="AI259" i="119" s="1"/>
  <c r="I7" i="143"/>
  <c r="AI201" i="119"/>
  <c r="E133" i="122"/>
  <c r="AI133" i="122" s="1"/>
  <c r="E10" i="122"/>
  <c r="H194" i="119"/>
  <c r="E282" i="142"/>
  <c r="AI282" i="142" s="1"/>
  <c r="AE6" i="143"/>
  <c r="AE365" i="143" s="1"/>
  <c r="H66" i="119"/>
  <c r="F22" i="165"/>
  <c r="AO296" i="143"/>
  <c r="AI296" i="143"/>
  <c r="AI260" i="143"/>
  <c r="J373" i="142"/>
  <c r="AI109" i="122"/>
  <c r="K6" i="143"/>
  <c r="K365" i="143" s="1"/>
  <c r="V7" i="143"/>
  <c r="U7" i="143"/>
  <c r="AD6" i="143"/>
  <c r="AD365" i="143" s="1"/>
  <c r="H341" i="143"/>
  <c r="H426" i="143"/>
  <c r="I6" i="143"/>
  <c r="I365" i="143" s="1"/>
  <c r="AC7" i="143"/>
  <c r="AC365" i="143" s="1"/>
  <c r="E129" i="122"/>
  <c r="AI129" i="122" s="1"/>
  <c r="H108" i="122"/>
  <c r="H107" i="122" s="1"/>
  <c r="F25" i="122"/>
  <c r="AI26" i="122"/>
  <c r="AO372" i="143"/>
  <c r="K7" i="143"/>
  <c r="AI312" i="122"/>
  <c r="E310" i="122"/>
  <c r="AI310" i="122" s="1"/>
  <c r="E250" i="122"/>
  <c r="H243" i="122"/>
  <c r="AI297" i="119"/>
  <c r="E292" i="119"/>
  <c r="AI292" i="119" s="1"/>
  <c r="Y7" i="143"/>
  <c r="W7" i="143"/>
  <c r="W365" i="143" s="1"/>
  <c r="S6" i="143"/>
  <c r="S365" i="143" s="1"/>
  <c r="F6" i="147"/>
  <c r="E362" i="119"/>
  <c r="AI362" i="119" s="1"/>
  <c r="AI363" i="119"/>
  <c r="L6" i="143"/>
  <c r="L365" i="143" s="1"/>
  <c r="F7" i="147"/>
  <c r="E117" i="119"/>
  <c r="AI118" i="119"/>
  <c r="E96" i="119"/>
  <c r="AI96" i="119" s="1"/>
  <c r="AF91" i="119"/>
  <c r="AF66" i="119" s="1"/>
  <c r="H357" i="119"/>
  <c r="J11" i="114"/>
  <c r="J11" i="102"/>
  <c r="J15" i="116"/>
  <c r="AF274" i="119"/>
  <c r="AF234" i="119" s="1"/>
  <c r="E186" i="119"/>
  <c r="P164" i="119"/>
  <c r="P67" i="119"/>
  <c r="E316" i="122"/>
  <c r="H315" i="122"/>
  <c r="E198" i="122"/>
  <c r="H196" i="122"/>
  <c r="R5" i="122"/>
  <c r="R6" i="122" s="1"/>
  <c r="J18" i="102"/>
  <c r="E354" i="119"/>
  <c r="E339" i="119"/>
  <c r="AI339" i="119" s="1"/>
  <c r="E279" i="119"/>
  <c r="AI279" i="119" s="1"/>
  <c r="P274" i="119"/>
  <c r="P234" i="119" s="1"/>
  <c r="E275" i="119"/>
  <c r="E174" i="119"/>
  <c r="AI174" i="119" s="1"/>
  <c r="H164" i="119"/>
  <c r="P145" i="119"/>
  <c r="P120" i="119" s="1"/>
  <c r="E80" i="119"/>
  <c r="T7" i="119"/>
  <c r="T5" i="119" s="1"/>
  <c r="T6" i="119" s="1"/>
  <c r="P267" i="122"/>
  <c r="E268" i="122"/>
  <c r="M6" i="147"/>
  <c r="M374" i="147" s="1"/>
  <c r="Q373" i="142"/>
  <c r="AJ38" i="119"/>
  <c r="AI38" i="119"/>
  <c r="C17" i="140"/>
  <c r="B23" i="101"/>
  <c r="H23" i="101" s="1"/>
  <c r="C9" i="140"/>
  <c r="B4" i="101"/>
  <c r="B20" i="101" s="1"/>
  <c r="G20" i="140"/>
  <c r="B10" i="103"/>
  <c r="P54" i="122"/>
  <c r="P53" i="122" s="1"/>
  <c r="E55" i="122"/>
  <c r="Y5" i="122"/>
  <c r="Y6" i="122" s="1"/>
  <c r="B33" i="115"/>
  <c r="B10" i="115"/>
  <c r="B20" i="115" s="1"/>
  <c r="P327" i="119"/>
  <c r="P326" i="119" s="1"/>
  <c r="E331" i="119"/>
  <c r="E283" i="119"/>
  <c r="E217" i="119"/>
  <c r="AI217" i="119" s="1"/>
  <c r="H145" i="119"/>
  <c r="H120" i="119" s="1"/>
  <c r="E103" i="119"/>
  <c r="AI103" i="119" s="1"/>
  <c r="H91" i="119"/>
  <c r="P30" i="119"/>
  <c r="P29" i="119" s="1"/>
  <c r="P17" i="119"/>
  <c r="P201" i="122"/>
  <c r="P200" i="122" s="1"/>
  <c r="E147" i="122"/>
  <c r="AI147" i="122" s="1"/>
  <c r="E59" i="122"/>
  <c r="AI59" i="122" s="1"/>
  <c r="AB6" i="147"/>
  <c r="H322" i="119"/>
  <c r="E249" i="119"/>
  <c r="AI249" i="119" s="1"/>
  <c r="E99" i="119"/>
  <c r="AI99" i="119" s="1"/>
  <c r="AG5" i="119"/>
  <c r="AG6" i="119" s="1"/>
  <c r="AF7" i="119"/>
  <c r="E15" i="124"/>
  <c r="AI6" i="124"/>
  <c r="E322" i="122"/>
  <c r="AF320" i="122"/>
  <c r="AF319" i="122" s="1"/>
  <c r="E96" i="122"/>
  <c r="H93" i="122"/>
  <c r="H53" i="122" s="1"/>
  <c r="P45" i="142"/>
  <c r="E46" i="142"/>
  <c r="H224" i="147"/>
  <c r="P348" i="142"/>
  <c r="J18" i="116"/>
  <c r="J18" i="103"/>
  <c r="P374" i="119"/>
  <c r="E286" i="119"/>
  <c r="AI286" i="119" s="1"/>
  <c r="AF121" i="119"/>
  <c r="E129" i="119"/>
  <c r="AI129" i="119" s="1"/>
  <c r="E100" i="122"/>
  <c r="P99" i="122"/>
  <c r="J19" i="114"/>
  <c r="J19" i="102"/>
  <c r="AF378" i="119"/>
  <c r="H292" i="119"/>
  <c r="E28" i="119"/>
  <c r="AI28" i="119" s="1"/>
  <c r="AC6" i="142"/>
  <c r="AC373" i="142" s="1"/>
  <c r="B27" i="101"/>
  <c r="H27" i="101" s="1"/>
  <c r="B37" i="115"/>
  <c r="H327" i="119"/>
  <c r="H326" i="119" s="1"/>
  <c r="AI156" i="119"/>
  <c r="AJ47" i="119"/>
  <c r="AF297" i="122"/>
  <c r="AF281" i="122" s="1"/>
  <c r="AJ32" i="119"/>
  <c r="AI32" i="119"/>
  <c r="P107" i="122"/>
  <c r="P7" i="119"/>
  <c r="J8" i="103"/>
  <c r="J8" i="116"/>
  <c r="E324" i="119"/>
  <c r="H280" i="119"/>
  <c r="E236" i="119"/>
  <c r="P91" i="119"/>
  <c r="E93" i="119"/>
  <c r="AF237" i="122"/>
  <c r="AF200" i="122" s="1"/>
  <c r="E242" i="122"/>
  <c r="E169" i="122"/>
  <c r="P166" i="122"/>
  <c r="P165" i="122" s="1"/>
  <c r="F7" i="122"/>
  <c r="E225" i="142"/>
  <c r="E209" i="142"/>
  <c r="AI209" i="142" s="1"/>
  <c r="P187" i="142"/>
  <c r="P186" i="142" s="1"/>
  <c r="E393" i="119"/>
  <c r="H392" i="119"/>
  <c r="H378" i="119" s="1"/>
  <c r="F234" i="119"/>
  <c r="F5" i="119" s="1"/>
  <c r="G234" i="119"/>
  <c r="E89" i="119"/>
  <c r="AI89" i="119" s="1"/>
  <c r="J7" i="103"/>
  <c r="H374" i="119"/>
  <c r="H180" i="119"/>
  <c r="H178" i="119" s="1"/>
  <c r="B40" i="115"/>
  <c r="E62" i="119"/>
  <c r="E34" i="119"/>
  <c r="E25" i="119"/>
  <c r="AI25" i="119" s="1"/>
  <c r="G7" i="119"/>
  <c r="E9" i="124"/>
  <c r="E102" i="122"/>
  <c r="AI9" i="123"/>
  <c r="B4" i="132"/>
  <c r="Z60" i="142"/>
  <c r="AF83" i="142"/>
  <c r="J6" i="114"/>
  <c r="E170" i="119"/>
  <c r="E126" i="119"/>
  <c r="AB7" i="119"/>
  <c r="AB5" i="119" s="1"/>
  <c r="AB6" i="119" s="1"/>
  <c r="D20" i="102"/>
  <c r="E302" i="122"/>
  <c r="AF365" i="142"/>
  <c r="AF348" i="142" s="1"/>
  <c r="E322" i="142"/>
  <c r="AI322" i="142" s="1"/>
  <c r="Q6" i="142"/>
  <c r="E214" i="119"/>
  <c r="AI214" i="119" s="1"/>
  <c r="H222" i="122"/>
  <c r="AH200" i="122"/>
  <c r="G200" i="122"/>
  <c r="G5" i="122" s="1"/>
  <c r="G6" i="122" s="1"/>
  <c r="AF104" i="122"/>
  <c r="AF99" i="122" s="1"/>
  <c r="L99" i="122"/>
  <c r="L5" i="122" s="1"/>
  <c r="L6" i="122" s="1"/>
  <c r="E98" i="122"/>
  <c r="AI98" i="122" s="1"/>
  <c r="E88" i="122"/>
  <c r="AI88" i="122" s="1"/>
  <c r="S53" i="122"/>
  <c r="F200" i="122"/>
  <c r="W99" i="122"/>
  <c r="W5" i="122" s="1"/>
  <c r="W6" i="122" s="1"/>
  <c r="AF282" i="142"/>
  <c r="B4" i="116"/>
  <c r="E105" i="119"/>
  <c r="AI105" i="119" s="1"/>
  <c r="E69" i="119"/>
  <c r="E61" i="119"/>
  <c r="E43" i="119"/>
  <c r="E20" i="101"/>
  <c r="E266" i="122"/>
  <c r="E230" i="122"/>
  <c r="E205" i="122"/>
  <c r="E182" i="122"/>
  <c r="AI182" i="122" s="1"/>
  <c r="E160" i="122"/>
  <c r="E149" i="122"/>
  <c r="AI149" i="122" s="1"/>
  <c r="AE99" i="122"/>
  <c r="AE5" i="122" s="1"/>
  <c r="AE6" i="122" s="1"/>
  <c r="E61" i="122"/>
  <c r="AI61" i="122" s="1"/>
  <c r="AD111" i="142"/>
  <c r="J5" i="103"/>
  <c r="E159" i="119"/>
  <c r="AI159" i="119" s="1"/>
  <c r="E131" i="119"/>
  <c r="AI131" i="119" s="1"/>
  <c r="J12" i="102"/>
  <c r="E112" i="122"/>
  <c r="AI112" i="122" s="1"/>
  <c r="E87" i="122"/>
  <c r="E134" i="119"/>
  <c r="AI134" i="119" s="1"/>
  <c r="AF114" i="119"/>
  <c r="AF112" i="119" s="1"/>
  <c r="E88" i="119"/>
  <c r="AI88" i="119" s="1"/>
  <c r="E85" i="119"/>
  <c r="AI85" i="119" s="1"/>
  <c r="E331" i="122"/>
  <c r="AI331" i="122" s="1"/>
  <c r="AH319" i="122"/>
  <c r="E307" i="122"/>
  <c r="AI307" i="122" s="1"/>
  <c r="E171" i="122"/>
  <c r="AI171" i="122" s="1"/>
  <c r="E148" i="122"/>
  <c r="AI148" i="122" s="1"/>
  <c r="T99" i="122"/>
  <c r="T5" i="122" s="1"/>
  <c r="T6" i="122" s="1"/>
  <c r="I99" i="122"/>
  <c r="I5" i="122" s="1"/>
  <c r="I6" i="122" s="1"/>
  <c r="AF54" i="122"/>
  <c r="AF53" i="122" s="1"/>
  <c r="L111" i="142"/>
  <c r="AF297" i="142"/>
  <c r="E199" i="142"/>
  <c r="E28" i="147"/>
  <c r="AI28" i="147" s="1"/>
  <c r="O200" i="122"/>
  <c r="O5" i="122" s="1"/>
  <c r="O6" i="122" s="1"/>
  <c r="AF145" i="119"/>
  <c r="G66" i="119"/>
  <c r="G20" i="102"/>
  <c r="H166" i="122"/>
  <c r="H165" i="122" s="1"/>
  <c r="S107" i="122"/>
  <c r="AF106" i="119"/>
  <c r="P50" i="122"/>
  <c r="P25" i="122" s="1"/>
  <c r="P7" i="122" s="1"/>
  <c r="P5" i="122" s="1"/>
  <c r="P6" i="122" s="1"/>
  <c r="R186" i="142"/>
  <c r="R6" i="142" s="1"/>
  <c r="E345" i="142"/>
  <c r="E179" i="142"/>
  <c r="AI179" i="142" s="1"/>
  <c r="E175" i="142"/>
  <c r="E11" i="147"/>
  <c r="AI11" i="147" s="1"/>
  <c r="E54" i="147"/>
  <c r="AI54" i="147" s="1"/>
  <c r="AH53" i="122"/>
  <c r="AI7" i="123"/>
  <c r="E14" i="138"/>
  <c r="AI14" i="138" s="1"/>
  <c r="E11" i="138"/>
  <c r="AI11" i="138" s="1"/>
  <c r="E354" i="142"/>
  <c r="E272" i="142"/>
  <c r="AI272" i="142" s="1"/>
  <c r="E202" i="142"/>
  <c r="AI202" i="142" s="1"/>
  <c r="I20" i="133"/>
  <c r="U60" i="142"/>
  <c r="S348" i="142"/>
  <c r="E330" i="142"/>
  <c r="AI330" i="142" s="1"/>
  <c r="E255" i="142"/>
  <c r="E158" i="142"/>
  <c r="AH341" i="143"/>
  <c r="S61" i="147"/>
  <c r="W224" i="147"/>
  <c r="Z111" i="142"/>
  <c r="Y223" i="142"/>
  <c r="U312" i="142"/>
  <c r="I111" i="142"/>
  <c r="E360" i="142"/>
  <c r="AI360" i="142" s="1"/>
  <c r="E319" i="142"/>
  <c r="E25" i="142"/>
  <c r="E9" i="147"/>
  <c r="T61" i="147"/>
  <c r="AF247" i="147"/>
  <c r="AF224" i="147" s="1"/>
  <c r="E26" i="122"/>
  <c r="E25" i="122" s="1"/>
  <c r="J7" i="147"/>
  <c r="E132" i="147"/>
  <c r="AI132" i="147" s="1"/>
  <c r="H217" i="147"/>
  <c r="H187" i="147" s="1"/>
  <c r="H7" i="147" s="1"/>
  <c r="E72" i="122"/>
  <c r="R53" i="122"/>
  <c r="V186" i="142"/>
  <c r="V6" i="142" s="1"/>
  <c r="T103" i="142"/>
  <c r="T5" i="142" s="1"/>
  <c r="T373" i="142" s="1"/>
  <c r="F111" i="142"/>
  <c r="E329" i="142"/>
  <c r="AF265" i="142"/>
  <c r="AF223" i="142" s="1"/>
  <c r="E152" i="142"/>
  <c r="AF70" i="142"/>
  <c r="E72" i="142"/>
  <c r="E64" i="142"/>
  <c r="AI64" i="142" s="1"/>
  <c r="E49" i="147"/>
  <c r="AI49" i="147" s="1"/>
  <c r="E118" i="147"/>
  <c r="AI118" i="147" s="1"/>
  <c r="I349" i="147"/>
  <c r="I7" i="147" s="1"/>
  <c r="Z53" i="122"/>
  <c r="Z5" i="122" s="1"/>
  <c r="Z6" i="122" s="1"/>
  <c r="X7" i="122"/>
  <c r="X5" i="122" s="1"/>
  <c r="X6" i="122" s="1"/>
  <c r="X103" i="142"/>
  <c r="X5" i="142" s="1"/>
  <c r="X373" i="142" s="1"/>
  <c r="N103" i="142"/>
  <c r="N5" i="142" s="1"/>
  <c r="N373" i="142" s="1"/>
  <c r="P365" i="142"/>
  <c r="E296" i="142"/>
  <c r="AI296" i="142" s="1"/>
  <c r="E160" i="142"/>
  <c r="AI160" i="142" s="1"/>
  <c r="E101" i="142"/>
  <c r="AI101" i="142" s="1"/>
  <c r="E86" i="142"/>
  <c r="P83" i="142"/>
  <c r="P60" i="142" s="1"/>
  <c r="E35" i="147"/>
  <c r="AI35" i="147" s="1"/>
  <c r="AB187" i="147"/>
  <c r="AB7" i="147" s="1"/>
  <c r="AA312" i="142"/>
  <c r="E332" i="142"/>
  <c r="AI332" i="142" s="1"/>
  <c r="P265" i="142"/>
  <c r="P223" i="142" s="1"/>
  <c r="E63" i="142"/>
  <c r="E54" i="142"/>
  <c r="AI54" i="142" s="1"/>
  <c r="E24" i="147"/>
  <c r="E69" i="147"/>
  <c r="AI69" i="147" s="1"/>
  <c r="E81" i="147"/>
  <c r="AI81" i="147" s="1"/>
  <c r="G104" i="147"/>
  <c r="U104" i="147"/>
  <c r="U6" i="147" s="1"/>
  <c r="U374" i="147" s="1"/>
  <c r="E110" i="147"/>
  <c r="H109" i="147"/>
  <c r="H104" i="147" s="1"/>
  <c r="E122" i="147"/>
  <c r="AI122" i="147" s="1"/>
  <c r="E165" i="147"/>
  <c r="AI165" i="147" s="1"/>
  <c r="E296" i="147"/>
  <c r="AB5" i="153"/>
  <c r="S113" i="153"/>
  <c r="AL113" i="153" s="1"/>
  <c r="S6" i="153"/>
  <c r="AN13" i="153"/>
  <c r="S120" i="153"/>
  <c r="AL13" i="153"/>
  <c r="AI114" i="154"/>
  <c r="AL58" i="154"/>
  <c r="AM58" i="154"/>
  <c r="E222" i="142"/>
  <c r="AI222" i="142" s="1"/>
  <c r="E47" i="147"/>
  <c r="I104" i="147"/>
  <c r="I6" i="147" s="1"/>
  <c r="E130" i="147"/>
  <c r="AI130" i="147" s="1"/>
  <c r="E182" i="147"/>
  <c r="AI182" i="147" s="1"/>
  <c r="J187" i="147"/>
  <c r="J6" i="147" s="1"/>
  <c r="AE224" i="147"/>
  <c r="AE6" i="147" s="1"/>
  <c r="AE374" i="147" s="1"/>
  <c r="E336" i="147"/>
  <c r="AF345" i="147"/>
  <c r="M60" i="142"/>
  <c r="E327" i="142"/>
  <c r="AI327" i="142" s="1"/>
  <c r="E115" i="147"/>
  <c r="E144" i="147"/>
  <c r="AI144" i="147" s="1"/>
  <c r="E151" i="147"/>
  <c r="E211" i="147"/>
  <c r="AI211" i="147" s="1"/>
  <c r="T313" i="147"/>
  <c r="E301" i="147"/>
  <c r="AD5" i="153"/>
  <c r="AL61" i="153"/>
  <c r="AN61" i="153"/>
  <c r="J90" i="153"/>
  <c r="J83" i="153" s="1"/>
  <c r="AL83" i="153" s="1"/>
  <c r="AL92" i="153"/>
  <c r="AA111" i="142"/>
  <c r="AA6" i="142" s="1"/>
  <c r="G103" i="142"/>
  <c r="E334" i="142"/>
  <c r="AI334" i="142" s="1"/>
  <c r="E326" i="142"/>
  <c r="AI326" i="142" s="1"/>
  <c r="E290" i="142"/>
  <c r="AI290" i="142" s="1"/>
  <c r="E50" i="142"/>
  <c r="AI50" i="142" s="1"/>
  <c r="F20" i="146"/>
  <c r="U112" i="147"/>
  <c r="U7" i="147" s="1"/>
  <c r="AF139" i="147"/>
  <c r="AF112" i="147" s="1"/>
  <c r="E169" i="147"/>
  <c r="AI169" i="147" s="1"/>
  <c r="E297" i="147"/>
  <c r="AI297" i="147" s="1"/>
  <c r="AL38" i="153"/>
  <c r="J29" i="153"/>
  <c r="E183" i="142"/>
  <c r="AI183" i="142" s="1"/>
  <c r="H147" i="142"/>
  <c r="H111" i="142" s="1"/>
  <c r="E90" i="142"/>
  <c r="AI90" i="142" s="1"/>
  <c r="E37" i="142"/>
  <c r="AI37" i="142" s="1"/>
  <c r="E101" i="147"/>
  <c r="O104" i="147"/>
  <c r="O6" i="147" s="1"/>
  <c r="O374" i="147" s="1"/>
  <c r="AG224" i="147"/>
  <c r="AG7" i="147" s="1"/>
  <c r="E271" i="147"/>
  <c r="H8" i="148"/>
  <c r="H5" i="148" s="1"/>
  <c r="V224" i="147"/>
  <c r="AO97" i="153"/>
  <c r="T349" i="147"/>
  <c r="K83" i="154"/>
  <c r="AO38" i="153"/>
  <c r="K29" i="153"/>
  <c r="AO57" i="153"/>
  <c r="K55" i="153"/>
  <c r="AL92" i="154"/>
  <c r="AI115" i="154"/>
  <c r="H113" i="154"/>
  <c r="H98" i="154"/>
  <c r="AL102" i="154"/>
  <c r="S113" i="154"/>
  <c r="AL113" i="154" s="1"/>
  <c r="N61" i="147"/>
  <c r="E238" i="147"/>
  <c r="AF314" i="147"/>
  <c r="AF313" i="147" s="1"/>
  <c r="X5" i="153"/>
  <c r="AE5" i="153"/>
  <c r="AI111" i="153"/>
  <c r="AI8" i="153"/>
  <c r="AL8" i="153" s="1"/>
  <c r="AN27" i="153"/>
  <c r="H120" i="153"/>
  <c r="AL7" i="153"/>
  <c r="AM11" i="153"/>
  <c r="AL26" i="153"/>
  <c r="AN26" i="153"/>
  <c r="S121" i="153"/>
  <c r="E87" i="147"/>
  <c r="E156" i="147"/>
  <c r="AI156" i="147" s="1"/>
  <c r="E257" i="147"/>
  <c r="AI257" i="147" s="1"/>
  <c r="E279" i="147"/>
  <c r="AI279" i="147" s="1"/>
  <c r="E10" i="148"/>
  <c r="H111" i="153"/>
  <c r="AO18" i="153"/>
  <c r="AL90" i="153"/>
  <c r="AM84" i="154"/>
  <c r="AH55" i="154"/>
  <c r="AH50" i="154" s="1"/>
  <c r="AH5" i="154" s="1"/>
  <c r="S60" i="154"/>
  <c r="AL111" i="153"/>
  <c r="R111" i="153"/>
  <c r="R6" i="153"/>
  <c r="AM22" i="153"/>
  <c r="AI18" i="153"/>
  <c r="AM18" i="153" s="1"/>
  <c r="AI116" i="153"/>
  <c r="AL116" i="153" s="1"/>
  <c r="B5" i="145"/>
  <c r="O5" i="145"/>
  <c r="AC14" i="153"/>
  <c r="AN14" i="153" s="1"/>
  <c r="AO17" i="154"/>
  <c r="K111" i="154"/>
  <c r="AM29" i="153"/>
  <c r="AL115" i="154"/>
  <c r="AN15" i="153"/>
  <c r="X62" i="153"/>
  <c r="AN62" i="153" s="1"/>
  <c r="AH62" i="153"/>
  <c r="AH5" i="153" s="1"/>
  <c r="AN81" i="153"/>
  <c r="AN94" i="153"/>
  <c r="O5" i="154"/>
  <c r="AI121" i="153"/>
  <c r="AL121" i="153" s="1"/>
  <c r="AL19" i="153"/>
  <c r="H18" i="153"/>
  <c r="AM63" i="153"/>
  <c r="AI62" i="153"/>
  <c r="AM62" i="153" s="1"/>
  <c r="E56" i="147"/>
  <c r="AI56" i="147" s="1"/>
  <c r="E76" i="147"/>
  <c r="E249" i="147"/>
  <c r="E302" i="147"/>
  <c r="AI302" i="147" s="1"/>
  <c r="AF29" i="153"/>
  <c r="AL94" i="153"/>
  <c r="E31" i="147"/>
  <c r="AI31" i="147" s="1"/>
  <c r="E66" i="147"/>
  <c r="Y104" i="147"/>
  <c r="Y6" i="147" s="1"/>
  <c r="Y374" i="147" s="1"/>
  <c r="E177" i="147"/>
  <c r="AI177" i="147" s="1"/>
  <c r="E327" i="147"/>
  <c r="R349" i="147"/>
  <c r="R7" i="147" s="1"/>
  <c r="AN38" i="153"/>
  <c r="AN91" i="154"/>
  <c r="AO9" i="153"/>
  <c r="K52" i="153"/>
  <c r="AD83" i="153"/>
  <c r="AI98" i="153"/>
  <c r="U5" i="154"/>
  <c r="AC5" i="154"/>
  <c r="E360" i="143"/>
  <c r="AO270" i="143"/>
  <c r="AO272" i="143"/>
  <c r="M16" i="165"/>
  <c r="AI122" i="153"/>
  <c r="AL122" i="153" s="1"/>
  <c r="AI27" i="153"/>
  <c r="AM27" i="153" s="1"/>
  <c r="AO12" i="154"/>
  <c r="AI23" i="143"/>
  <c r="S90" i="154"/>
  <c r="AO90" i="153"/>
  <c r="AM28" i="153"/>
  <c r="U83" i="153"/>
  <c r="AN83" i="153" s="1"/>
  <c r="L5" i="154"/>
  <c r="N5" i="154"/>
  <c r="AM96" i="154"/>
  <c r="AI94" i="154"/>
  <c r="AM94" i="154" s="1"/>
  <c r="AN54" i="153"/>
  <c r="AL99" i="153"/>
  <c r="T5" i="154"/>
  <c r="AI48" i="143"/>
  <c r="AG5" i="154"/>
  <c r="AL51" i="154"/>
  <c r="X62" i="154"/>
  <c r="AN62" i="154" s="1"/>
  <c r="AM16" i="153"/>
  <c r="X83" i="153"/>
  <c r="X5" i="154"/>
  <c r="AO99" i="153"/>
  <c r="AL28" i="153"/>
  <c r="AI55" i="154"/>
  <c r="AO62" i="154"/>
  <c r="P178" i="143"/>
  <c r="E179" i="143"/>
  <c r="E83" i="143"/>
  <c r="E82" i="143" s="1"/>
  <c r="AI82" i="143" s="1"/>
  <c r="AI83" i="143"/>
  <c r="AO53" i="153"/>
  <c r="M50" i="154"/>
  <c r="K51" i="154"/>
  <c r="AO284" i="143"/>
  <c r="V5" i="153"/>
  <c r="AI111" i="154"/>
  <c r="AL111" i="154" s="1"/>
  <c r="AL20" i="154"/>
  <c r="E293" i="143"/>
  <c r="AL293" i="143"/>
  <c r="AI15" i="153"/>
  <c r="AD5" i="154"/>
  <c r="AL17" i="154"/>
  <c r="AC29" i="154"/>
  <c r="AN29" i="154" s="1"/>
  <c r="S98" i="154"/>
  <c r="AO93" i="154"/>
  <c r="E352" i="143"/>
  <c r="AI352" i="143" s="1"/>
  <c r="E167" i="143"/>
  <c r="AI167" i="143" s="1"/>
  <c r="E170" i="143"/>
  <c r="AI170" i="143" s="1"/>
  <c r="AI46" i="143"/>
  <c r="AI49" i="143"/>
  <c r="E9" i="143"/>
  <c r="E159" i="143"/>
  <c r="AI159" i="143" s="1"/>
  <c r="E176" i="143"/>
  <c r="AO228" i="143"/>
  <c r="AI243" i="143"/>
  <c r="AO264" i="143"/>
  <c r="AI70" i="143"/>
  <c r="AI95" i="143"/>
  <c r="H104" i="143"/>
  <c r="E207" i="143"/>
  <c r="AI207" i="143" s="1"/>
  <c r="AI15" i="154"/>
  <c r="AO234" i="143"/>
  <c r="E287" i="143"/>
  <c r="AI102" i="143"/>
  <c r="M29" i="154"/>
  <c r="E174" i="143"/>
  <c r="AI174" i="143" s="1"/>
  <c r="AI50" i="143"/>
  <c r="E23" i="143"/>
  <c r="P25" i="143"/>
  <c r="E33" i="143"/>
  <c r="AI33" i="143" s="1"/>
  <c r="E36" i="143"/>
  <c r="AI36" i="143" s="1"/>
  <c r="E13" i="143"/>
  <c r="AI13" i="143" s="1"/>
  <c r="AI177" i="143"/>
  <c r="J20" i="145"/>
  <c r="AI90" i="154"/>
  <c r="AM90" i="154" s="1"/>
  <c r="AI28" i="143"/>
  <c r="E42" i="143"/>
  <c r="AI42" i="143" s="1"/>
  <c r="E149" i="143"/>
  <c r="AI149" i="143" s="1"/>
  <c r="E152" i="143"/>
  <c r="AI152" i="143" s="1"/>
  <c r="E157" i="143"/>
  <c r="AO222" i="143"/>
  <c r="AI246" i="143"/>
  <c r="AI72" i="143"/>
  <c r="AI93" i="143"/>
  <c r="AI96" i="143"/>
  <c r="P110" i="143"/>
  <c r="E146" i="143"/>
  <c r="AL279" i="143"/>
  <c r="E279" i="143"/>
  <c r="AI75" i="143"/>
  <c r="E212" i="143"/>
  <c r="AI212" i="143" s="1"/>
  <c r="H107" i="143"/>
  <c r="E185" i="143"/>
  <c r="AI185" i="143" s="1"/>
  <c r="AO236" i="143"/>
  <c r="AI241" i="143"/>
  <c r="AL281" i="143"/>
  <c r="E281" i="143"/>
  <c r="M13" i="165"/>
  <c r="AM16" i="154"/>
  <c r="AO254" i="143"/>
  <c r="E299" i="143"/>
  <c r="AI299" i="143" s="1"/>
  <c r="AI78" i="143"/>
  <c r="AI103" i="143"/>
  <c r="E354" i="143"/>
  <c r="AI354" i="143" s="1"/>
  <c r="E166" i="143"/>
  <c r="E24" i="143"/>
  <c r="AI24" i="143" s="1"/>
  <c r="E26" i="143"/>
  <c r="AI26" i="143" s="1"/>
  <c r="E150" i="143"/>
  <c r="AI150" i="143" s="1"/>
  <c r="AO279" i="143"/>
  <c r="AI69" i="143"/>
  <c r="E348" i="143"/>
  <c r="AI348" i="143" s="1"/>
  <c r="E169" i="143"/>
  <c r="AI169" i="143" s="1"/>
  <c r="AI131" i="143"/>
  <c r="H178" i="143"/>
  <c r="AL287" i="143"/>
  <c r="AI225" i="143"/>
  <c r="AI237" i="143"/>
  <c r="E259" i="143"/>
  <c r="E242" i="143" s="1"/>
  <c r="AL259" i="143"/>
  <c r="AI101" i="143"/>
  <c r="AI191" i="143"/>
  <c r="E196" i="143"/>
  <c r="AI196" i="143" s="1"/>
  <c r="M15" i="165"/>
  <c r="E20" i="165"/>
  <c r="K15" i="145" l="1"/>
  <c r="L15" i="145" s="1"/>
  <c r="K13" i="146"/>
  <c r="C11" i="141"/>
  <c r="C23" i="141"/>
  <c r="K7" i="146"/>
  <c r="L7" i="146" s="1"/>
  <c r="J5" i="135"/>
  <c r="K17" i="146"/>
  <c r="L17" i="146" s="1"/>
  <c r="J11" i="135"/>
  <c r="L16" i="145"/>
  <c r="C8" i="141"/>
  <c r="M4" i="146"/>
  <c r="O4" i="165"/>
  <c r="O20" i="165" s="1"/>
  <c r="K5" i="146"/>
  <c r="L5" i="146" s="1"/>
  <c r="L5" i="165"/>
  <c r="M5" i="165" s="1"/>
  <c r="B10" i="145"/>
  <c r="J16" i="135"/>
  <c r="K9" i="146"/>
  <c r="L9" i="146" s="1"/>
  <c r="K6" i="146"/>
  <c r="L6" i="146" s="1"/>
  <c r="K18" i="146"/>
  <c r="L18" i="146" s="1"/>
  <c r="B4" i="136"/>
  <c r="J4" i="136" s="1"/>
  <c r="K19" i="145"/>
  <c r="L19" i="145" s="1"/>
  <c r="L13" i="146"/>
  <c r="K12" i="146"/>
  <c r="L12" i="146" s="1"/>
  <c r="L8" i="145"/>
  <c r="K22" i="165"/>
  <c r="K9" i="145"/>
  <c r="K4" i="145" s="1"/>
  <c r="O4" i="146"/>
  <c r="C20" i="136"/>
  <c r="C22" i="136" s="1"/>
  <c r="K4" i="136"/>
  <c r="N4" i="146"/>
  <c r="J8" i="135"/>
  <c r="M10" i="145"/>
  <c r="M10" i="146"/>
  <c r="B4" i="135"/>
  <c r="J4" i="135" s="1"/>
  <c r="J19" i="136"/>
  <c r="K19" i="146"/>
  <c r="L19" i="146" s="1"/>
  <c r="O4" i="145"/>
  <c r="K8" i="146"/>
  <c r="L8" i="146" s="1"/>
  <c r="C12" i="141"/>
  <c r="B10" i="135"/>
  <c r="B4" i="134"/>
  <c r="B20" i="134" s="1"/>
  <c r="J14" i="135"/>
  <c r="K14" i="145"/>
  <c r="L14" i="145" s="1"/>
  <c r="L8" i="165"/>
  <c r="M8" i="165" s="1"/>
  <c r="M4" i="145"/>
  <c r="E36" i="134"/>
  <c r="L6" i="165"/>
  <c r="M6" i="165" s="1"/>
  <c r="J7" i="135"/>
  <c r="J15" i="136"/>
  <c r="O10" i="146"/>
  <c r="O10" i="145"/>
  <c r="N10" i="146"/>
  <c r="K13" i="145"/>
  <c r="L13" i="145" s="1"/>
  <c r="J13" i="135"/>
  <c r="B10" i="136"/>
  <c r="C20" i="135"/>
  <c r="K20" i="135" s="1"/>
  <c r="N4" i="165"/>
  <c r="N20" i="165" s="1"/>
  <c r="N10" i="145"/>
  <c r="N4" i="145"/>
  <c r="C20" i="145"/>
  <c r="C21" i="145" s="1"/>
  <c r="L17" i="145"/>
  <c r="M10" i="165"/>
  <c r="C20" i="146"/>
  <c r="C21" i="146" s="1"/>
  <c r="B10" i="146"/>
  <c r="B20" i="146" s="1"/>
  <c r="H6" i="142"/>
  <c r="H5" i="142"/>
  <c r="H373" i="142" s="1"/>
  <c r="AI242" i="143"/>
  <c r="F6" i="119"/>
  <c r="AF6" i="147"/>
  <c r="AF374" i="147" s="1"/>
  <c r="AF7" i="147"/>
  <c r="AI279" i="143"/>
  <c r="E278" i="143"/>
  <c r="AI278" i="143" s="1"/>
  <c r="AI83" i="154"/>
  <c r="AM83" i="154" s="1"/>
  <c r="J5" i="153"/>
  <c r="AI115" i="147"/>
  <c r="E113" i="147"/>
  <c r="U5" i="142"/>
  <c r="U6" i="142"/>
  <c r="H200" i="122"/>
  <c r="H5" i="122" s="1"/>
  <c r="H6" i="122" s="1"/>
  <c r="Z5" i="142"/>
  <c r="Z6" i="142"/>
  <c r="AI55" i="122"/>
  <c r="E54" i="122"/>
  <c r="E219" i="142"/>
  <c r="AI219" i="142" s="1"/>
  <c r="E342" i="143"/>
  <c r="AN98" i="154"/>
  <c r="S97" i="154"/>
  <c r="AN97" i="154" s="1"/>
  <c r="E349" i="147"/>
  <c r="AI349" i="147" s="1"/>
  <c r="AI350" i="147"/>
  <c r="AI9" i="143"/>
  <c r="E370" i="143"/>
  <c r="E8" i="143"/>
  <c r="AM15" i="153"/>
  <c r="AL15" i="153"/>
  <c r="AI14" i="153"/>
  <c r="AM14" i="153" s="1"/>
  <c r="AI97" i="153"/>
  <c r="AM98" i="153"/>
  <c r="AL98" i="153"/>
  <c r="AI66" i="147"/>
  <c r="E62" i="147"/>
  <c r="H6" i="147"/>
  <c r="I6" i="142"/>
  <c r="I5" i="142"/>
  <c r="I373" i="142" s="1"/>
  <c r="AI175" i="142"/>
  <c r="E174" i="142"/>
  <c r="J4" i="116"/>
  <c r="J4" i="103"/>
  <c r="B20" i="116"/>
  <c r="J4" i="132"/>
  <c r="B20" i="132"/>
  <c r="J20" i="132" s="1"/>
  <c r="AI169" i="122"/>
  <c r="E166" i="122"/>
  <c r="AI354" i="119"/>
  <c r="E343" i="119"/>
  <c r="AI343" i="119" s="1"/>
  <c r="F374" i="147"/>
  <c r="E195" i="119"/>
  <c r="AO83" i="154"/>
  <c r="AI319" i="142"/>
  <c r="E313" i="142"/>
  <c r="AI186" i="119"/>
  <c r="E183" i="119"/>
  <c r="Q1" i="147"/>
  <c r="P374" i="147"/>
  <c r="AI146" i="143"/>
  <c r="E143" i="143"/>
  <c r="H97" i="154"/>
  <c r="AL98" i="154"/>
  <c r="V6" i="147"/>
  <c r="V374" i="147" s="1"/>
  <c r="V7" i="147"/>
  <c r="M5" i="142"/>
  <c r="M373" i="142" s="1"/>
  <c r="M6" i="142"/>
  <c r="AI110" i="147"/>
  <c r="E109" i="147"/>
  <c r="AI72" i="122"/>
  <c r="E64" i="122"/>
  <c r="AI64" i="122" s="1"/>
  <c r="AI199" i="142"/>
  <c r="E187" i="142"/>
  <c r="AI242" i="122"/>
  <c r="E237" i="122"/>
  <c r="AI237" i="122" s="1"/>
  <c r="B20" i="103"/>
  <c r="J10" i="103"/>
  <c r="K11" i="101" s="1"/>
  <c r="AI268" i="122"/>
  <c r="E267" i="122"/>
  <c r="AI267" i="122" s="1"/>
  <c r="AL62" i="153"/>
  <c r="AI103" i="142"/>
  <c r="G5" i="142"/>
  <c r="G373" i="142" s="1"/>
  <c r="S6" i="142"/>
  <c r="S5" i="142"/>
  <c r="AI179" i="143"/>
  <c r="E178" i="143"/>
  <c r="AI178" i="143" s="1"/>
  <c r="K50" i="153"/>
  <c r="AO52" i="153"/>
  <c r="B4" i="145"/>
  <c r="L5" i="145"/>
  <c r="Y5" i="142"/>
  <c r="Y6" i="142"/>
  <c r="AO373" i="143"/>
  <c r="F373" i="143"/>
  <c r="R5" i="142"/>
  <c r="R373" i="142" s="1"/>
  <c r="H408" i="143"/>
  <c r="H175" i="143"/>
  <c r="N7" i="147"/>
  <c r="N6" i="147"/>
  <c r="AL52" i="153"/>
  <c r="AI345" i="142"/>
  <c r="E344" i="142"/>
  <c r="AI344" i="142" s="1"/>
  <c r="AI160" i="122"/>
  <c r="E152" i="122"/>
  <c r="AI102" i="122"/>
  <c r="E101" i="122"/>
  <c r="AI101" i="122" s="1"/>
  <c r="I20" i="140"/>
  <c r="G14" i="140"/>
  <c r="AI10" i="122"/>
  <c r="E7" i="122"/>
  <c r="F365" i="143"/>
  <c r="AI166" i="143"/>
  <c r="E164" i="143"/>
  <c r="AI164" i="143" s="1"/>
  <c r="H399" i="143"/>
  <c r="H105" i="143"/>
  <c r="AI107" i="143"/>
  <c r="AI157" i="143"/>
  <c r="E153" i="143"/>
  <c r="AI153" i="143" s="1"/>
  <c r="AI287" i="143"/>
  <c r="AO287" i="143"/>
  <c r="H397" i="143"/>
  <c r="G104" i="143"/>
  <c r="H368" i="143"/>
  <c r="H59" i="143"/>
  <c r="P408" i="143"/>
  <c r="P175" i="143"/>
  <c r="AN29" i="153"/>
  <c r="AF5" i="153"/>
  <c r="AI271" i="147"/>
  <c r="E266" i="147"/>
  <c r="AI266" i="147" s="1"/>
  <c r="AI336" i="147"/>
  <c r="E329" i="147"/>
  <c r="AI329" i="147" s="1"/>
  <c r="G6" i="147"/>
  <c r="G374" i="147" s="1"/>
  <c r="AI86" i="142"/>
  <c r="E83" i="142"/>
  <c r="AI83" i="142" s="1"/>
  <c r="L5" i="142"/>
  <c r="L6" i="142"/>
  <c r="AI9" i="124"/>
  <c r="E8" i="124"/>
  <c r="AI93" i="119"/>
  <c r="E91" i="119"/>
  <c r="AI91" i="119" s="1"/>
  <c r="AI25" i="122"/>
  <c r="AG6" i="147"/>
  <c r="AG374" i="147" s="1"/>
  <c r="AI211" i="143"/>
  <c r="E210" i="143"/>
  <c r="AI210" i="143" s="1"/>
  <c r="AL29" i="153"/>
  <c r="AF6" i="143"/>
  <c r="M5" i="154"/>
  <c r="AO29" i="154"/>
  <c r="AO281" i="143"/>
  <c r="AI281" i="143"/>
  <c r="AI176" i="143"/>
  <c r="E175" i="143"/>
  <c r="AI175" i="143" s="1"/>
  <c r="AI69" i="119"/>
  <c r="E67" i="119"/>
  <c r="F5" i="122"/>
  <c r="F6" i="122" s="1"/>
  <c r="AI7" i="122"/>
  <c r="AO259" i="143"/>
  <c r="AI259" i="143"/>
  <c r="AI293" i="143"/>
  <c r="AO293" i="143"/>
  <c r="AI10" i="148"/>
  <c r="E8" i="148"/>
  <c r="AI6" i="153"/>
  <c r="AM8" i="153"/>
  <c r="AL120" i="153"/>
  <c r="AI72" i="142"/>
  <c r="E70" i="142"/>
  <c r="AI70" i="142" s="1"/>
  <c r="W6" i="147"/>
  <c r="W374" i="147" s="1"/>
  <c r="W7" i="147"/>
  <c r="AF5" i="122"/>
  <c r="AF6" i="122" s="1"/>
  <c r="AI87" i="122"/>
  <c r="E78" i="122"/>
  <c r="AI78" i="122" s="1"/>
  <c r="AI205" i="122"/>
  <c r="E201" i="122"/>
  <c r="S5" i="122"/>
  <c r="S6" i="122" s="1"/>
  <c r="AJ7" i="122" s="1"/>
  <c r="AI302" i="122"/>
  <c r="E297" i="122"/>
  <c r="G5" i="119"/>
  <c r="G6" i="119" s="1"/>
  <c r="D9" i="140"/>
  <c r="I9" i="140"/>
  <c r="C6" i="140"/>
  <c r="C9" i="141"/>
  <c r="E77" i="119"/>
  <c r="AI77" i="119" s="1"/>
  <c r="AI80" i="119"/>
  <c r="AI198" i="122"/>
  <c r="E196" i="122"/>
  <c r="AI196" i="122" s="1"/>
  <c r="R6" i="147"/>
  <c r="R374" i="147" s="1"/>
  <c r="E367" i="143"/>
  <c r="E25" i="143"/>
  <c r="AI25" i="143" s="1"/>
  <c r="P367" i="143"/>
  <c r="F367" i="143" s="1"/>
  <c r="P17" i="143"/>
  <c r="P16" i="143" s="1"/>
  <c r="AM15" i="154"/>
  <c r="AI14" i="154"/>
  <c r="AL15" i="154"/>
  <c r="AI50" i="154"/>
  <c r="AM50" i="154" s="1"/>
  <c r="AM55" i="154"/>
  <c r="AN90" i="154"/>
  <c r="S83" i="154"/>
  <c r="AN83" i="154" s="1"/>
  <c r="AI249" i="147"/>
  <c r="E247" i="147"/>
  <c r="AI247" i="147" s="1"/>
  <c r="AO55" i="153"/>
  <c r="AL55" i="153"/>
  <c r="AI301" i="147"/>
  <c r="E298" i="147"/>
  <c r="AI298" i="147" s="1"/>
  <c r="J374" i="147"/>
  <c r="AF60" i="142"/>
  <c r="S7" i="147"/>
  <c r="S6" i="147"/>
  <c r="S374" i="147" s="1"/>
  <c r="AI354" i="142"/>
  <c r="E349" i="142"/>
  <c r="AJ6" i="122"/>
  <c r="AI230" i="122"/>
  <c r="E222" i="122"/>
  <c r="AI222" i="122" s="1"/>
  <c r="AI393" i="119"/>
  <c r="E392" i="119"/>
  <c r="AI236" i="119"/>
  <c r="E235" i="119"/>
  <c r="AI46" i="142"/>
  <c r="E45" i="142"/>
  <c r="AI45" i="142" s="1"/>
  <c r="E280" i="119"/>
  <c r="AI280" i="119" s="1"/>
  <c r="AI283" i="119"/>
  <c r="E189" i="143"/>
  <c r="E108" i="122"/>
  <c r="N365" i="143"/>
  <c r="AL94" i="154"/>
  <c r="H14" i="153"/>
  <c r="AL18" i="153"/>
  <c r="AI322" i="122"/>
  <c r="E320" i="122"/>
  <c r="E188" i="147"/>
  <c r="AO299" i="143"/>
  <c r="AC5" i="153"/>
  <c r="AI76" i="147"/>
  <c r="E71" i="147"/>
  <c r="AI71" i="147" s="1"/>
  <c r="R5" i="153"/>
  <c r="AO6" i="153"/>
  <c r="AI101" i="147"/>
  <c r="E97" i="147"/>
  <c r="AI97" i="147" s="1"/>
  <c r="U5" i="153"/>
  <c r="S5" i="153"/>
  <c r="AN6" i="153"/>
  <c r="AI24" i="147"/>
  <c r="E16" i="147"/>
  <c r="AI152" i="142"/>
  <c r="E147" i="142"/>
  <c r="AH7" i="143"/>
  <c r="AH6" i="143"/>
  <c r="AH365" i="143" s="1"/>
  <c r="AI266" i="122"/>
  <c r="E252" i="122"/>
  <c r="AI252" i="122" s="1"/>
  <c r="E30" i="119"/>
  <c r="AJ34" i="119"/>
  <c r="AI34" i="119"/>
  <c r="H234" i="119"/>
  <c r="E154" i="119"/>
  <c r="AI154" i="119" s="1"/>
  <c r="P6" i="142"/>
  <c r="P5" i="142"/>
  <c r="AB374" i="147"/>
  <c r="AI331" i="119"/>
  <c r="E327" i="119"/>
  <c r="C14" i="140"/>
  <c r="I17" i="140"/>
  <c r="D17" i="140"/>
  <c r="AI316" i="122"/>
  <c r="E315" i="122"/>
  <c r="AI315" i="122" s="1"/>
  <c r="E175" i="147"/>
  <c r="E139" i="147"/>
  <c r="AI139" i="147" s="1"/>
  <c r="AD5" i="142"/>
  <c r="AD6" i="142"/>
  <c r="P400" i="143"/>
  <c r="P105" i="143"/>
  <c r="AI105" i="143" s="1"/>
  <c r="AI110" i="143"/>
  <c r="C10" i="141"/>
  <c r="AO29" i="153"/>
  <c r="K5" i="153"/>
  <c r="T7" i="147"/>
  <c r="T6" i="147"/>
  <c r="T374" i="147" s="1"/>
  <c r="AI158" i="142"/>
  <c r="E157" i="142"/>
  <c r="AI157" i="142" s="1"/>
  <c r="AI126" i="119"/>
  <c r="E121" i="119"/>
  <c r="AJ62" i="119"/>
  <c r="AI62" i="119"/>
  <c r="AI324" i="119"/>
  <c r="E322" i="119"/>
  <c r="AI322" i="119" s="1"/>
  <c r="AI100" i="122"/>
  <c r="E99" i="122"/>
  <c r="AI99" i="122" s="1"/>
  <c r="P66" i="119"/>
  <c r="P5" i="119" s="1"/>
  <c r="P6" i="119" s="1"/>
  <c r="AI117" i="119"/>
  <c r="E112" i="119"/>
  <c r="AI112" i="119" s="1"/>
  <c r="J365" i="143"/>
  <c r="AA5" i="142"/>
  <c r="AA373" i="142" s="1"/>
  <c r="U365" i="143"/>
  <c r="AH373" i="142"/>
  <c r="AI261" i="147"/>
  <c r="E260" i="147"/>
  <c r="AI260" i="147" s="1"/>
  <c r="H5" i="119"/>
  <c r="H6" i="119" s="1"/>
  <c r="E158" i="147"/>
  <c r="AI158" i="147" s="1"/>
  <c r="AL27" i="153"/>
  <c r="E290" i="143"/>
  <c r="AI290" i="143" s="1"/>
  <c r="AI87" i="147"/>
  <c r="E84" i="147"/>
  <c r="AI84" i="147" s="1"/>
  <c r="I374" i="147"/>
  <c r="AI63" i="142"/>
  <c r="E61" i="142"/>
  <c r="AI329" i="142"/>
  <c r="E328" i="142"/>
  <c r="AI328" i="142" s="1"/>
  <c r="E8" i="147"/>
  <c r="AI9" i="147"/>
  <c r="AI255" i="142"/>
  <c r="E246" i="142"/>
  <c r="AI246" i="142" s="1"/>
  <c r="AJ43" i="119"/>
  <c r="AI43" i="119"/>
  <c r="AI170" i="119"/>
  <c r="E164" i="119"/>
  <c r="AI164" i="119" s="1"/>
  <c r="AI96" i="122"/>
  <c r="E93" i="122"/>
  <c r="AI93" i="122" s="1"/>
  <c r="E274" i="119"/>
  <c r="AI274" i="119" s="1"/>
  <c r="AI275" i="119"/>
  <c r="AO51" i="154"/>
  <c r="K114" i="154"/>
  <c r="K50" i="154"/>
  <c r="AI360" i="143"/>
  <c r="E357" i="143"/>
  <c r="AI357" i="143" s="1"/>
  <c r="AI327" i="147"/>
  <c r="E314" i="147"/>
  <c r="S114" i="154"/>
  <c r="AL114" i="154" s="1"/>
  <c r="AN60" i="154"/>
  <c r="S55" i="154"/>
  <c r="AL60" i="154"/>
  <c r="AI238" i="147"/>
  <c r="E225" i="147"/>
  <c r="AL90" i="154"/>
  <c r="AI151" i="147"/>
  <c r="E148" i="147"/>
  <c r="AI148" i="147" s="1"/>
  <c r="AI47" i="147"/>
  <c r="E46" i="147"/>
  <c r="AI46" i="147" s="1"/>
  <c r="AI296" i="147"/>
  <c r="E283" i="147"/>
  <c r="AI283" i="147" s="1"/>
  <c r="F6" i="142"/>
  <c r="F5" i="142"/>
  <c r="AI25" i="142"/>
  <c r="E15" i="142"/>
  <c r="AH5" i="122"/>
  <c r="AH6" i="122" s="1"/>
  <c r="AJ8" i="122" s="1"/>
  <c r="AJ61" i="119"/>
  <c r="AI61" i="119"/>
  <c r="AI225" i="142"/>
  <c r="E224" i="142"/>
  <c r="AF120" i="119"/>
  <c r="AF5" i="119" s="1"/>
  <c r="AF6" i="119" s="1"/>
  <c r="E17" i="119"/>
  <c r="AI250" i="122"/>
  <c r="E243" i="122"/>
  <c r="AI243" i="122" s="1"/>
  <c r="H6" i="143"/>
  <c r="H388" i="143"/>
  <c r="H7" i="143"/>
  <c r="C17" i="141" l="1"/>
  <c r="C21" i="141"/>
  <c r="C24" i="141"/>
  <c r="C16" i="141"/>
  <c r="M20" i="146"/>
  <c r="B20" i="136"/>
  <c r="B20" i="145"/>
  <c r="L9" i="145"/>
  <c r="L4" i="145" s="1"/>
  <c r="M20" i="145"/>
  <c r="N20" i="146"/>
  <c r="K20" i="136"/>
  <c r="O20" i="146"/>
  <c r="O22" i="146" s="1"/>
  <c r="B20" i="135"/>
  <c r="J20" i="135" s="1"/>
  <c r="K10" i="146"/>
  <c r="K4" i="146"/>
  <c r="L4" i="146"/>
  <c r="L10" i="146"/>
  <c r="O20" i="145"/>
  <c r="O22" i="145" s="1"/>
  <c r="M4" i="165"/>
  <c r="M20" i="165" s="1"/>
  <c r="L4" i="165"/>
  <c r="L20" i="165" s="1"/>
  <c r="L10" i="145"/>
  <c r="C22" i="135"/>
  <c r="C18" i="141"/>
  <c r="K10" i="145"/>
  <c r="K20" i="145" s="1"/>
  <c r="N20" i="145"/>
  <c r="C19" i="141"/>
  <c r="C22" i="141"/>
  <c r="E150" i="122"/>
  <c r="AI150" i="122" s="1"/>
  <c r="AI152" i="122"/>
  <c r="AI143" i="143"/>
  <c r="E113" i="143"/>
  <c r="AI113" i="143" s="1"/>
  <c r="AI8" i="143"/>
  <c r="H5" i="153"/>
  <c r="H132" i="153" s="1"/>
  <c r="AL14" i="153"/>
  <c r="E66" i="119"/>
  <c r="AI66" i="119" s="1"/>
  <c r="AI67" i="119"/>
  <c r="AI8" i="147"/>
  <c r="F373" i="142"/>
  <c r="L373" i="142"/>
  <c r="E17" i="143"/>
  <c r="S50" i="154"/>
  <c r="AN55" i="154"/>
  <c r="AL55" i="154"/>
  <c r="E120" i="119"/>
  <c r="AI120" i="119" s="1"/>
  <c r="AI121" i="119"/>
  <c r="C20" i="141"/>
  <c r="E200" i="122"/>
  <c r="AI200" i="122" s="1"/>
  <c r="AI201" i="122"/>
  <c r="AI8" i="148"/>
  <c r="E5" i="148"/>
  <c r="AI5" i="148" s="1"/>
  <c r="U373" i="142"/>
  <c r="F368" i="143"/>
  <c r="AO368" i="143"/>
  <c r="AI109" i="147"/>
  <c r="E104" i="147"/>
  <c r="AI104" i="147" s="1"/>
  <c r="H374" i="147"/>
  <c r="I1" i="147"/>
  <c r="AI113" i="147"/>
  <c r="E112" i="147"/>
  <c r="AI112" i="147" s="1"/>
  <c r="E224" i="147"/>
  <c r="AI224" i="147" s="1"/>
  <c r="AI225" i="147"/>
  <c r="AO367" i="143"/>
  <c r="H379" i="143"/>
  <c r="H365" i="143"/>
  <c r="AL365" i="143"/>
  <c r="I14" i="140"/>
  <c r="D24" i="140"/>
  <c r="D21" i="140"/>
  <c r="D18" i="140"/>
  <c r="D23" i="140"/>
  <c r="D16" i="140"/>
  <c r="C15" i="140"/>
  <c r="D20" i="140"/>
  <c r="D19" i="140"/>
  <c r="D22" i="140"/>
  <c r="AI108" i="122"/>
  <c r="E107" i="122"/>
  <c r="AI107" i="122" s="1"/>
  <c r="AJ9" i="122"/>
  <c r="AD373" i="142"/>
  <c r="AI189" i="143"/>
  <c r="E188" i="143"/>
  <c r="AI188" i="143" s="1"/>
  <c r="AI349" i="142"/>
  <c r="E348" i="142"/>
  <c r="AI348" i="142" s="1"/>
  <c r="AM6" i="153"/>
  <c r="AI5" i="153"/>
  <c r="AL6" i="153"/>
  <c r="AI17" i="119"/>
  <c r="E7" i="119"/>
  <c r="E60" i="142"/>
  <c r="AI60" i="142" s="1"/>
  <c r="AI61" i="142"/>
  <c r="AI147" i="142"/>
  <c r="E111" i="142"/>
  <c r="AI111" i="142" s="1"/>
  <c r="E187" i="147"/>
  <c r="AI187" i="147" s="1"/>
  <c r="AI188" i="147"/>
  <c r="P373" i="142"/>
  <c r="E319" i="122"/>
  <c r="AI319" i="122" s="1"/>
  <c r="AI320" i="122"/>
  <c r="G59" i="143"/>
  <c r="E104" i="143"/>
  <c r="E59" i="143" s="1"/>
  <c r="Y373" i="142"/>
  <c r="E178" i="119"/>
  <c r="AI178" i="119" s="1"/>
  <c r="AI183" i="119"/>
  <c r="AI166" i="122"/>
  <c r="E165" i="122"/>
  <c r="AI165" i="122" s="1"/>
  <c r="AI62" i="147"/>
  <c r="E61" i="147"/>
  <c r="AI61" i="147" s="1"/>
  <c r="AN5" i="153"/>
  <c r="S132" i="153"/>
  <c r="N374" i="147"/>
  <c r="E219" i="143"/>
  <c r="AI219" i="143" s="1"/>
  <c r="P388" i="143"/>
  <c r="P6" i="143"/>
  <c r="P7" i="143"/>
  <c r="G15" i="140"/>
  <c r="H21" i="140"/>
  <c r="G26" i="140"/>
  <c r="H23" i="140"/>
  <c r="H18" i="140"/>
  <c r="H16" i="140"/>
  <c r="H14" i="140" s="1"/>
  <c r="H19" i="140"/>
  <c r="H17" i="140"/>
  <c r="H24" i="140"/>
  <c r="H22" i="140"/>
  <c r="E29" i="119"/>
  <c r="AI29" i="119" s="1"/>
  <c r="AI30" i="119"/>
  <c r="E14" i="142"/>
  <c r="AI15" i="142"/>
  <c r="AI327" i="119"/>
  <c r="E326" i="119"/>
  <c r="AI326" i="119" s="1"/>
  <c r="AF6" i="142"/>
  <c r="AF5" i="142"/>
  <c r="AF373" i="142" s="1"/>
  <c r="E234" i="119"/>
  <c r="AI234" i="119" s="1"/>
  <c r="AI235" i="119"/>
  <c r="AI313" i="142"/>
  <c r="E312" i="142"/>
  <c r="AI312" i="142" s="1"/>
  <c r="AI342" i="143"/>
  <c r="E341" i="143"/>
  <c r="AI341" i="143" s="1"/>
  <c r="AI224" i="142"/>
  <c r="E223" i="142"/>
  <c r="AI223" i="142" s="1"/>
  <c r="AI314" i="147"/>
  <c r="E313" i="147"/>
  <c r="AI313" i="147" s="1"/>
  <c r="AI16" i="147"/>
  <c r="E15" i="147"/>
  <c r="AI15" i="147" s="1"/>
  <c r="AI5" i="154"/>
  <c r="AM5" i="154" s="1"/>
  <c r="AM14" i="154"/>
  <c r="AL14" i="154"/>
  <c r="C26" i="140"/>
  <c r="D11" i="140"/>
  <c r="D12" i="140"/>
  <c r="I6" i="140"/>
  <c r="D10" i="140"/>
  <c r="D8" i="140"/>
  <c r="C6" i="141"/>
  <c r="AI175" i="147"/>
  <c r="E173" i="147"/>
  <c r="AI173" i="147" s="1"/>
  <c r="H20" i="140"/>
  <c r="AO5" i="153"/>
  <c r="K132" i="153"/>
  <c r="AO50" i="153"/>
  <c r="AL50" i="153"/>
  <c r="AL83" i="154"/>
  <c r="AM97" i="153"/>
  <c r="AL97" i="153"/>
  <c r="AI54" i="122"/>
  <c r="E53" i="122"/>
  <c r="AI53" i="122" s="1"/>
  <c r="E14" i="124"/>
  <c r="E16" i="124" s="1"/>
  <c r="AI8" i="124"/>
  <c r="E5" i="124"/>
  <c r="AI5" i="124" s="1"/>
  <c r="J20" i="140"/>
  <c r="AL97" i="154"/>
  <c r="H5" i="154"/>
  <c r="AI392" i="119"/>
  <c r="E378" i="119"/>
  <c r="AI378" i="119" s="1"/>
  <c r="AO50" i="154"/>
  <c r="K5" i="154"/>
  <c r="AO5" i="154" s="1"/>
  <c r="AL50" i="154"/>
  <c r="J17" i="140"/>
  <c r="AI297" i="122"/>
  <c r="E281" i="122"/>
  <c r="AI281" i="122" s="1"/>
  <c r="AF380" i="143"/>
  <c r="AN365" i="143"/>
  <c r="AF365" i="143"/>
  <c r="S373" i="142"/>
  <c r="E186" i="142"/>
  <c r="AI186" i="142" s="1"/>
  <c r="AI187" i="142"/>
  <c r="E194" i="119"/>
  <c r="AI194" i="119" s="1"/>
  <c r="AI195" i="119"/>
  <c r="AI174" i="142"/>
  <c r="E172" i="142"/>
  <c r="AI172" i="142" s="1"/>
  <c r="Z373" i="142"/>
  <c r="D22" i="141" l="1"/>
  <c r="D24" i="141"/>
  <c r="D21" i="141"/>
  <c r="D17" i="141"/>
  <c r="D18" i="141"/>
  <c r="D19" i="141"/>
  <c r="D10" i="141"/>
  <c r="K20" i="146"/>
  <c r="L20" i="146"/>
  <c r="I17" i="141"/>
  <c r="C14" i="141"/>
  <c r="L20" i="145"/>
  <c r="D16" i="141"/>
  <c r="D23" i="141"/>
  <c r="D20" i="141"/>
  <c r="AI59" i="143"/>
  <c r="G7" i="143"/>
  <c r="G6" i="143"/>
  <c r="AM5" i="153"/>
  <c r="AI132" i="153"/>
  <c r="AL132" i="153" s="1"/>
  <c r="E16" i="143"/>
  <c r="AI17" i="143"/>
  <c r="J11" i="140"/>
  <c r="J10" i="140"/>
  <c r="J12" i="140"/>
  <c r="G7" i="140"/>
  <c r="E7" i="140"/>
  <c r="J8" i="140"/>
  <c r="J6" i="140" s="1"/>
  <c r="D9" i="141"/>
  <c r="I26" i="140"/>
  <c r="AI14" i="142"/>
  <c r="E5" i="142"/>
  <c r="E6" i="142"/>
  <c r="AI6" i="142" s="1"/>
  <c r="I15" i="140"/>
  <c r="AL5" i="154"/>
  <c r="J9" i="140"/>
  <c r="D12" i="141"/>
  <c r="D14" i="140"/>
  <c r="Q1" i="143"/>
  <c r="P379" i="143"/>
  <c r="P366" i="143" s="1"/>
  <c r="P365" i="143"/>
  <c r="AM365" i="143"/>
  <c r="E7" i="147"/>
  <c r="AI7" i="147" s="1"/>
  <c r="E6" i="147"/>
  <c r="E369" i="143"/>
  <c r="E366" i="143" s="1"/>
  <c r="E1" i="147"/>
  <c r="D11" i="141"/>
  <c r="D6" i="140"/>
  <c r="AL5" i="153"/>
  <c r="H366" i="143"/>
  <c r="D8" i="141"/>
  <c r="J18" i="140"/>
  <c r="J24" i="140"/>
  <c r="J16" i="140"/>
  <c r="J19" i="140"/>
  <c r="J21" i="140"/>
  <c r="E15" i="140"/>
  <c r="J22" i="140"/>
  <c r="J23" i="140"/>
  <c r="E5" i="119"/>
  <c r="AI7" i="119"/>
  <c r="C7" i="140"/>
  <c r="I7" i="140" s="1"/>
  <c r="E5" i="122"/>
  <c r="E6" i="122" s="1"/>
  <c r="AI6" i="122" s="1"/>
  <c r="AI104" i="143"/>
  <c r="S5" i="154"/>
  <c r="AN5" i="154" s="1"/>
  <c r="AN50" i="154"/>
  <c r="C26" i="141" l="1"/>
  <c r="AO366" i="143"/>
  <c r="E374" i="147"/>
  <c r="AI6" i="147"/>
  <c r="E374" i="142"/>
  <c r="E373" i="142"/>
  <c r="AI5" i="142"/>
  <c r="D6" i="141"/>
  <c r="AI16" i="143"/>
  <c r="E7" i="143"/>
  <c r="AI7" i="143" s="1"/>
  <c r="E6" i="143"/>
  <c r="J14" i="140"/>
  <c r="G365" i="143"/>
  <c r="AI6" i="143"/>
  <c r="E6" i="119"/>
  <c r="AI6" i="119" s="1"/>
  <c r="AI5" i="119"/>
  <c r="F379" i="143"/>
  <c r="D14" i="141" l="1"/>
  <c r="F380" i="143"/>
  <c r="E365" i="143"/>
  <c r="E22" i="141" l="1"/>
  <c r="E23" i="141"/>
  <c r="E9" i="141" l="1"/>
  <c r="E21" i="141"/>
  <c r="E10" i="141"/>
  <c r="E8" i="141"/>
  <c r="E19" i="141"/>
  <c r="E18" i="141"/>
  <c r="E11" i="141"/>
  <c r="E20" i="141"/>
  <c r="E16" i="141"/>
  <c r="G10" i="141" l="1"/>
  <c r="G9" i="141"/>
  <c r="G11" i="141"/>
  <c r="I8" i="141"/>
  <c r="G18" i="141"/>
  <c r="E24" i="141"/>
  <c r="G23" i="141"/>
  <c r="G19" i="141"/>
  <c r="G21" i="141"/>
  <c r="G8" i="141"/>
  <c r="G20" i="141"/>
  <c r="G16" i="141"/>
  <c r="G22" i="141"/>
  <c r="F22" i="141" l="1"/>
  <c r="I16" i="141"/>
  <c r="F21" i="141"/>
  <c r="F20" i="141"/>
  <c r="F19" i="141"/>
  <c r="I19" i="141"/>
  <c r="I20" i="141"/>
  <c r="I21" i="141"/>
  <c r="I23" i="141"/>
  <c r="G24" i="141"/>
  <c r="E14" i="141"/>
  <c r="I10" i="141"/>
  <c r="I9" i="141"/>
  <c r="I11" i="141"/>
  <c r="I18" i="141"/>
  <c r="I22" i="141"/>
  <c r="G14" i="141" l="1"/>
  <c r="H24" i="141"/>
  <c r="H21" i="141"/>
  <c r="H20" i="141"/>
  <c r="H23" i="141"/>
  <c r="H16" i="141"/>
  <c r="H22" i="141"/>
  <c r="H19" i="141"/>
  <c r="H18" i="141"/>
  <c r="F17" i="141"/>
  <c r="F16" i="141"/>
  <c r="I24" i="141"/>
  <c r="F23" i="141"/>
  <c r="F24" i="141"/>
  <c r="F18" i="141"/>
  <c r="H17" i="141" l="1"/>
  <c r="J24" i="141"/>
  <c r="H14" i="141"/>
  <c r="I14" i="141"/>
  <c r="J16" i="141"/>
  <c r="J17" i="141"/>
  <c r="J21" i="141"/>
  <c r="J22" i="141"/>
  <c r="J19" i="141"/>
  <c r="J18" i="141"/>
  <c r="J20" i="141"/>
  <c r="J23" i="141"/>
  <c r="F14" i="141"/>
  <c r="E15" i="141" l="1"/>
  <c r="G15" i="141"/>
  <c r="C15" i="141"/>
  <c r="J14" i="141"/>
  <c r="I15" i="141" l="1"/>
  <c r="G12" i="141" l="1"/>
  <c r="E12" i="141"/>
  <c r="G6" i="141"/>
  <c r="I12" i="141" l="1"/>
  <c r="F12" i="141"/>
  <c r="H11" i="141"/>
  <c r="H9" i="141"/>
  <c r="H12" i="141"/>
  <c r="F8" i="141"/>
  <c r="E6" i="141"/>
  <c r="I6" i="141" l="1"/>
  <c r="J11" i="141"/>
  <c r="F9" i="141"/>
  <c r="E26" i="141"/>
  <c r="G26" i="141"/>
  <c r="H8" i="141"/>
  <c r="H10" i="141"/>
  <c r="H6" i="141"/>
  <c r="F10" i="141"/>
  <c r="F11" i="141"/>
  <c r="F6" i="141"/>
  <c r="J8" i="141"/>
  <c r="J9" i="141"/>
  <c r="C7" i="141"/>
  <c r="I26" i="141"/>
  <c r="J12" i="141" l="1"/>
  <c r="J10" i="141"/>
  <c r="E7" i="141"/>
  <c r="G7" i="141"/>
  <c r="J6" i="141" l="1"/>
  <c r="I7" i="1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歲計科張力允</author>
    <author>會計處郭柏顯</author>
  </authors>
  <commentList>
    <comment ref="V240" authorId="0" shapeId="0" xr:uid="{00000000-0006-0000-0D00-000001000000}">
      <text>
        <r>
          <rPr>
            <b/>
            <sz val="9"/>
            <color indexed="81"/>
            <rFont val="細明體"/>
            <family val="3"/>
            <charset val="136"/>
          </rPr>
          <t>歲計科張力允</t>
        </r>
        <r>
          <rPr>
            <b/>
            <sz val="9"/>
            <color indexed="81"/>
            <rFont val="Tahoma"/>
            <family val="2"/>
          </rPr>
          <t>:</t>
        </r>
        <r>
          <rPr>
            <sz val="9"/>
            <color indexed="81"/>
            <rFont val="Tahoma"/>
            <family val="2"/>
          </rPr>
          <t xml:space="preserve">
</t>
        </r>
        <r>
          <rPr>
            <sz val="14"/>
            <color indexed="81"/>
            <rFont val="細明體"/>
            <family val="3"/>
            <charset val="136"/>
          </rPr>
          <t>調尾差+1</t>
        </r>
      </text>
    </comment>
    <comment ref="C312" authorId="1" shapeId="0" xr:uid="{00000000-0006-0000-0D00-000002000000}">
      <text>
        <r>
          <rPr>
            <b/>
            <sz val="9"/>
            <color indexed="81"/>
            <rFont val="細明體"/>
            <family val="3"/>
            <charset val="136"/>
          </rPr>
          <t>會計處郭柏顯</t>
        </r>
        <r>
          <rPr>
            <b/>
            <sz val="9"/>
            <color indexed="81"/>
            <rFont val="Tahoma"/>
            <family val="2"/>
          </rPr>
          <t>:</t>
        </r>
        <r>
          <rPr>
            <sz val="9"/>
            <color indexed="81"/>
            <rFont val="Tahoma"/>
            <family val="2"/>
          </rPr>
          <t xml:space="preserve">
(</t>
        </r>
        <r>
          <rPr>
            <sz val="9"/>
            <color indexed="81"/>
            <rFont val="細明體"/>
            <family val="3"/>
            <charset val="136"/>
          </rPr>
          <t>舊名稱</t>
        </r>
        <r>
          <rPr>
            <sz val="9"/>
            <color indexed="81"/>
            <rFont val="Tahoma"/>
            <family val="2"/>
          </rPr>
          <t>:</t>
        </r>
        <r>
          <rPr>
            <sz val="9"/>
            <color indexed="81"/>
            <rFont val="細明體"/>
            <family val="3"/>
            <charset val="136"/>
          </rPr>
          <t>馬上關懷</t>
        </r>
        <r>
          <rPr>
            <sz val="9"/>
            <color indexed="81"/>
            <rFont val="Tahoma"/>
            <family val="2"/>
          </rPr>
          <t>)</t>
        </r>
        <r>
          <rPr>
            <sz val="9"/>
            <color indexed="81"/>
            <rFont val="細明體"/>
            <family val="3"/>
            <charset val="136"/>
          </rPr>
          <t>代收代付</t>
        </r>
        <r>
          <rPr>
            <sz val="9"/>
            <color indexed="81"/>
            <rFont val="Tahoma"/>
            <family val="2"/>
          </rPr>
          <t>.</t>
        </r>
        <r>
          <rPr>
            <sz val="9"/>
            <color indexed="81"/>
            <rFont val="細明體"/>
            <family val="3"/>
            <charset val="136"/>
          </rPr>
          <t>只填分配表就好</t>
        </r>
        <r>
          <rPr>
            <sz val="9"/>
            <color indexed="81"/>
            <rFont val="Tahoma"/>
            <family val="2"/>
          </rPr>
          <t>.</t>
        </r>
        <r>
          <rPr>
            <sz val="9"/>
            <color indexed="81"/>
            <rFont val="細明體"/>
            <family val="3"/>
            <charset val="136"/>
          </rPr>
          <t>不要填明細表</t>
        </r>
        <r>
          <rPr>
            <sz val="9"/>
            <color indexed="81"/>
            <rFont val="Tahoma"/>
            <family val="2"/>
          </rPr>
          <t>.</t>
        </r>
        <r>
          <rPr>
            <sz val="9"/>
            <color indexed="81"/>
            <rFont val="細明體"/>
            <family val="3"/>
            <charset val="136"/>
          </rPr>
          <t>因為有對地方政府補助但是不用通知地方政府納入預算</t>
        </r>
      </text>
    </comment>
    <comment ref="C317" authorId="1" shapeId="0" xr:uid="{00000000-0006-0000-0D00-000003000000}">
      <text>
        <r>
          <rPr>
            <b/>
            <sz val="9"/>
            <color indexed="81"/>
            <rFont val="細明體"/>
            <family val="3"/>
            <charset val="136"/>
          </rPr>
          <t>會計處郭柏顯</t>
        </r>
        <r>
          <rPr>
            <b/>
            <sz val="9"/>
            <color indexed="81"/>
            <rFont val="Tahoma"/>
            <family val="2"/>
          </rPr>
          <t>:</t>
        </r>
        <r>
          <rPr>
            <sz val="9"/>
            <color indexed="81"/>
            <rFont val="Tahoma"/>
            <family val="2"/>
          </rPr>
          <t xml:space="preserve">
2.42</t>
        </r>
        <r>
          <rPr>
            <sz val="9"/>
            <color indexed="81"/>
            <rFont val="細明體"/>
            <family val="3"/>
            <charset val="136"/>
          </rPr>
          <t>億</t>
        </r>
        <r>
          <rPr>
            <sz val="9"/>
            <color indexed="81"/>
            <rFont val="Tahoma"/>
            <family val="2"/>
          </rPr>
          <t>(</t>
        </r>
        <r>
          <rPr>
            <sz val="9"/>
            <color indexed="81"/>
            <rFont val="細明體"/>
            <family val="3"/>
            <charset val="136"/>
          </rPr>
          <t>有含</t>
        </r>
        <r>
          <rPr>
            <sz val="9"/>
            <color indexed="81"/>
            <rFont val="Tahoma"/>
            <family val="2"/>
          </rPr>
          <t>0.8</t>
        </r>
        <r>
          <rPr>
            <sz val="9"/>
            <color indexed="81"/>
            <rFont val="細明體"/>
            <family val="3"/>
            <charset val="136"/>
          </rPr>
          <t>億了</t>
        </r>
        <r>
          <rPr>
            <sz val="9"/>
            <color indexed="81"/>
            <rFont val="Tahoma"/>
            <family val="2"/>
          </rPr>
          <t>)</t>
        </r>
      </text>
    </comment>
    <comment ref="C318" authorId="1" shapeId="0" xr:uid="{00000000-0006-0000-0D00-000004000000}">
      <text>
        <r>
          <rPr>
            <b/>
            <sz val="9"/>
            <color indexed="81"/>
            <rFont val="細明體"/>
            <family val="3"/>
            <charset val="136"/>
          </rPr>
          <t>會計處郭柏顯</t>
        </r>
        <r>
          <rPr>
            <b/>
            <sz val="9"/>
            <color indexed="81"/>
            <rFont val="Tahoma"/>
            <family val="2"/>
          </rPr>
          <t>:</t>
        </r>
        <r>
          <rPr>
            <sz val="9"/>
            <color indexed="81"/>
            <rFont val="Tahoma"/>
            <family val="2"/>
          </rPr>
          <t xml:space="preserve">
</t>
        </r>
        <r>
          <rPr>
            <sz val="9"/>
            <color indexed="81"/>
            <rFont val="細明體"/>
            <family val="3"/>
            <charset val="136"/>
          </rPr>
          <t>高雄扣</t>
        </r>
        <r>
          <rPr>
            <sz val="9"/>
            <color indexed="81"/>
            <rFont val="Tahoma"/>
            <family val="2"/>
          </rPr>
          <t>24061</t>
        </r>
        <r>
          <rPr>
            <sz val="9"/>
            <color indexed="81"/>
            <rFont val="細明體"/>
            <family val="3"/>
            <charset val="136"/>
          </rPr>
          <t>千元</t>
        </r>
      </text>
    </comment>
    <comment ref="N318" authorId="1" shapeId="0" xr:uid="{00000000-0006-0000-0D00-000005000000}">
      <text>
        <r>
          <rPr>
            <b/>
            <sz val="9"/>
            <color indexed="81"/>
            <rFont val="細明體"/>
            <family val="3"/>
            <charset val="136"/>
          </rPr>
          <t>會計處郭柏顯</t>
        </r>
        <r>
          <rPr>
            <b/>
            <sz val="9"/>
            <color indexed="81"/>
            <rFont val="Tahoma"/>
            <family val="2"/>
          </rPr>
          <t>:</t>
        </r>
        <r>
          <rPr>
            <sz val="9"/>
            <color indexed="81"/>
            <rFont val="Tahoma"/>
            <family val="2"/>
          </rPr>
          <t xml:space="preserve">
1625732-24061</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G3" authorId="0" shapeId="0" xr:uid="{00000000-0006-0000-1900-000001000000}">
      <text>
        <r>
          <rPr>
            <b/>
            <sz val="9"/>
            <color indexed="81"/>
            <rFont val="新細明體"/>
            <family val="1"/>
            <charset val="136"/>
          </rPr>
          <t>z00sp:</t>
        </r>
        <r>
          <rPr>
            <sz val="9"/>
            <color indexed="81"/>
            <rFont val="新細明體"/>
            <family val="1"/>
            <charset val="136"/>
          </rPr>
          <t xml:space="preserve">
不用扣，已經包含在計畫型補助款內，從歲入扣除了</t>
        </r>
      </text>
    </comment>
    <comment ref="K3" authorId="0" shapeId="0" xr:uid="{00000000-0006-0000-1900-000002000000}">
      <text>
        <r>
          <rPr>
            <b/>
            <sz val="9"/>
            <color indexed="81"/>
            <rFont val="新細明體"/>
            <family val="1"/>
            <charset val="136"/>
          </rPr>
          <t>z00sp:</t>
        </r>
        <r>
          <rPr>
            <sz val="9"/>
            <color indexed="81"/>
            <rFont val="新細明體"/>
            <family val="1"/>
            <charset val="136"/>
          </rPr>
          <t xml:space="preserve">
寫總說明用。要扣掉特別預算</t>
        </r>
      </text>
    </comment>
    <comment ref="E9" authorId="0" shapeId="0" xr:uid="{00000000-0006-0000-1900-000003000000}">
      <text>
        <r>
          <rPr>
            <b/>
            <sz val="9"/>
            <color indexed="81"/>
            <rFont val="新細明體"/>
            <family val="1"/>
            <charset val="136"/>
          </rPr>
          <t>z00sp:</t>
        </r>
        <r>
          <rPr>
            <sz val="9"/>
            <color indexed="81"/>
            <rFont val="新細明體"/>
            <family val="1"/>
            <charset val="136"/>
          </rPr>
          <t xml:space="preserve">
含大口袋及未分配數</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11" authorId="0" shapeId="0" xr:uid="{00000000-0006-0000-1A00-000001000000}">
      <text>
        <r>
          <rPr>
            <b/>
            <sz val="9"/>
            <color indexed="81"/>
            <rFont val="新細明體"/>
            <family val="1"/>
            <charset val="136"/>
          </rPr>
          <t>z00sp:</t>
        </r>
        <r>
          <rPr>
            <sz val="9"/>
            <color indexed="81"/>
            <rFont val="新細明體"/>
            <family val="1"/>
            <charset val="136"/>
          </rPr>
          <t xml:space="preserve">
尾差-1</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K3" authorId="0" shapeId="0" xr:uid="{00000000-0006-0000-1B00-000001000000}">
      <text>
        <r>
          <rPr>
            <b/>
            <sz val="9"/>
            <color indexed="81"/>
            <rFont val="新細明體"/>
            <family val="1"/>
            <charset val="136"/>
          </rPr>
          <t>z00sp:</t>
        </r>
        <r>
          <rPr>
            <sz val="9"/>
            <color indexed="81"/>
            <rFont val="新細明體"/>
            <family val="1"/>
            <charset val="136"/>
          </rPr>
          <t xml:space="preserve">
寫總說明用。要扣掉特別預算</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K3" authorId="0" shapeId="0" xr:uid="{00000000-0006-0000-1C00-000001000000}">
      <text>
        <r>
          <rPr>
            <b/>
            <sz val="9"/>
            <color indexed="81"/>
            <rFont val="新細明體"/>
            <family val="1"/>
            <charset val="136"/>
          </rPr>
          <t>z00sp:</t>
        </r>
        <r>
          <rPr>
            <sz val="9"/>
            <color indexed="81"/>
            <rFont val="新細明體"/>
            <family val="1"/>
            <charset val="136"/>
          </rPr>
          <t xml:space="preserve">
寫總說明用。要扣掉特別預算</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8" authorId="0" shapeId="0" xr:uid="{00000000-0006-0000-1D00-000001000000}">
      <text>
        <r>
          <rPr>
            <b/>
            <sz val="9"/>
            <color indexed="81"/>
            <rFont val="新細明體"/>
            <family val="1"/>
            <charset val="136"/>
          </rPr>
          <t>z00sp:</t>
        </r>
        <r>
          <rPr>
            <sz val="9"/>
            <color indexed="81"/>
            <rFont val="新細明體"/>
            <family val="1"/>
            <charset val="136"/>
          </rPr>
          <t xml:space="preserve">
尾差+1
</t>
        </r>
      </text>
    </comment>
    <comment ref="C17" authorId="0" shapeId="0" xr:uid="{00000000-0006-0000-1D00-000002000000}">
      <text>
        <r>
          <rPr>
            <b/>
            <sz val="9"/>
            <color indexed="81"/>
            <rFont val="新細明體"/>
            <family val="1"/>
            <charset val="136"/>
          </rPr>
          <t>z00sp:</t>
        </r>
        <r>
          <rPr>
            <sz val="9"/>
            <color indexed="81"/>
            <rFont val="新細明體"/>
            <family val="1"/>
            <charset val="136"/>
          </rPr>
          <t xml:space="preserve">
尾差-1</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K3" authorId="0" shapeId="0" xr:uid="{00000000-0006-0000-1E00-000001000000}">
      <text>
        <r>
          <rPr>
            <b/>
            <sz val="9"/>
            <color indexed="81"/>
            <rFont val="新細明體"/>
            <family val="1"/>
            <charset val="136"/>
          </rPr>
          <t>z00sp:</t>
        </r>
        <r>
          <rPr>
            <sz val="9"/>
            <color indexed="81"/>
            <rFont val="新細明體"/>
            <family val="1"/>
            <charset val="136"/>
          </rPr>
          <t xml:space="preserve">
寫總說明用。要扣掉特別預算</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K3" authorId="0" shapeId="0" xr:uid="{00000000-0006-0000-1F00-000001000000}">
      <text>
        <r>
          <rPr>
            <b/>
            <sz val="9"/>
            <color indexed="81"/>
            <rFont val="新細明體"/>
            <family val="1"/>
            <charset val="136"/>
          </rPr>
          <t>z00sp:</t>
        </r>
        <r>
          <rPr>
            <sz val="9"/>
            <color indexed="81"/>
            <rFont val="新細明體"/>
            <family val="1"/>
            <charset val="136"/>
          </rPr>
          <t xml:space="preserve">
寫總說明用。要扣掉特別預算</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9" authorId="0" shapeId="0" xr:uid="{00000000-0006-0000-2200-000001000000}">
      <text>
        <r>
          <rPr>
            <b/>
            <sz val="9"/>
            <color indexed="81"/>
            <rFont val="新細明體"/>
            <family val="1"/>
            <charset val="136"/>
          </rPr>
          <t>z00sp:</t>
        </r>
        <r>
          <rPr>
            <sz val="9"/>
            <color indexed="81"/>
            <rFont val="新細明體"/>
            <family val="1"/>
            <charset val="136"/>
          </rPr>
          <t xml:space="preserve">
尾差+1</t>
        </r>
      </text>
    </comment>
    <comment ref="C10" authorId="0" shapeId="0" xr:uid="{00000000-0006-0000-2200-000002000000}">
      <text>
        <r>
          <rPr>
            <b/>
            <sz val="9"/>
            <color indexed="81"/>
            <rFont val="新細明體"/>
            <family val="1"/>
            <charset val="136"/>
          </rPr>
          <t>z00sp:</t>
        </r>
        <r>
          <rPr>
            <sz val="9"/>
            <color indexed="81"/>
            <rFont val="新細明體"/>
            <family val="1"/>
            <charset val="136"/>
          </rPr>
          <t xml:space="preserve">
104法定數有同基礎比較問題，各政事別有點不同，採調整後!!</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J22" authorId="0" shapeId="0" xr:uid="{00000000-0006-0000-2700-000001000000}">
      <text>
        <r>
          <rPr>
            <b/>
            <sz val="9"/>
            <color indexed="81"/>
            <rFont val="新細明體"/>
            <family val="1"/>
            <charset val="136"/>
          </rPr>
          <t>z00sp:</t>
        </r>
        <r>
          <rPr>
            <sz val="9"/>
            <color indexed="81"/>
            <rFont val="新細明體"/>
            <family val="1"/>
            <charset val="136"/>
          </rPr>
          <t xml:space="preserve">
調尾差</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內政部</author>
  </authors>
  <commentList>
    <comment ref="AJ24" authorId="0" shapeId="0" xr:uid="{00000000-0006-0000-0E00-000001000000}">
      <text>
        <r>
          <rPr>
            <b/>
            <sz val="9"/>
            <color indexed="81"/>
            <rFont val="細明體"/>
            <family val="3"/>
            <charset val="136"/>
          </rPr>
          <t>內政部</t>
        </r>
        <r>
          <rPr>
            <b/>
            <sz val="9"/>
            <color indexed="81"/>
            <rFont val="Tahoma"/>
            <family val="2"/>
          </rPr>
          <t>:</t>
        </r>
        <r>
          <rPr>
            <sz val="9"/>
            <color indexed="81"/>
            <rFont val="Tahoma"/>
            <family val="2"/>
          </rPr>
          <t xml:space="preserve">
</t>
        </r>
        <r>
          <rPr>
            <sz val="9"/>
            <color indexed="81"/>
            <rFont val="細明體"/>
            <family val="3"/>
            <charset val="136"/>
          </rPr>
          <t>待分配</t>
        </r>
      </text>
    </comment>
    <comment ref="AK24" authorId="0" shapeId="0" xr:uid="{00000000-0006-0000-0E00-000002000000}">
      <text>
        <r>
          <rPr>
            <b/>
            <sz val="9"/>
            <color indexed="81"/>
            <rFont val="細明體"/>
            <family val="3"/>
            <charset val="136"/>
          </rPr>
          <t>內政部</t>
        </r>
        <r>
          <rPr>
            <b/>
            <sz val="9"/>
            <color indexed="81"/>
            <rFont val="Tahoma"/>
            <family val="2"/>
          </rPr>
          <t>:</t>
        </r>
        <r>
          <rPr>
            <sz val="9"/>
            <color indexed="81"/>
            <rFont val="Tahoma"/>
            <family val="2"/>
          </rPr>
          <t xml:space="preserve">
</t>
        </r>
        <r>
          <rPr>
            <sz val="9"/>
            <color indexed="81"/>
            <rFont val="細明體"/>
            <family val="3"/>
            <charset val="136"/>
          </rPr>
          <t>待分配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3" authorId="0" shapeId="0" xr:uid="{00000000-0006-0000-1000-000001000000}">
      <text>
        <r>
          <rPr>
            <b/>
            <sz val="9"/>
            <color indexed="81"/>
            <rFont val="新細明體"/>
            <family val="1"/>
            <charset val="136"/>
          </rPr>
          <t>z00sp:</t>
        </r>
        <r>
          <rPr>
            <sz val="9"/>
            <color indexed="81"/>
            <rFont val="新細明體"/>
            <family val="1"/>
            <charset val="136"/>
          </rPr>
          <t xml:space="preserve">
歲入歲出簡明表就看的到數字，但是不同年度可能有同基礎移列，所以最終還是要和一科歷年中央政府收支概況表核對</t>
        </r>
      </text>
    </comment>
    <comment ref="F3" authorId="0" shapeId="0" xr:uid="{00000000-0006-0000-1000-000002000000}">
      <text>
        <r>
          <rPr>
            <b/>
            <sz val="9"/>
            <color indexed="81"/>
            <rFont val="新細明體"/>
            <family val="1"/>
            <charset val="136"/>
          </rPr>
          <t>z00sp:</t>
        </r>
        <r>
          <rPr>
            <sz val="9"/>
            <color indexed="81"/>
            <rFont val="新細明體"/>
            <family val="1"/>
            <charset val="136"/>
          </rPr>
          <t xml:space="preserve">
問負責設算一般性的同仁</t>
        </r>
      </text>
    </comment>
    <comment ref="H3" authorId="0" shapeId="0" xr:uid="{00000000-0006-0000-1000-000003000000}">
      <text>
        <r>
          <rPr>
            <b/>
            <sz val="12"/>
            <color indexed="81"/>
            <rFont val="新細明體"/>
            <family val="1"/>
            <charset val="136"/>
          </rPr>
          <t>z00sp:</t>
        </r>
        <r>
          <rPr>
            <sz val="12"/>
            <color indexed="81"/>
            <rFont val="新細明體"/>
            <family val="1"/>
            <charset val="136"/>
          </rPr>
          <t xml:space="preserve">
1.政事別看計畫型表件前面政事型欄位。
2.包含財政部金融營業稅調降補助</t>
        </r>
      </text>
    </comment>
    <comment ref="J3" authorId="0" shapeId="0" xr:uid="{00000000-0006-0000-1000-000004000000}">
      <text>
        <r>
          <rPr>
            <b/>
            <sz val="9"/>
            <color indexed="81"/>
            <rFont val="新細明體"/>
            <family val="1"/>
            <charset val="136"/>
          </rPr>
          <t>z00sp:</t>
        </r>
        <r>
          <rPr>
            <sz val="9"/>
            <color indexed="81"/>
            <rFont val="新細明體"/>
            <family val="1"/>
            <charset val="136"/>
          </rPr>
          <t xml:space="preserve">
照原本特別預算通過時調查法定預算數，不變動。</t>
        </r>
      </text>
    </comment>
    <comment ref="K3" authorId="0" shapeId="0" xr:uid="{00000000-0006-0000-1000-000005000000}">
      <text>
        <r>
          <rPr>
            <b/>
            <sz val="9"/>
            <color indexed="81"/>
            <rFont val="新細明體"/>
            <family val="1"/>
            <charset val="136"/>
          </rPr>
          <t>z00sp:</t>
        </r>
        <r>
          <rPr>
            <sz val="9"/>
            <color indexed="81"/>
            <rFont val="新細明體"/>
            <family val="1"/>
            <charset val="136"/>
          </rPr>
          <t xml:space="preserve">
照原本特別預算通過時調查法定預算數，不變動。</t>
        </r>
      </text>
    </comment>
    <comment ref="F19" authorId="0" shapeId="0" xr:uid="{00000000-0006-0000-1000-000006000000}">
      <text>
        <r>
          <rPr>
            <b/>
            <sz val="9"/>
            <color indexed="81"/>
            <rFont val="新細明體"/>
            <family val="1"/>
            <charset val="136"/>
          </rPr>
          <t>z00sp:</t>
        </r>
        <r>
          <rPr>
            <sz val="9"/>
            <color indexed="81"/>
            <rFont val="新細明體"/>
            <family val="1"/>
            <charset val="136"/>
          </rPr>
          <t xml:space="preserve">
調尾差</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z00sp</author>
    <author>陳淑娟</author>
  </authors>
  <commentList>
    <comment ref="C3" authorId="0" shapeId="0" xr:uid="{00000000-0006-0000-1100-000001000000}">
      <text>
        <r>
          <rPr>
            <b/>
            <sz val="12"/>
            <color indexed="81"/>
            <rFont val="新細明體"/>
            <family val="1"/>
            <charset val="136"/>
          </rPr>
          <t>z00sp:</t>
        </r>
        <r>
          <rPr>
            <sz val="12"/>
            <color indexed="81"/>
            <rFont val="新細明體"/>
            <family val="1"/>
            <charset val="136"/>
          </rPr>
          <t xml:space="preserve">
直轄市調查結果合計，其中其他收入含補助及協助收入</t>
        </r>
        <r>
          <rPr>
            <sz val="9"/>
            <color indexed="81"/>
            <rFont val="新細明體"/>
            <family val="1"/>
            <charset val="136"/>
          </rPr>
          <t xml:space="preserve">
</t>
        </r>
      </text>
    </comment>
    <comment ref="G3" authorId="0" shapeId="0" xr:uid="{00000000-0006-0000-1100-000002000000}">
      <text>
        <r>
          <rPr>
            <b/>
            <sz val="9"/>
            <color indexed="81"/>
            <rFont val="新細明體"/>
            <family val="1"/>
            <charset val="136"/>
          </rPr>
          <t>z00sp:</t>
        </r>
        <r>
          <rPr>
            <sz val="9"/>
            <color indexed="81"/>
            <rFont val="新細明體"/>
            <family val="1"/>
            <charset val="136"/>
          </rPr>
          <t xml:space="preserve">
不用扣，已經包含在計畫型補助款內，從歲入扣除了</t>
        </r>
      </text>
    </comment>
    <comment ref="H3" authorId="0" shapeId="0" xr:uid="{00000000-0006-0000-1100-000003000000}">
      <text>
        <r>
          <rPr>
            <b/>
            <sz val="12"/>
            <color indexed="81"/>
            <rFont val="新細明體"/>
            <family val="1"/>
            <charset val="136"/>
          </rPr>
          <t>z00sp:</t>
        </r>
        <r>
          <rPr>
            <sz val="12"/>
            <color indexed="81"/>
            <rFont val="新細明體"/>
            <family val="1"/>
            <charset val="136"/>
          </rPr>
          <t xml:space="preserve">
直接用法定預算剛通過時調查的數字，不更新實際分配數。</t>
        </r>
      </text>
    </comment>
    <comment ref="A9" authorId="0" shapeId="0" xr:uid="{00000000-0006-0000-1100-000004000000}">
      <text>
        <r>
          <rPr>
            <b/>
            <sz val="9"/>
            <color indexed="81"/>
            <rFont val="新細明體"/>
            <family val="1"/>
            <charset val="136"/>
          </rPr>
          <t>z00sp:</t>
        </r>
        <r>
          <rPr>
            <sz val="9"/>
            <color indexed="81"/>
            <rFont val="新細明體"/>
            <family val="1"/>
            <charset val="136"/>
          </rPr>
          <t xml:space="preserve">
含補助及協助收入</t>
        </r>
      </text>
    </comment>
    <comment ref="D9" authorId="1" shapeId="0" xr:uid="{00000000-0006-0000-1100-000005000000}">
      <text>
        <r>
          <rPr>
            <b/>
            <sz val="9"/>
            <color indexed="81"/>
            <rFont val="細明體"/>
            <family val="3"/>
            <charset val="136"/>
          </rPr>
          <t>陳淑娟</t>
        </r>
        <r>
          <rPr>
            <b/>
            <sz val="9"/>
            <color indexed="81"/>
            <rFont val="Tahoma"/>
            <family val="2"/>
          </rPr>
          <t>:</t>
        </r>
        <r>
          <rPr>
            <sz val="9"/>
            <color indexed="81"/>
            <rFont val="Tahoma"/>
            <family val="2"/>
          </rPr>
          <t xml:space="preserve">
</t>
        </r>
        <r>
          <rPr>
            <sz val="9"/>
            <color indexed="81"/>
            <rFont val="細明體"/>
            <family val="3"/>
            <charset val="136"/>
          </rPr>
          <t>為與預算案估計數相當，補估列前瞻特別預算補助款</t>
        </r>
        <r>
          <rPr>
            <sz val="9"/>
            <color indexed="81"/>
            <rFont val="Tahoma"/>
            <family val="2"/>
          </rPr>
          <t>1,997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G3" authorId="0" shapeId="0" xr:uid="{00000000-0006-0000-1200-000001000000}">
      <text>
        <r>
          <rPr>
            <b/>
            <sz val="9"/>
            <color indexed="81"/>
            <rFont val="新細明體"/>
            <family val="1"/>
            <charset val="136"/>
          </rPr>
          <t>z00sp:</t>
        </r>
        <r>
          <rPr>
            <sz val="9"/>
            <color indexed="81"/>
            <rFont val="新細明體"/>
            <family val="1"/>
            <charset val="136"/>
          </rPr>
          <t xml:space="preserve">
不用扣，已經包含在計畫型補助款內，從歲入扣除了</t>
        </r>
      </text>
    </comment>
    <comment ref="E9" authorId="0" shapeId="0" xr:uid="{00000000-0006-0000-1200-000002000000}">
      <text>
        <r>
          <rPr>
            <b/>
            <sz val="9"/>
            <color indexed="81"/>
            <rFont val="新細明體"/>
            <family val="1"/>
            <charset val="136"/>
          </rPr>
          <t>z00sp:</t>
        </r>
        <r>
          <rPr>
            <sz val="9"/>
            <color indexed="81"/>
            <rFont val="新細明體"/>
            <family val="1"/>
            <charset val="136"/>
          </rPr>
          <t xml:space="preserve">
含大口袋及未分配數</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公務預算處國防外交科姚鍾玉</author>
    <author>z00sp</author>
  </authors>
  <commentList>
    <comment ref="A9" authorId="0" shapeId="0" xr:uid="{00000000-0006-0000-1300-000001000000}">
      <text>
        <r>
          <rPr>
            <b/>
            <sz val="9"/>
            <color indexed="81"/>
            <rFont val="新細明體"/>
            <family val="1"/>
            <charset val="136"/>
          </rPr>
          <t>公務預算處國防外交科姚鍾玉:</t>
        </r>
        <r>
          <rPr>
            <sz val="9"/>
            <color indexed="81"/>
            <rFont val="新細明體"/>
            <family val="1"/>
            <charset val="136"/>
          </rPr>
          <t xml:space="preserve">
列高24
</t>
        </r>
      </text>
    </comment>
    <comment ref="B174" authorId="1" shapeId="0" xr:uid="{00000000-0006-0000-1300-000002000000}">
      <text>
        <r>
          <rPr>
            <b/>
            <sz val="9"/>
            <color indexed="81"/>
            <rFont val="新細明體"/>
            <family val="1"/>
            <charset val="136"/>
          </rPr>
          <t>z00sp:</t>
        </r>
        <r>
          <rPr>
            <sz val="9"/>
            <color indexed="81"/>
            <rFont val="新細明體"/>
            <family val="1"/>
            <charset val="136"/>
          </rPr>
          <t xml:space="preserve">
經濟部單位預算之分預算</t>
        </r>
      </text>
    </comment>
    <comment ref="B365" authorId="1" shapeId="0" xr:uid="{00000000-0006-0000-1300-000003000000}">
      <text>
        <r>
          <rPr>
            <b/>
            <sz val="9"/>
            <color indexed="81"/>
            <rFont val="新細明體"/>
            <family val="1"/>
            <charset val="136"/>
          </rPr>
          <t>z00sp:</t>
        </r>
        <r>
          <rPr>
            <sz val="9"/>
            <color indexed="81"/>
            <rFont val="新細明體"/>
            <family val="1"/>
            <charset val="136"/>
          </rPr>
          <t xml:space="preserve">
文化部單位預算之分預算</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B173" authorId="0" shapeId="0" xr:uid="{00000000-0006-0000-1600-000001000000}">
      <text>
        <r>
          <rPr>
            <b/>
            <sz val="9"/>
            <color indexed="81"/>
            <rFont val="新細明體"/>
            <family val="1"/>
            <charset val="136"/>
          </rPr>
          <t>z00sp:</t>
        </r>
        <r>
          <rPr>
            <sz val="9"/>
            <color indexed="81"/>
            <rFont val="新細明體"/>
            <family val="1"/>
            <charset val="136"/>
          </rPr>
          <t xml:space="preserve">
經濟部單位預算之分預算</t>
        </r>
      </text>
    </comment>
    <comment ref="B364" authorId="0" shapeId="0" xr:uid="{00000000-0006-0000-1600-000002000000}">
      <text>
        <r>
          <rPr>
            <b/>
            <sz val="9"/>
            <color indexed="81"/>
            <rFont val="新細明體"/>
            <family val="1"/>
            <charset val="136"/>
          </rPr>
          <t>z00sp:</t>
        </r>
        <r>
          <rPr>
            <sz val="9"/>
            <color indexed="81"/>
            <rFont val="新細明體"/>
            <family val="1"/>
            <charset val="136"/>
          </rPr>
          <t xml:space="preserve">
文化部單位預算之分預算</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3" authorId="0" shapeId="0" xr:uid="{00000000-0006-0000-1700-000001000000}">
      <text>
        <r>
          <rPr>
            <b/>
            <sz val="9"/>
            <color indexed="81"/>
            <rFont val="新細明體"/>
            <family val="1"/>
            <charset val="136"/>
          </rPr>
          <t>z00sp:</t>
        </r>
        <r>
          <rPr>
            <sz val="9"/>
            <color indexed="81"/>
            <rFont val="新細明體"/>
            <family val="1"/>
            <charset val="136"/>
          </rPr>
          <t xml:space="preserve">
歲入歲出簡明表就看的到數字，但是不同年度可能有同基礎移列，所以最終還是要和一科歷年中央政府收支概況表核對</t>
        </r>
      </text>
    </comment>
    <comment ref="E3" authorId="0" shapeId="0" xr:uid="{00000000-0006-0000-1700-000002000000}">
      <text>
        <r>
          <rPr>
            <b/>
            <sz val="9"/>
            <color indexed="81"/>
            <rFont val="新細明體"/>
            <family val="1"/>
            <charset val="136"/>
          </rPr>
          <t>z00sp:</t>
        </r>
        <r>
          <rPr>
            <sz val="9"/>
            <color indexed="81"/>
            <rFont val="新細明體"/>
            <family val="1"/>
            <charset val="136"/>
          </rPr>
          <t xml:space="preserve">
問負責設算一般性的同仁</t>
        </r>
      </text>
    </comment>
    <comment ref="G3" authorId="0" shapeId="0" xr:uid="{00000000-0006-0000-1700-000003000000}">
      <text>
        <r>
          <rPr>
            <b/>
            <sz val="12"/>
            <color indexed="81"/>
            <rFont val="新細明體"/>
            <family val="1"/>
            <charset val="136"/>
          </rPr>
          <t>z00sp:</t>
        </r>
        <r>
          <rPr>
            <sz val="12"/>
            <color indexed="81"/>
            <rFont val="新細明體"/>
            <family val="1"/>
            <charset val="136"/>
          </rPr>
          <t xml:space="preserve">
1.政事別看計畫型表件前面政事型欄位。
2.包含財政部金融營業稅調降補助</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z00sp</author>
  </authors>
  <commentList>
    <comment ref="C3" authorId="0" shapeId="0" xr:uid="{00000000-0006-0000-1800-000001000000}">
      <text>
        <r>
          <rPr>
            <b/>
            <sz val="12"/>
            <color indexed="81"/>
            <rFont val="新細明體"/>
            <family val="1"/>
            <charset val="136"/>
          </rPr>
          <t>z00sp:</t>
        </r>
        <r>
          <rPr>
            <sz val="12"/>
            <color indexed="81"/>
            <rFont val="新細明體"/>
            <family val="1"/>
            <charset val="136"/>
          </rPr>
          <t xml:space="preserve">
直轄市調查結果合計，其中其他收入含補助及協助收入</t>
        </r>
        <r>
          <rPr>
            <sz val="9"/>
            <color indexed="81"/>
            <rFont val="新細明體"/>
            <family val="1"/>
            <charset val="136"/>
          </rPr>
          <t xml:space="preserve">
</t>
        </r>
      </text>
    </comment>
    <comment ref="D3" authorId="0" shapeId="0" xr:uid="{00000000-0006-0000-1800-000002000000}">
      <text>
        <r>
          <rPr>
            <b/>
            <sz val="9"/>
            <color indexed="81"/>
            <rFont val="新細明體"/>
            <family val="1"/>
            <charset val="136"/>
          </rPr>
          <t>z00sp:</t>
        </r>
        <r>
          <rPr>
            <sz val="9"/>
            <color indexed="81"/>
            <rFont val="新細明體"/>
            <family val="1"/>
            <charset val="136"/>
          </rPr>
          <t xml:space="preserve">
法定預算盡量不調整，除非很有問題。</t>
        </r>
      </text>
    </comment>
    <comment ref="G3" authorId="0" shapeId="0" xr:uid="{00000000-0006-0000-1800-000003000000}">
      <text>
        <r>
          <rPr>
            <b/>
            <sz val="9"/>
            <color indexed="81"/>
            <rFont val="新細明體"/>
            <family val="1"/>
            <charset val="136"/>
          </rPr>
          <t>z00sp:</t>
        </r>
        <r>
          <rPr>
            <sz val="9"/>
            <color indexed="81"/>
            <rFont val="新細明體"/>
            <family val="1"/>
            <charset val="136"/>
          </rPr>
          <t xml:space="preserve">
不用扣，已經包含在計畫型補助款內，從歲入扣除了</t>
        </r>
      </text>
    </comment>
    <comment ref="H3" authorId="0" shapeId="0" xr:uid="{00000000-0006-0000-1800-000004000000}">
      <text>
        <r>
          <rPr>
            <b/>
            <sz val="12"/>
            <color indexed="81"/>
            <rFont val="新細明體"/>
            <family val="1"/>
            <charset val="136"/>
          </rPr>
          <t>z00sp:</t>
        </r>
        <r>
          <rPr>
            <sz val="12"/>
            <color indexed="81"/>
            <rFont val="新細明體"/>
            <family val="1"/>
            <charset val="136"/>
          </rPr>
          <t xml:space="preserve">
直接用法定預算剛通過時調查的數字，不更新實際分配數。</t>
        </r>
      </text>
    </comment>
    <comment ref="K3" authorId="0" shapeId="0" xr:uid="{00000000-0006-0000-1800-000005000000}">
      <text>
        <r>
          <rPr>
            <b/>
            <sz val="9"/>
            <color indexed="81"/>
            <rFont val="新細明體"/>
            <family val="1"/>
            <charset val="136"/>
          </rPr>
          <t>z00sp:</t>
        </r>
        <r>
          <rPr>
            <sz val="9"/>
            <color indexed="81"/>
            <rFont val="新細明體"/>
            <family val="1"/>
            <charset val="136"/>
          </rPr>
          <t xml:space="preserve">
寫總說明用。要扣掉特別預算</t>
        </r>
      </text>
    </comment>
    <comment ref="A9" authorId="0" shapeId="0" xr:uid="{00000000-0006-0000-1800-000006000000}">
      <text>
        <r>
          <rPr>
            <b/>
            <sz val="9"/>
            <color indexed="81"/>
            <rFont val="新細明體"/>
            <family val="1"/>
            <charset val="136"/>
          </rPr>
          <t>z00sp:</t>
        </r>
        <r>
          <rPr>
            <sz val="9"/>
            <color indexed="81"/>
            <rFont val="新細明體"/>
            <family val="1"/>
            <charset val="136"/>
          </rPr>
          <t xml:space="preserve">
含補助及協助收入</t>
        </r>
      </text>
    </comment>
  </commentList>
</comments>
</file>

<file path=xl/sharedStrings.xml><?xml version="1.0" encoding="utf-8"?>
<sst xmlns="http://schemas.openxmlformats.org/spreadsheetml/2006/main" count="7085" uniqueCount="2084">
  <si>
    <t>內政部主管</t>
    <phoneticPr fontId="19" type="noConversion"/>
  </si>
  <si>
    <t>教育部主管</t>
    <phoneticPr fontId="19" type="noConversion"/>
  </si>
  <si>
    <t>經濟部主管</t>
    <phoneticPr fontId="19" type="noConversion"/>
  </si>
  <si>
    <t>林務局</t>
    <phoneticPr fontId="19" type="noConversion"/>
  </si>
  <si>
    <t>水土保持局</t>
    <phoneticPr fontId="19" type="noConversion"/>
  </si>
  <si>
    <t>動植物防疫檢疫局</t>
    <phoneticPr fontId="19" type="noConversion"/>
  </si>
  <si>
    <t>環保署主管</t>
    <phoneticPr fontId="19" type="noConversion"/>
  </si>
  <si>
    <t>福建省政府</t>
    <phoneticPr fontId="19" type="noConversion"/>
  </si>
  <si>
    <t>林產產銷輔導計畫</t>
  </si>
  <si>
    <t>農糧署</t>
  </si>
  <si>
    <t>交通部主管</t>
    <phoneticPr fontId="22" type="noConversion"/>
  </si>
  <si>
    <t xml:space="preserve"> - </t>
  </si>
  <si>
    <t>項目</t>
    <phoneticPr fontId="3" type="noConversion"/>
  </si>
  <si>
    <t>本年預算</t>
    <phoneticPr fontId="3" type="noConversion"/>
  </si>
  <si>
    <t>單位：新台幣百萬元</t>
    <phoneticPr fontId="5" type="noConversion"/>
  </si>
  <si>
    <r>
      <t>3.</t>
    </r>
    <r>
      <rPr>
        <sz val="12"/>
        <rFont val="標楷體"/>
        <family val="4"/>
        <charset val="136"/>
      </rPr>
      <t>規費及罰鍰收入</t>
    </r>
    <phoneticPr fontId="4" type="noConversion"/>
  </si>
  <si>
    <r>
      <t>5.</t>
    </r>
    <r>
      <rPr>
        <sz val="12"/>
        <rFont val="標楷體"/>
        <family val="4"/>
        <charset val="136"/>
      </rPr>
      <t>其他收入</t>
    </r>
    <phoneticPr fontId="4" type="noConversion"/>
  </si>
  <si>
    <t>三、歲入歲出餘絀</t>
    <phoneticPr fontId="5" type="noConversion"/>
  </si>
  <si>
    <r>
      <t>4.</t>
    </r>
    <r>
      <rPr>
        <sz val="12"/>
        <rFont val="標楷體"/>
        <family val="4"/>
        <charset val="136"/>
      </rPr>
      <t>財產收入</t>
    </r>
    <phoneticPr fontId="5" type="noConversion"/>
  </si>
  <si>
    <t>二、歲出合計</t>
    <phoneticPr fontId="3" type="noConversion"/>
  </si>
  <si>
    <r>
      <t>8.</t>
    </r>
    <r>
      <rPr>
        <sz val="12"/>
        <rFont val="標楷體"/>
        <family val="4"/>
        <charset val="136"/>
      </rPr>
      <t>債務支出</t>
    </r>
    <phoneticPr fontId="5" type="noConversion"/>
  </si>
  <si>
    <t>合計</t>
    <phoneticPr fontId="5" type="noConversion"/>
  </si>
  <si>
    <r>
      <t>2.</t>
    </r>
    <r>
      <rPr>
        <sz val="12"/>
        <rFont val="標楷體"/>
        <family val="4"/>
        <charset val="136"/>
      </rPr>
      <t>國防支出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</si>
  <si>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</si>
  <si>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</si>
  <si>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</si>
  <si>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</si>
  <si>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</si>
  <si>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1.</t>
    </r>
    <r>
      <rPr>
        <sz val="12"/>
        <rFont val="標楷體"/>
        <family val="4"/>
        <charset val="136"/>
      </rPr>
      <t>一般政務支出</t>
    </r>
    <phoneticPr fontId="3" type="noConversion"/>
  </si>
  <si>
    <r>
      <t>3.</t>
    </r>
    <r>
      <rPr>
        <sz val="12"/>
        <rFont val="標楷體"/>
        <family val="4"/>
        <charset val="136"/>
      </rPr>
      <t>教育科學文化支出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</si>
  <si>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</si>
  <si>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</si>
  <si>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9.</t>
    </r>
    <r>
      <rPr>
        <sz val="12"/>
        <rFont val="標楷體"/>
        <family val="4"/>
        <charset val="136"/>
      </rPr>
      <t>一般補助及其他支出</t>
    </r>
    <phoneticPr fontId="5" type="noConversion"/>
  </si>
  <si>
    <t>調整</t>
    <phoneticPr fontId="5" type="noConversion"/>
  </si>
  <si>
    <t>一、歲入合計金額</t>
    <phoneticPr fontId="5" type="noConversion"/>
  </si>
  <si>
    <t>百分比</t>
    <phoneticPr fontId="5" type="noConversion"/>
  </si>
  <si>
    <t>1.稅課及專賣收入</t>
    <phoneticPr fontId="5" type="noConversion"/>
  </si>
  <si>
    <t>2.營業盈餘及事業收入</t>
    <phoneticPr fontId="4" type="noConversion"/>
  </si>
  <si>
    <t>3.規費及罰鍰收入</t>
    <phoneticPr fontId="4" type="noConversion"/>
  </si>
  <si>
    <t>4.財產收入</t>
    <phoneticPr fontId="5" type="noConversion"/>
  </si>
  <si>
    <t>5.其他收入</t>
    <phoneticPr fontId="4" type="noConversion"/>
  </si>
  <si>
    <t>二、歲出合計金額</t>
    <phoneticPr fontId="3" type="noConversion"/>
  </si>
  <si>
    <t>1.一般政務支出</t>
    <phoneticPr fontId="3" type="noConversion"/>
  </si>
  <si>
    <t>2.國防支出</t>
    <phoneticPr fontId="5" type="noConversion"/>
  </si>
  <si>
    <t>3.教育科學文化支出</t>
    <phoneticPr fontId="5" type="noConversion"/>
  </si>
  <si>
    <t>4.經濟發展支出</t>
    <phoneticPr fontId="5" type="noConversion"/>
  </si>
  <si>
    <t>5.社會福利支出</t>
    <phoneticPr fontId="5" type="noConversion"/>
  </si>
  <si>
    <t>6.社區發展及環境保護支出</t>
    <phoneticPr fontId="5" type="noConversion"/>
  </si>
  <si>
    <t>7.退休撫卹支出</t>
    <phoneticPr fontId="5" type="noConversion"/>
  </si>
  <si>
    <t>8.債務支出</t>
    <phoneticPr fontId="5" type="noConversion"/>
  </si>
  <si>
    <t>9.一般補助及其他支出</t>
    <phoneticPr fontId="5" type="noConversion"/>
  </si>
  <si>
    <t>項目</t>
  </si>
  <si>
    <t>說明：1.</t>
  </si>
  <si>
    <t>ok</t>
    <phoneticPr fontId="5" type="noConversion"/>
  </si>
  <si>
    <r>
      <t xml:space="preserve"> </t>
    </r>
    <r>
      <rPr>
        <sz val="12"/>
        <rFont val="新細明體"/>
        <family val="1"/>
        <charset val="136"/>
      </rPr>
      <t xml:space="preserve">           </t>
    </r>
    <r>
      <rPr>
        <sz val="12"/>
        <rFont val="新細明體"/>
        <family val="1"/>
        <charset val="136"/>
      </rPr>
      <t>2.</t>
    </r>
    <r>
      <rPr>
        <sz val="12"/>
        <rFont val="新細明體"/>
        <family val="1"/>
        <charset val="136"/>
      </rPr>
      <t>　</t>
    </r>
    <phoneticPr fontId="5" type="noConversion"/>
  </si>
  <si>
    <t>宜蘭縣</t>
  </si>
  <si>
    <t>新竹縣</t>
  </si>
  <si>
    <t>苗栗縣</t>
  </si>
  <si>
    <t>彰化縣</t>
  </si>
  <si>
    <t>南投縣</t>
  </si>
  <si>
    <t>雲林縣</t>
  </si>
  <si>
    <t>嘉義縣</t>
  </si>
  <si>
    <t>屏東縣</t>
  </si>
  <si>
    <t>台東縣</t>
  </si>
  <si>
    <t>花蓮縣</t>
  </si>
  <si>
    <t>澎湖縣</t>
  </si>
  <si>
    <t>基隆市</t>
  </si>
  <si>
    <t>新竹市</t>
  </si>
  <si>
    <t>嘉義市</t>
  </si>
  <si>
    <t>行政院主管</t>
  </si>
  <si>
    <t>交通部</t>
  </si>
  <si>
    <t>參考表9</t>
    <phoneticPr fontId="3" type="noConversion"/>
  </si>
  <si>
    <t>扣一般性補助</t>
    <phoneticPr fontId="5" type="noConversion"/>
  </si>
  <si>
    <t>扣財政部105.1億那筆</t>
    <phoneticPr fontId="5" type="noConversion"/>
  </si>
  <si>
    <t>減一般性補助款(含高市,金馬)</t>
    <phoneticPr fontId="5" type="noConversion"/>
  </si>
  <si>
    <t>減計畫型補助款</t>
    <phoneticPr fontId="5" type="noConversion"/>
  </si>
  <si>
    <t>還要再跟GBA對過　</t>
    <phoneticPr fontId="5" type="noConversion"/>
  </si>
  <si>
    <t>放在計畫型</t>
    <phoneticPr fontId="5" type="noConversion"/>
  </si>
  <si>
    <t>單位：新臺幣百萬元</t>
    <phoneticPr fontId="5" type="noConversion"/>
  </si>
  <si>
    <t>公路總局</t>
  </si>
  <si>
    <t>內政部</t>
  </si>
  <si>
    <t>1</t>
  </si>
  <si>
    <t>減營業稅調降及土增稅</t>
    <phoneticPr fontId="5" type="noConversion"/>
  </si>
  <si>
    <t>馬上關懷專案</t>
  </si>
  <si>
    <t>低收入戶健保病患住院膳食費補助</t>
  </si>
  <si>
    <t>補助直轄市及縣市政府進用社工人力</t>
  </si>
  <si>
    <t>補助地方政府辦理土資場規劃設置</t>
  </si>
  <si>
    <t>補助地方政府國宅出租921震災受災戶租金折價損失</t>
  </si>
  <si>
    <t>執行建築物耐震能力補強方案</t>
  </si>
  <si>
    <t>役政署</t>
  </si>
  <si>
    <t>菸品健康福利捐分配給地方政府辦理私劣菸品查緝相關業務</t>
  </si>
  <si>
    <t>地方統籌分配稅款短少補助</t>
  </si>
  <si>
    <t>地方政府土地增值稅款短少補助</t>
  </si>
  <si>
    <t>地方政府遺產及贈與稅款短少補助</t>
  </si>
  <si>
    <t>健全師資培育</t>
  </si>
  <si>
    <t>推動終身教育及學習網絡</t>
  </si>
  <si>
    <r>
      <t>4.</t>
    </r>
    <r>
      <rPr>
        <sz val="12"/>
        <color indexed="12"/>
        <rFont val="標楷體"/>
        <family val="4"/>
        <charset val="136"/>
      </rPr>
      <t>經濟發展支出</t>
    </r>
    <phoneticPr fontId="5" type="noConversion"/>
  </si>
  <si>
    <r>
      <t>6.</t>
    </r>
    <r>
      <rPr>
        <sz val="12"/>
        <color indexed="12"/>
        <rFont val="標楷體"/>
        <family val="4"/>
        <charset val="136"/>
      </rPr>
      <t>社區發展及環境保護支出</t>
    </r>
    <phoneticPr fontId="5" type="noConversion"/>
  </si>
  <si>
    <t>扣計劃</t>
    <phoneticPr fontId="5" type="noConversion"/>
  </si>
  <si>
    <t>1.一般政務支出</t>
  </si>
  <si>
    <t>2.國防支出</t>
  </si>
  <si>
    <t>3.教育科學文化支出</t>
  </si>
  <si>
    <t>4.經濟發展支出</t>
  </si>
  <si>
    <t>5.社會福利支出</t>
  </si>
  <si>
    <t>6.社區發展及環境保護支出</t>
  </si>
  <si>
    <t>7.退休撫卹支出</t>
  </si>
  <si>
    <t>8.債務支出</t>
  </si>
  <si>
    <t>9.一般補助及其他支出</t>
  </si>
  <si>
    <t>各級政府淨收支綜計表</t>
    <phoneticPr fontId="3" type="noConversion"/>
  </si>
  <si>
    <t>中央政府</t>
    <phoneticPr fontId="3" type="noConversion"/>
  </si>
  <si>
    <t>各直轄市政府</t>
    <phoneticPr fontId="5" type="noConversion"/>
  </si>
  <si>
    <t>各縣市政府</t>
    <phoneticPr fontId="5" type="noConversion"/>
  </si>
  <si>
    <t>金額</t>
    <phoneticPr fontId="5" type="noConversion"/>
  </si>
  <si>
    <r>
      <t>本表包括總預算、追加</t>
    </r>
    <r>
      <rPr>
        <sz val="12"/>
        <rFont val="新細明體"/>
        <family val="1"/>
        <charset val="136"/>
      </rPr>
      <t>(減)預算及特別預算，並扣除各級政府彼此間補助及協助等重複收支數。</t>
    </r>
    <phoneticPr fontId="5" type="noConversion"/>
  </si>
  <si>
    <t>營建署</t>
  </si>
  <si>
    <t>雨水下水道</t>
  </si>
  <si>
    <t>內政部主管</t>
  </si>
  <si>
    <t>中低收入老人生活津貼</t>
  </si>
  <si>
    <t>單位：新台幣百萬元</t>
    <phoneticPr fontId="5" type="noConversion"/>
  </si>
  <si>
    <t>還要再跟GBA對過　</t>
    <phoneticPr fontId="5" type="noConversion"/>
  </si>
  <si>
    <t>放在計畫型</t>
    <phoneticPr fontId="5" type="noConversion"/>
  </si>
  <si>
    <t>項目</t>
    <phoneticPr fontId="3" type="noConversion"/>
  </si>
  <si>
    <t>合計</t>
    <phoneticPr fontId="5" type="noConversion"/>
  </si>
  <si>
    <t>本年預算</t>
    <phoneticPr fontId="3" type="noConversion"/>
  </si>
  <si>
    <t>調整</t>
    <phoneticPr fontId="5" type="noConversion"/>
  </si>
  <si>
    <t>扣計畫</t>
    <phoneticPr fontId="5" type="noConversion"/>
  </si>
  <si>
    <t>扣一般性補助款</t>
    <phoneticPr fontId="5" type="noConversion"/>
  </si>
  <si>
    <t>扣財政部98.5億那筆</t>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</si>
  <si>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</si>
  <si>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</si>
  <si>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</si>
  <si>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</si>
  <si>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</si>
  <si>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</si>
  <si>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t>二、歲出合計</t>
    <phoneticPr fontId="3" type="noConversion"/>
  </si>
  <si>
    <r>
      <t>1.</t>
    </r>
    <r>
      <rPr>
        <sz val="12"/>
        <rFont val="標楷體"/>
        <family val="4"/>
        <charset val="136"/>
      </rPr>
      <t>一般政務支出</t>
    </r>
    <phoneticPr fontId="3"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</si>
  <si>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</si>
  <si>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</si>
  <si>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</si>
  <si>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</si>
  <si>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</si>
  <si>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</si>
  <si>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</si>
  <si>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</si>
  <si>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t>三、歲入歲出餘絀</t>
    <phoneticPr fontId="5" type="noConversion"/>
  </si>
  <si>
    <t>-</t>
  </si>
  <si>
    <t>珍貴老樹保育計畫</t>
  </si>
  <si>
    <t>國家重要濕地保育計畫</t>
  </si>
  <si>
    <t>農業產銷班組織輔導計畫</t>
  </si>
  <si>
    <t>強化農業資訊調查與預警制度計畫</t>
  </si>
  <si>
    <t>吉園圃安全蔬果標章輔導及推廣</t>
  </si>
  <si>
    <t>推動農糧產品驗證及產銷輔導計畫</t>
  </si>
  <si>
    <t>建立優質之緊急醫療救護體系</t>
  </si>
  <si>
    <t>直轄市非設籍健保欠費繳款專案補助</t>
  </si>
  <si>
    <t>強化食品藥物化粧品安全實驗室網絡</t>
  </si>
  <si>
    <t>推行藝術教育</t>
  </si>
  <si>
    <t>補助地方政府及民間開發工業區更新示範計畫</t>
  </si>
  <si>
    <t>單位：千元</t>
    <phoneticPr fontId="19" type="noConversion"/>
  </si>
  <si>
    <t>主管機關</t>
    <phoneticPr fontId="22" type="noConversion"/>
  </si>
  <si>
    <t>機關名稱</t>
    <phoneticPr fontId="22" type="noConversion"/>
  </si>
  <si>
    <t>計畫項目</t>
    <phoneticPr fontId="22" type="noConversion"/>
  </si>
  <si>
    <t>政事別</t>
    <phoneticPr fontId="19" type="noConversion"/>
  </si>
  <si>
    <t>總計</t>
    <phoneticPr fontId="22" type="noConversion"/>
  </si>
  <si>
    <t>直轄市</t>
    <phoneticPr fontId="19" type="noConversion"/>
  </si>
  <si>
    <t>台灣省各縣市</t>
    <phoneticPr fontId="19" type="noConversion"/>
  </si>
  <si>
    <t>金馬地區</t>
    <phoneticPr fontId="19" type="noConversion"/>
  </si>
  <si>
    <t>經常門</t>
    <phoneticPr fontId="19" type="noConversion"/>
  </si>
  <si>
    <t>資本門</t>
    <phoneticPr fontId="19" type="noConversion"/>
  </si>
  <si>
    <t>台北市</t>
    <phoneticPr fontId="19" type="noConversion"/>
  </si>
  <si>
    <t>新北市</t>
    <phoneticPr fontId="19" type="noConversion"/>
  </si>
  <si>
    <t>臺中市</t>
    <phoneticPr fontId="19" type="noConversion"/>
  </si>
  <si>
    <t>台南市</t>
    <phoneticPr fontId="19" type="noConversion"/>
  </si>
  <si>
    <t>高雄市</t>
    <phoneticPr fontId="19" type="noConversion"/>
  </si>
  <si>
    <t>未分
配數</t>
    <phoneticPr fontId="19" type="noConversion"/>
  </si>
  <si>
    <t>宜蘭縣</t>
    <phoneticPr fontId="19" type="noConversion"/>
  </si>
  <si>
    <t>金門縣</t>
    <phoneticPr fontId="19" type="noConversion"/>
  </si>
  <si>
    <t>連江縣</t>
    <phoneticPr fontId="19" type="noConversion"/>
  </si>
  <si>
    <t>合計</t>
    <phoneticPr fontId="22" type="noConversion"/>
  </si>
  <si>
    <t>農委會主管</t>
    <phoneticPr fontId="19" type="noConversion"/>
  </si>
  <si>
    <t>農委會</t>
    <phoneticPr fontId="19" type="noConversion"/>
  </si>
  <si>
    <t>衛福部主管</t>
  </si>
  <si>
    <t>衛生福利部</t>
  </si>
  <si>
    <t>加強心理健康促進工作</t>
  </si>
  <si>
    <t>原住民族及離島醫療保健行政工作</t>
  </si>
  <si>
    <t>加強原住民族及離島醫療保健服務</t>
  </si>
  <si>
    <t>落實長照十年計畫</t>
  </si>
  <si>
    <t>建構偏鄉資訊醫療照護網及健康照護發展計畫</t>
  </si>
  <si>
    <t>聘任家庭暴力及性侵害防治社工人力</t>
  </si>
  <si>
    <t>增聘兒少保護社會工作人力實施計畫</t>
  </si>
  <si>
    <t>低收入戶家庭生活、就學生活費</t>
  </si>
  <si>
    <t>低收及中低收入醫療補助及住院看護費</t>
  </si>
  <si>
    <t>社會家庭署</t>
  </si>
  <si>
    <t>辦理社區照顧關懷據點</t>
  </si>
  <si>
    <t>中低收入老人裝置假牙補助</t>
  </si>
  <si>
    <t>中央健康保險署</t>
  </si>
  <si>
    <t>補助各鄉鎮市區公所辦理健保業務經費</t>
  </si>
  <si>
    <t>食品藥物管理署</t>
  </si>
  <si>
    <t>食品衛生管理提升計畫</t>
  </si>
  <si>
    <t>強化地方檢驗量能計畫</t>
  </si>
  <si>
    <t>福建省政府</t>
  </si>
  <si>
    <t>金馬地區專案補助</t>
  </si>
  <si>
    <t>工業局</t>
  </si>
  <si>
    <t>水利署</t>
    <phoneticPr fontId="19" type="noConversion"/>
  </si>
  <si>
    <t>水利會事業區外農田水利設施更新改善計畫</t>
  </si>
  <si>
    <t>離島地區供水改善計畫</t>
  </si>
  <si>
    <t>蓄水建造物更新及改善計畫第2期</t>
  </si>
  <si>
    <t>板新地區供水改善二期工程計畫</t>
  </si>
  <si>
    <t>無自來水地區供水改善計畫第二期</t>
  </si>
  <si>
    <t>澎湖地區公共給水改善工程計畫</t>
  </si>
  <si>
    <t>重要河川環境營造計畫</t>
  </si>
  <si>
    <t>區域排水整治及環境營造計畫</t>
  </si>
  <si>
    <t>道路交通安全</t>
  </si>
  <si>
    <t>補助直轄市、縣市政府辦理交通船碼頭規劃設計、設施改善及疏浚工程等</t>
  </si>
  <si>
    <t>智慧交通基礎建設與應用計畫</t>
  </si>
  <si>
    <t>淡海輕軌運輸系統</t>
  </si>
  <si>
    <t xml:space="preserve">臺北都會區大眾捷運系統後續路網土城線延伸頂埔建設計畫      </t>
  </si>
  <si>
    <t>臺北捷運系統環狀線建設計畫(第一階段路線)</t>
  </si>
  <si>
    <t>高雄都會區大眾捷運系統紅橘線路網建設計畫</t>
  </si>
  <si>
    <t>高雄都會區輕軌運輸系統高雄環狀輕軌捷運建設計畫</t>
  </si>
  <si>
    <t>臺北都會區大眾捷運系統後續路網新莊線及蘆洲支線建設計畫</t>
  </si>
  <si>
    <t>臺北都會區大眾捷運系統萬大－中和－樹林線規劃報告書及周邊土地發展計畫</t>
  </si>
  <si>
    <t>臺北都會區大眾捷運系統後續路網松山線建設計畫</t>
  </si>
  <si>
    <t>臺北都會區大眾捷運系統後續路網信義線建設計畫</t>
  </si>
  <si>
    <t>臺中都會區鐵路高架捷運化計畫</t>
  </si>
  <si>
    <t>員林市區鐵路高架化計畫</t>
  </si>
  <si>
    <t>高雄市區鐡路地下化計畫</t>
  </si>
  <si>
    <t>臺南市區鐵路地下化計畫</t>
  </si>
  <si>
    <t>高雄鐵路地下化延伸鳳山計畫</t>
  </si>
  <si>
    <t>高雄鐵路地下化延伸左營計畫</t>
  </si>
  <si>
    <t>臺鐵都會區捷運化桃園段高架化建設計畫</t>
  </si>
  <si>
    <t>臺中都會區大眾捷運系統烏日文心北屯線建設計畫</t>
  </si>
  <si>
    <t>臺灣國內商港未來發展及建設計畫(101-105年)-金門港埠建設計畫</t>
  </si>
  <si>
    <t>臺灣國內商港未來發展及建設計畫(101-105年)-馬祖港埠建設計畫</t>
  </si>
  <si>
    <t>臺華輪汰舊換新計畫</t>
  </si>
  <si>
    <t>航港局</t>
  </si>
  <si>
    <t>公路公共運輸提昇計畫</t>
  </si>
  <si>
    <t>金門大橋建設計畫</t>
  </si>
  <si>
    <t>法務部主管</t>
  </si>
  <si>
    <t>法務部</t>
  </si>
  <si>
    <t>健全地方發展均衡基礎建設計畫</t>
  </si>
  <si>
    <t>智慧綠建築推動方案</t>
  </si>
  <si>
    <t>辦理公共設施管線資料管理供應系統</t>
  </si>
  <si>
    <t>污水下水道建設計畫</t>
  </si>
  <si>
    <t>生活圈道路系統建設計畫</t>
  </si>
  <si>
    <t>城鎮風貌型塑整體計畫-市區道路人本環境建設計畫</t>
  </si>
  <si>
    <t>花東地區永續發展策略計畫-花東地區養生休閒及人才東移推動計畫</t>
  </si>
  <si>
    <t>都市計畫書圖重製暨整合應用計畫</t>
  </si>
  <si>
    <t>消防署</t>
  </si>
  <si>
    <t>補助地方政府辦理災害防救演習</t>
  </si>
  <si>
    <t>災害防救深耕第2期計畫</t>
  </si>
  <si>
    <t>充實救護車輛</t>
  </si>
  <si>
    <t>補助地方政府辦理定期檢查集合住宅設置消防安全設備或居家燃氣熱水器具一氧化碳發生潛勢遷移更換經費</t>
  </si>
  <si>
    <t>補助山地鄉縣市消防機關充實救災救護裝備器材計畫</t>
  </si>
  <si>
    <t>緊急、災害通報專用無線電通訊系統第2階段建置計畫</t>
  </si>
  <si>
    <t>役男新制體複檢</t>
  </si>
  <si>
    <t>軍人公墓管理維護及整修建工程</t>
  </si>
  <si>
    <t>在營軍人權益及其家屬生活扶慰助</t>
  </si>
  <si>
    <t>替代役役男入營輸送作業費及其家屬生活扶慰助</t>
  </si>
  <si>
    <t>入出國及移民署</t>
  </si>
  <si>
    <t>補助地方政府辦理外籍及大陸配偶生活適應輔導計畫</t>
  </si>
  <si>
    <t>客家委員會</t>
  </si>
  <si>
    <t>獎勵及補助客家研究出版</t>
  </si>
  <si>
    <t>補助海內外客家事務交流合作活動</t>
  </si>
  <si>
    <t>補助客語薪傳教育推廣</t>
  </si>
  <si>
    <t>補助推動客語生活學校計畫</t>
  </si>
  <si>
    <t>補助推動公事客語無障礙環境計畫</t>
  </si>
  <si>
    <t>補助客語認證推廣</t>
  </si>
  <si>
    <t>補助客家文化學術活動</t>
  </si>
  <si>
    <t>補助辦理客家文化生活環境營造計畫</t>
  </si>
  <si>
    <t>補助客家社區聚落空間保存及再利用計畫</t>
  </si>
  <si>
    <t>補助客家文化設施活化及館舍聯營輔導計畫</t>
  </si>
  <si>
    <t>補助客家文化重點發展區先期資源調查暨整體規劃</t>
  </si>
  <si>
    <t>文化部</t>
  </si>
  <si>
    <t>國家人權博物館籌備處</t>
  </si>
  <si>
    <t>文化部文化資產局</t>
  </si>
  <si>
    <t>財政部</t>
  </si>
  <si>
    <t>補助主辦機關辦理促參前置作業</t>
  </si>
  <si>
    <t>國庫署</t>
  </si>
  <si>
    <t>賦稅署</t>
  </si>
  <si>
    <t>原住民族部落特色道路改善計畫</t>
  </si>
  <si>
    <t>原住民族部落永續發展造景計畫</t>
  </si>
  <si>
    <t>原住民地區部落水資源規劃及供水第三期計畫</t>
  </si>
  <si>
    <t>原住民保留地森林保育計畫</t>
  </si>
  <si>
    <t>原住民族知識發展創意經濟計畫</t>
  </si>
  <si>
    <t>原住民族產業深耕及行銷推廣計畫</t>
  </si>
  <si>
    <t>台東縣原住民文化創意產業聚落計畫</t>
  </si>
  <si>
    <t>補助地方政府辦理原住民中低收入戶建購住宅費用補貼</t>
  </si>
  <si>
    <t>補辦增劃編原住民保留地等實施計畫</t>
  </si>
  <si>
    <t>提供原住民族地區幼兒學前教育補助</t>
  </si>
  <si>
    <t>補助地方政府推動原住民族社會教育學習型計畫</t>
  </si>
  <si>
    <t>推展以民族教育為特色之學校辦理本會課程補助計畫</t>
  </si>
  <si>
    <t>補助地方政府辦理族語振興工作</t>
  </si>
  <si>
    <t xml:space="preserve"> </t>
  </si>
  <si>
    <t>原住民族部落活力計畫</t>
  </si>
  <si>
    <t>文化振興與發展計畫</t>
  </si>
  <si>
    <t>補助原住民族地區辦理原住民就醫交通費</t>
  </si>
  <si>
    <t>補助社會服務推展等計畫</t>
  </si>
  <si>
    <t>原民會</t>
  </si>
  <si>
    <t>補助鄰近鄉鎮(部落)相關經費</t>
  </si>
  <si>
    <t>輔導原住民族地區文化(物)館展覽補助款</t>
  </si>
  <si>
    <t>放在計畫型</t>
    <phoneticPr fontId="5" type="noConversion"/>
  </si>
  <si>
    <t>項目</t>
    <phoneticPr fontId="3" type="noConversion"/>
  </si>
  <si>
    <t>合計</t>
    <phoneticPr fontId="5" type="noConversion"/>
  </si>
  <si>
    <t>本年預算</t>
    <phoneticPr fontId="3" type="noConversion"/>
  </si>
  <si>
    <t>調整</t>
    <phoneticPr fontId="5" type="noConversion"/>
  </si>
  <si>
    <t>扣一般性補助</t>
    <phoneticPr fontId="5" type="noConversion"/>
  </si>
  <si>
    <t>扣勞健保</t>
    <phoneticPr fontId="5" type="noConversion"/>
  </si>
  <si>
    <t>扣財政部105.1億那筆</t>
    <phoneticPr fontId="5" type="noConversion"/>
  </si>
  <si>
    <t>扣計劃</t>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</si>
  <si>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</si>
  <si>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</si>
  <si>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</si>
  <si>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</si>
  <si>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</si>
  <si>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</si>
  <si>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t>二、歲出合計</t>
    <phoneticPr fontId="3" type="noConversion"/>
  </si>
  <si>
    <r>
      <t>1.</t>
    </r>
    <r>
      <rPr>
        <sz val="12"/>
        <rFont val="標楷體"/>
        <family val="4"/>
        <charset val="136"/>
      </rPr>
      <t>一般政務支出</t>
    </r>
    <phoneticPr fontId="3"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</si>
  <si>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</si>
  <si>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</si>
  <si>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</si>
  <si>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</si>
  <si>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</si>
  <si>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</si>
  <si>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</si>
  <si>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</si>
  <si>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t>三、歲入歲出餘絀</t>
    <phoneticPr fontId="5" type="noConversion"/>
  </si>
  <si>
    <t>單位：新台幣百萬元</t>
    <phoneticPr fontId="5" type="noConversion"/>
  </si>
  <si>
    <t>放在計畫型</t>
    <phoneticPr fontId="5" type="noConversion"/>
  </si>
  <si>
    <t>項目</t>
    <phoneticPr fontId="3" type="noConversion"/>
  </si>
  <si>
    <t>合計</t>
    <phoneticPr fontId="5" type="noConversion"/>
  </si>
  <si>
    <t>本年預算</t>
    <phoneticPr fontId="3" type="noConversion"/>
  </si>
  <si>
    <t>減一般性補助款(含高市,金馬)</t>
    <phoneticPr fontId="5" type="noConversion"/>
  </si>
  <si>
    <t>地方原應負擔之健勞保保費改由中央負擔</t>
    <phoneticPr fontId="5" type="noConversion"/>
  </si>
  <si>
    <t>減計畫型補助款</t>
    <phoneticPr fontId="5" type="noConversion"/>
  </si>
  <si>
    <t>減營業稅調降及土增稅</t>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</si>
  <si>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</si>
  <si>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</si>
  <si>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</si>
  <si>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</si>
  <si>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</si>
  <si>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</si>
  <si>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t>二、歲出合計</t>
    <phoneticPr fontId="3" type="noConversion"/>
  </si>
  <si>
    <r>
      <t>1.</t>
    </r>
    <r>
      <rPr>
        <sz val="12"/>
        <rFont val="標楷體"/>
        <family val="4"/>
        <charset val="136"/>
      </rPr>
      <t>一般政務支出</t>
    </r>
    <phoneticPr fontId="3"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</si>
  <si>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</si>
  <si>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</si>
  <si>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</si>
  <si>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</si>
  <si>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</si>
  <si>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</si>
  <si>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</si>
  <si>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</si>
  <si>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t>三、歲入歲出餘絀</t>
    <phoneticPr fontId="5" type="noConversion"/>
  </si>
  <si>
    <t>放在計畫型</t>
    <phoneticPr fontId="5" type="noConversion"/>
  </si>
  <si>
    <t>項目</t>
    <phoneticPr fontId="3" type="noConversion"/>
  </si>
  <si>
    <t>合計</t>
    <phoneticPr fontId="5" type="noConversion"/>
  </si>
  <si>
    <t>本年預算</t>
    <phoneticPr fontId="3" type="noConversion"/>
  </si>
  <si>
    <t>調整</t>
    <phoneticPr fontId="5" type="noConversion"/>
  </si>
  <si>
    <t>扣計畫</t>
    <phoneticPr fontId="5" type="noConversion"/>
  </si>
  <si>
    <t>扣一般性補助款</t>
    <phoneticPr fontId="5" type="noConversion"/>
  </si>
  <si>
    <t>扣勞健保</t>
    <phoneticPr fontId="5" type="noConversion"/>
  </si>
  <si>
    <t>扣財政部98.5億那筆</t>
    <phoneticPr fontId="5" type="noConversion"/>
  </si>
  <si>
    <t>一、歲入合計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</si>
  <si>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</si>
  <si>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</si>
  <si>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</si>
  <si>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</si>
  <si>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</si>
  <si>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t>二、歲出合計</t>
    <phoneticPr fontId="3" type="noConversion"/>
  </si>
  <si>
    <r>
      <t>1.</t>
    </r>
    <r>
      <rPr>
        <sz val="12"/>
        <rFont val="標楷體"/>
        <family val="4"/>
        <charset val="136"/>
      </rPr>
      <t>一般政務支出</t>
    </r>
    <phoneticPr fontId="3"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</si>
  <si>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</si>
  <si>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</si>
  <si>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</si>
  <si>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</si>
  <si>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</si>
  <si>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</si>
  <si>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</si>
  <si>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</si>
  <si>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t>三、歲入歲出餘絀</t>
    <phoneticPr fontId="5" type="noConversion"/>
  </si>
  <si>
    <t>check</t>
    <phoneticPr fontId="19" type="noConversion"/>
  </si>
  <si>
    <t>行政院主管</t>
    <phoneticPr fontId="19" type="noConversion"/>
  </si>
  <si>
    <t>文化園區管理局</t>
    <phoneticPr fontId="19" type="noConversion"/>
  </si>
  <si>
    <t>內政部</t>
    <phoneticPr fontId="19" type="noConversion"/>
  </si>
  <si>
    <t>加強農地利用管理計畫</t>
  </si>
  <si>
    <t>推動畜產品安全生產及產銷履歷驗證輔導計畫</t>
  </si>
  <si>
    <t>各地禽品產銷輔導計畫</t>
  </si>
  <si>
    <t>強化畜牧場斃死畜禽管理計畫</t>
  </si>
  <si>
    <t>畜牧場登記管理計畫</t>
  </si>
  <si>
    <t>加強飼料生產與衛生安全管理計畫</t>
  </si>
  <si>
    <t>提升芻料品質及產量計畫</t>
  </si>
  <si>
    <t>改善政府動物管制收容設施計畫</t>
  </si>
  <si>
    <t>改善畜牧排放水質及污染防治計畫</t>
  </si>
  <si>
    <t>推動畜牧場節能減碳計畫</t>
  </si>
  <si>
    <t>健全農會組織制度及提升農會服務功能計畫</t>
  </si>
  <si>
    <t>強化農民參加農民(全民)健康保險資格審查及認定作業計畫</t>
  </si>
  <si>
    <t>農田水利設施興辦改善及灌溉排水營運精進</t>
  </si>
  <si>
    <t>重劃區緊急農水路改善工程</t>
  </si>
  <si>
    <t>林業推廣及林地與森林保護</t>
  </si>
  <si>
    <t>野生物資源保育計畫</t>
  </si>
  <si>
    <t>推動野生動植物合理利用之管理計畫</t>
  </si>
  <si>
    <t>生物多樣性保育及入侵種管理計畫</t>
  </si>
  <si>
    <t>保護區及自然地景經營管理計畫</t>
  </si>
  <si>
    <t>濕地型保護區經營管理計畫</t>
  </si>
  <si>
    <t>平地造林</t>
  </si>
  <si>
    <t>山坡地環境資源調查</t>
  </si>
  <si>
    <t>水土保持管理</t>
  </si>
  <si>
    <t>教育宣導</t>
  </si>
  <si>
    <t>土石流防災整備與應變</t>
  </si>
  <si>
    <t>漁業署</t>
  </si>
  <si>
    <t>強化沿近海漁業作業管理及資源培育與宣導教育</t>
  </si>
  <si>
    <t>健全養殖漁業管理功能</t>
  </si>
  <si>
    <t>水產飼料管理</t>
  </si>
  <si>
    <t>沿近海漁業永續發展</t>
  </si>
  <si>
    <t>促進養殖漁業與環境和諧</t>
  </si>
  <si>
    <t>振興漁港設施機能</t>
  </si>
  <si>
    <t>養殖漁業放養量查報</t>
  </si>
  <si>
    <t>加速漁產品運銷通路相關設施建設</t>
  </si>
  <si>
    <t xml:space="preserve">強化離島防檢疫措施 </t>
  </si>
  <si>
    <t>違法屠宰行為查緝計畫</t>
  </si>
  <si>
    <t>強化健康農業之農藥使用管理工作</t>
  </si>
  <si>
    <t>植物重大及特定疫病蟲害防治</t>
  </si>
  <si>
    <t>加強輸入動物追蹤檢疫計畫</t>
  </si>
  <si>
    <t>畜禽動物疾病防治</t>
  </si>
  <si>
    <t>寵物及野生動物疾病防治</t>
  </si>
  <si>
    <t xml:space="preserve">獸醫師管理與功能強化        </t>
  </si>
  <si>
    <t xml:space="preserve">動物用藥品生產與管理  </t>
  </si>
  <si>
    <t>豬瘟及口蹄疫撲滅計畫</t>
  </si>
  <si>
    <t>口蹄疫防疫階段策略之強化工作</t>
  </si>
  <si>
    <t>水產動物疾病防治</t>
  </si>
  <si>
    <t>建構農業資源行動調查服務體系</t>
  </si>
  <si>
    <t>農產品安全品質監測與管制</t>
  </si>
  <si>
    <t>發展有機農業</t>
  </si>
  <si>
    <t>花東地區有機農業發展計畫</t>
  </si>
  <si>
    <t>父母未就業家庭育兒津貼實施計畫</t>
  </si>
  <si>
    <t>教育部</t>
  </si>
  <si>
    <t>推展一般教育及編印文教書刊</t>
  </si>
  <si>
    <t>推動社區教育</t>
  </si>
  <si>
    <t>推行家庭教育</t>
  </si>
  <si>
    <t>建立終身學習推動組織</t>
  </si>
  <si>
    <t>學生全民國防教育推展</t>
  </si>
  <si>
    <t>發展與改進大專校院特殊教育</t>
  </si>
  <si>
    <t>校園安全衛生管理及環境教育推動計畫</t>
  </si>
  <si>
    <t>全國學術電腦資訊服務及建構大學電腦網路</t>
  </si>
  <si>
    <t>資訊科技融入教學</t>
  </si>
  <si>
    <t>偏鄉數位關懷推動計畫</t>
  </si>
  <si>
    <t>科技教育計畫</t>
  </si>
  <si>
    <t>氣候變遷調適與防災教育及永續校園計畫</t>
  </si>
  <si>
    <t>辦理國際教育活動業務</t>
  </si>
  <si>
    <t>國立社教機構及公共圖書館之輔導與充實</t>
  </si>
  <si>
    <t>教育部國民及學前教育署</t>
  </si>
  <si>
    <t>高級中等學校教育</t>
  </si>
  <si>
    <t>國民中小學教育</t>
  </si>
  <si>
    <t>學前教育</t>
  </si>
  <si>
    <t>原住民族與少數族群及藝術教育</t>
  </si>
  <si>
    <t>特殊教育</t>
  </si>
  <si>
    <t>學生事務與校園安全及衛生教育</t>
  </si>
  <si>
    <t>一般教育推展</t>
  </si>
  <si>
    <t>高級中等學校改隸直轄市專案補助</t>
  </si>
  <si>
    <t>教育部體育署</t>
  </si>
  <si>
    <t>加強學校體育活動及教學發展　</t>
  </si>
  <si>
    <t>學校特殊教育體育活動及教學發展</t>
  </si>
  <si>
    <t>辦理原住民體育教育</t>
  </si>
  <si>
    <t>推展國際體育</t>
  </si>
  <si>
    <t>整建運動設施</t>
  </si>
  <si>
    <t>臺北市</t>
    <phoneticPr fontId="19" type="noConversion"/>
  </si>
  <si>
    <t>臺南市</t>
    <phoneticPr fontId="19" type="noConversion"/>
  </si>
  <si>
    <t>臺東縣</t>
    <phoneticPr fontId="19" type="noConversion"/>
  </si>
  <si>
    <t>網路學習發展計畫</t>
  </si>
  <si>
    <t>推展競技運動</t>
  </si>
  <si>
    <t>邁向永續國家節水行動方案</t>
  </si>
  <si>
    <t>離島地區用水差價補貼</t>
  </si>
  <si>
    <t>地下水保育管理暨地層下陷防治計畫</t>
  </si>
  <si>
    <t>財政部主管</t>
    <phoneticPr fontId="19" type="noConversion"/>
  </si>
  <si>
    <t>農業委員會</t>
  </si>
  <si>
    <t>林務局</t>
  </si>
  <si>
    <t>水土保持局</t>
  </si>
  <si>
    <t>動植物防疫檢疫局</t>
  </si>
  <si>
    <t>鐵路改建工程局</t>
  </si>
  <si>
    <t>高速鐵路工程局</t>
  </si>
  <si>
    <t>觀光局</t>
  </si>
  <si>
    <t>環保署</t>
  </si>
  <si>
    <t>水污染防治及流域整體性環境保護計畫</t>
  </si>
  <si>
    <t>垃圾全分類零廢棄及廢棄物緊急應變計畫</t>
  </si>
  <si>
    <t>直轄市非設籍勞保欠費繳款專案補助</t>
  </si>
  <si>
    <t>錯誤調整
103.1.28</t>
    <phoneticPr fontId="5" type="noConversion"/>
  </si>
  <si>
    <t>補助地方政府督導中長程施政計畫等查證、督導及協調座談(研討)會所需經費</t>
  </si>
  <si>
    <t>辦理都市原住民發展103年度執行計畫─扶植原住民拓展經濟事業及推動原住民專案貸款計畫</t>
  </si>
  <si>
    <t>辦理都市原住民發展計畫第五期</t>
  </si>
  <si>
    <t>地籍清理第2期實施計畫</t>
  </si>
  <si>
    <r>
      <t>台灣省</t>
    </r>
    <r>
      <rPr>
        <sz val="12"/>
        <rFont val="標楷體"/>
        <family val="4"/>
        <charset val="136"/>
      </rPr>
      <t>各</t>
    </r>
    <r>
      <rPr>
        <sz val="12"/>
        <rFont val="標楷體"/>
        <family val="4"/>
        <charset val="136"/>
      </rPr>
      <t>縣市</t>
    </r>
    <phoneticPr fontId="19" type="noConversion"/>
  </si>
  <si>
    <t>農糧署</t>
    <phoneticPr fontId="19" type="noConversion"/>
  </si>
  <si>
    <t>說明：政事別欄位請填列代號：1.一般政務支出，2.國防支出，3.教育科學文化支出，4.經濟發展支出，5.社會福利支出，6.社區發展及環境保護支出，7.退休撫卹支出，8.債務支出，9.一般補助及其他支出。</t>
    <phoneticPr fontId="19" type="noConversion"/>
  </si>
  <si>
    <t>桃園市</t>
    <phoneticPr fontId="19" type="noConversion"/>
  </si>
  <si>
    <t>國家發展委員會</t>
  </si>
  <si>
    <t>3</t>
  </si>
  <si>
    <t>文化部主管</t>
    <phoneticPr fontId="19" type="noConversion"/>
  </si>
  <si>
    <t>營造友善城鄉環境計畫</t>
  </si>
  <si>
    <t>財政部主管</t>
    <phoneticPr fontId="19" type="noConversion"/>
  </si>
  <si>
    <t>勞動部</t>
  </si>
  <si>
    <t>勞動部主管</t>
    <phoneticPr fontId="19" type="noConversion"/>
  </si>
  <si>
    <t>經濟部</t>
    <phoneticPr fontId="19" type="noConversion"/>
  </si>
  <si>
    <t>流域綜合治理計畫</t>
    <phoneticPr fontId="19" type="noConversion"/>
  </si>
  <si>
    <t>104年度中央對地方政府補助經費分配表(流域綜合治理第1期法定預算)</t>
    <phoneticPr fontId="19" type="noConversion"/>
  </si>
  <si>
    <t>離島居民往返臺灣本島海運票價補貼</t>
  </si>
  <si>
    <t>桃園都會區大眾捷運系統綠線(航空城捷運線)暨土地整合發展計畫</t>
  </si>
  <si>
    <t>交通運輸系統規劃作業計畫</t>
  </si>
  <si>
    <t>補助馬祖港埠拖船租賃及委外操作等經費</t>
  </si>
  <si>
    <t>離島綜合建設實施方案基本航次補貼</t>
  </si>
  <si>
    <t>營建署</t>
    <phoneticPr fontId="19" type="noConversion"/>
  </si>
  <si>
    <t>政事別</t>
    <phoneticPr fontId="19" type="noConversion"/>
  </si>
  <si>
    <t>設施區域及農田排水瓶頸改善</t>
  </si>
  <si>
    <t>水產養殖排水</t>
  </si>
  <si>
    <t>輔導設置農業產銷設施及分散產區</t>
  </si>
  <si>
    <t>公共造產補助金計畫</t>
  </si>
  <si>
    <t>殯葬設施示範計畫第3期計畫</t>
  </si>
  <si>
    <t>補助臺東縣政府辦理蘭嶼鄉、綠島鄉民生物資平價營運計畫</t>
  </si>
  <si>
    <t>城鎮風貌型塑整體計畫-城鎮風貌型塑計畫-補助「城鎮風貌型塑整體計畫」、「環境景觀總顧問」</t>
  </si>
  <si>
    <t>城鎮風貌型塑整體計畫-城鎮風貌型塑計畫-建築物騎樓整平示範計畫</t>
  </si>
  <si>
    <t>補助地方政府辦理推動設置住宅用火災警報器等經費</t>
  </si>
  <si>
    <t>補助澎湖縣充實離島消防救災能力等經費</t>
  </si>
  <si>
    <t>補助臺東縣(蘭嶼鄉及綠島鄉)強化災害應變體系及設備經費</t>
  </si>
  <si>
    <t>充實民間救難團體及志願組織裝備器材計畫-自籌款補助</t>
  </si>
  <si>
    <t>充實民間救難團體及志願組織裝備器材計畫-評鑑</t>
  </si>
  <si>
    <t>補助連江縣辦理義消救災技能人才培育訓練等經費</t>
  </si>
  <si>
    <r>
      <t>直轄市底稿</t>
    </r>
    <r>
      <rPr>
        <sz val="16"/>
        <rFont val="Times New Roman"/>
        <family val="1"/>
      </rPr>
      <t>(104)</t>
    </r>
    <phoneticPr fontId="3" type="noConversion"/>
  </si>
  <si>
    <t>流域治理</t>
    <phoneticPr fontId="5" type="noConversion"/>
  </si>
  <si>
    <t>減流域治理至地方</t>
    <phoneticPr fontId="5" type="noConversion"/>
  </si>
  <si>
    <t>扣流域治理</t>
    <phoneticPr fontId="5" type="noConversion"/>
  </si>
  <si>
    <t>流域治理至縣市</t>
    <phoneticPr fontId="5" type="noConversion"/>
  </si>
  <si>
    <t>花蓮縣綜合發展實施方案</t>
  </si>
  <si>
    <t>補助原住民地區基本設施維持費</t>
  </si>
  <si>
    <t>花蓮縣綜合發展實施方案-造形藝術豐羽計畫</t>
  </si>
  <si>
    <t>農地資源空間規劃與分級利用計畫</t>
  </si>
  <si>
    <t>推動優良農地整合加值利用計畫</t>
  </si>
  <si>
    <t>提升動物福利計畫</t>
  </si>
  <si>
    <t>加強輔導雞糞再利用計畫</t>
  </si>
  <si>
    <t>強化屠宰場污染防治及再利用計畫</t>
  </si>
  <si>
    <t>加強市售畜產品有機標示查核計畫</t>
  </si>
  <si>
    <t>漂流木清運計畫</t>
  </si>
  <si>
    <t>入侵植物防治計畫</t>
  </si>
  <si>
    <t>褐根病防治計畫</t>
  </si>
  <si>
    <t>排雷區復育造林</t>
  </si>
  <si>
    <t>公私有林經營輔導</t>
  </si>
  <si>
    <t>特定水土保持區劃定與治理</t>
  </si>
  <si>
    <t>動物屍體資源化製再利用查核計畫</t>
  </si>
  <si>
    <t>人畜共通之動物傳染病防治計畫</t>
  </si>
  <si>
    <t>加強植物種苗產業產業輔計畫</t>
  </si>
  <si>
    <t>蘭花集團產區輔導計畫</t>
  </si>
  <si>
    <t>加強農業生產資材管理計畫</t>
  </si>
  <si>
    <t>2018臺中國際花卉博覽會推動計畫</t>
  </si>
  <si>
    <t>教師專業發展</t>
  </si>
  <si>
    <t>推動高齡及婦女教育</t>
  </si>
  <si>
    <t>本國語言文字標準訂定與推廣</t>
  </si>
  <si>
    <t>校園安全維護與防制學生藥物濫用</t>
  </si>
  <si>
    <t>還要再跟GBA對過(ok)　</t>
    <phoneticPr fontId="5" type="noConversion"/>
  </si>
  <si>
    <t>預算+調整</t>
    <phoneticPr fontId="5" type="noConversion"/>
  </si>
  <si>
    <r>
      <t>105年度</t>
    </r>
    <r>
      <rPr>
        <b/>
        <sz val="22"/>
        <rFont val="華康POP1體W7(P)"/>
        <family val="1"/>
        <charset val="136"/>
      </rPr>
      <t>XX主管對地方政府補助經費分配表(預算案)</t>
    </r>
    <phoneticPr fontId="19" type="noConversion"/>
  </si>
  <si>
    <t>105年度XX主管對地方政府補助經費分配表(預算案)(續完)</t>
    <phoneticPr fontId="19" type="noConversion"/>
  </si>
  <si>
    <t>建立優質之緊急醫療救護體系(醫政07)</t>
  </si>
  <si>
    <t>加強心理健康促進工作(心口02)</t>
  </si>
  <si>
    <t>原住民族及離島地區醫療保健行政工作(照護01)</t>
  </si>
  <si>
    <t>加強原住民族及離島地區醫療保健服務(照護06)</t>
  </si>
  <si>
    <t>建構偏鄉資訊醫療照護網及健康照護發展計畫(科技05)</t>
  </si>
  <si>
    <t>長照服務量能提升計畫(照護03)</t>
  </si>
  <si>
    <t>增聘兒少保護社會工作人力實施計畫(保護05)</t>
  </si>
  <si>
    <t>低收入戶健保病患住院膳食費補助(社工02)</t>
  </si>
  <si>
    <t>低收入戶家庭生活、就學生活費(社工01)</t>
  </si>
  <si>
    <t>低收及中低收入醫療補助及住院看護費(社工01)</t>
  </si>
  <si>
    <t>辦理馬上關懷急難救助專案(社工03)</t>
  </si>
  <si>
    <t>補助直轄市及縣市政府進用社工人力(社工01)</t>
  </si>
  <si>
    <t>補助直轄市及縣(市)政府辦理社工人身安全教育訓練、安全防護設施設備、執行風險工作補助費(社工01)</t>
  </si>
  <si>
    <t>補助直轄市政府設置627燒燙傷專案管理中心業務所需各項費用(社工01)</t>
  </si>
  <si>
    <t>直轄市非設籍健保欠費繳款專案補助(社補02)</t>
  </si>
  <si>
    <t>1.補助辦理長期照顧(居家服務、日間照顧、失智症日間中心、家庭托顧、營養餐飲、交通接送服務)(社福03)</t>
  </si>
  <si>
    <t>2.辦理社區照顧關懷據點(社福03)</t>
  </si>
  <si>
    <t>3.中低收入老人裝置假牙補助(社福03)</t>
  </si>
  <si>
    <t>4.中低收入老人生活津貼(社福03)</t>
  </si>
  <si>
    <t>5.中低收入身心障礙者生活、日間及住宿式照顧、輔具補助經費(社福04)</t>
  </si>
  <si>
    <t>6.身心障礙者個人照顧及家庭支持服務(社福04)</t>
  </si>
  <si>
    <t>7.父母未就業家庭育兒津貼實施計畫(社福05)</t>
  </si>
  <si>
    <t>8.建構托育管理制度實施計畫(社福06)</t>
  </si>
  <si>
    <t>9.發展遲緩兒童早期療育費用補助(社福06)</t>
  </si>
  <si>
    <t>10.辦理特殊境遇家庭扶助服務(社福06)</t>
  </si>
  <si>
    <t>12.八仙樂園粉塵暴燃個案重建服務</t>
  </si>
  <si>
    <t>11.補助興設購置或整建各類身心障礙福利機構</t>
    <phoneticPr fontId="19" type="noConversion"/>
  </si>
  <si>
    <t>強化食品藥物化粧品安全實驗室網絡計畫(科技03)</t>
  </si>
  <si>
    <t>強化地方檢驗量能</t>
  </si>
  <si>
    <t>105年度「加強監控違規廣告及查處非法管道賣藥」計畫</t>
  </si>
  <si>
    <t>疾病管制署</t>
  </si>
  <si>
    <t>社區創意計畫</t>
  </si>
  <si>
    <t>登革熱等病媒傳染病防治計畫</t>
  </si>
  <si>
    <t>腸病毒防治計畫</t>
  </si>
  <si>
    <t>腸道傳染病防治計畫</t>
  </si>
  <si>
    <t>病毒性肝炎防治計畫</t>
  </si>
  <si>
    <t>人畜共通傳染病防治計畫</t>
  </si>
  <si>
    <t>水患相關傳染病防治計畫</t>
  </si>
  <si>
    <t>愛滋病及其他特殊傳染病防治</t>
  </si>
  <si>
    <t>結核病防治</t>
  </si>
  <si>
    <t>醫院感染管制品質提升計畫</t>
  </si>
  <si>
    <t>全國傳染病檢體採檢送驗品質管理工作</t>
  </si>
  <si>
    <t>金馬地區基礎建設</t>
  </si>
  <si>
    <t>國營會</t>
  </si>
  <si>
    <t>中石化安順廠污染案附近居民生活照顧及健康照護第3階段計畫</t>
  </si>
  <si>
    <t>永續工業區潔淨水環境計畫</t>
  </si>
  <si>
    <t>蓄水建造物更新及改善計畫第2期(101-105年)</t>
  </si>
  <si>
    <t>金門自大陸引水工程計畫</t>
  </si>
  <si>
    <t>無自來水地區供水改善計畫第二期(101-105年)</t>
  </si>
  <si>
    <t>重要河川環境營造計畫(104-109年)</t>
  </si>
  <si>
    <t>區域排水整治及環境營造計畫(104-109年)</t>
  </si>
  <si>
    <t>地下水保育管理暨地層下陷防治第2期計畫(104-109年)</t>
  </si>
  <si>
    <t>臺東市富岡港交通船碼頭改善工程計畫</t>
  </si>
  <si>
    <t>推動藍色經濟-東港客運碼頭整體改善工程計畫</t>
  </si>
  <si>
    <t>離島綜合建設實施方案船舶維修補貼</t>
  </si>
  <si>
    <t>地方政府汽車燃料使用費分配短少補助</t>
  </si>
  <si>
    <t>臺北都會區大眾捷運系統三鶯線暨周邊土地開發計畫</t>
  </si>
  <si>
    <t>安坑線輕軌運輸系統暨周邊土地開發計畫</t>
  </si>
  <si>
    <t>臺北都會區大眾捷運系統信義線向東延伸規劃報告書及周邊土地發展計畫</t>
  </si>
  <si>
    <t>生活圈道路交通系統建設計畫(公路系統)4年(104-107)計畫</t>
  </si>
  <si>
    <t>1.臺南市美術館建設計畫</t>
  </si>
  <si>
    <t>2.社區營造及村落文化發展</t>
  </si>
  <si>
    <t>3.博物館及地方文化館推動與輔導</t>
  </si>
  <si>
    <t>4.文化創意產業推動與輔導</t>
  </si>
  <si>
    <t>5.人文研發業務</t>
  </si>
  <si>
    <t>6.文學發展業務</t>
  </si>
  <si>
    <t>7.博物館業務之推展</t>
  </si>
  <si>
    <t>8.縣市藝文特色發展計畫</t>
  </si>
  <si>
    <t>9.活化縣市文化中心劇場營運計畫</t>
  </si>
  <si>
    <t>10.傑出演藝團隊甄選及獎勵</t>
  </si>
  <si>
    <t>11.視覺藝術之輔導與推動</t>
  </si>
  <si>
    <t>12.國際文化交流推展</t>
  </si>
  <si>
    <t>文化資產局</t>
  </si>
  <si>
    <t>13.文化資產維護管理及再利用計畫</t>
  </si>
  <si>
    <t>14.文化資產多元永續發展計畫</t>
  </si>
  <si>
    <t>15.古物遺址及水下資產活化發展計畫</t>
  </si>
  <si>
    <t>16.文化資產跨域發展計畫</t>
  </si>
  <si>
    <t>菸品健康福利捐供私劣菸品查緝經費</t>
  </si>
  <si>
    <t>地方政府統籌分配稅款短少補助</t>
  </si>
  <si>
    <t>地方政府土地增值稅款短少補助（依土地稅法第33條及第34條規定）</t>
  </si>
  <si>
    <t>偏鄉數位應用推動計畫</t>
  </si>
  <si>
    <t>辦理國際華語文教育</t>
  </si>
  <si>
    <t>辦理港澳及兩岸學術交流相關事務</t>
  </si>
  <si>
    <t>加強學校體育活動及教學發展</t>
  </si>
  <si>
    <t>學校特殊體育活動及教學發展</t>
  </si>
  <si>
    <t>推展全民運動</t>
  </si>
  <si>
    <t>2017臺北世界大學運動會籌辦計畫</t>
  </si>
  <si>
    <t>教育部青年發展署</t>
  </si>
  <si>
    <t>辦理青年生涯發展業務</t>
  </si>
  <si>
    <t>國家建設總合評估規劃中程計畫</t>
  </si>
  <si>
    <t>花蓮縣公務暨便民服務網路升級計畫</t>
  </si>
  <si>
    <t>臺東縣ICT無線寬頻城市及e化便民終身服務升級計畫</t>
  </si>
  <si>
    <t>澎湖縣政府雲端應用發展及資料中心建置計畫</t>
  </si>
  <si>
    <t>澎湖縣政府電子化政府暨行動資訊服務推展計畫</t>
  </si>
  <si>
    <t>澎湖縣政府資料開放（OPEN DATA）平臺推廣建置計畫</t>
  </si>
  <si>
    <t>無線網路島建置計畫</t>
  </si>
  <si>
    <t>基層機關行動資訊服務試辦計畫</t>
  </si>
  <si>
    <t>補助地方毒品危害防制中心辦理強化藥癮者輔導處遇計畫</t>
  </si>
  <si>
    <t>臺灣新北地方法院檢察署</t>
  </si>
  <si>
    <t>緩起訴處分金及認罪協商金提撥補助款補助地方自治團體經費</t>
  </si>
  <si>
    <t>臺灣新竹地方法院檢斁察署</t>
  </si>
  <si>
    <t>臺灣苗栗地方法院檢察署</t>
  </si>
  <si>
    <t>臺灣臺中地方法院檢察署</t>
  </si>
  <si>
    <t>緩起訴處分金及認罪協商金提撥補助地方自治團體經費</t>
  </si>
  <si>
    <t>臺灣南投地方法院檢察署</t>
  </si>
  <si>
    <t>緩起訴處分金及認罪協商金提撥補助經費</t>
  </si>
  <si>
    <t>臺灣彰化地方法院檢察署</t>
  </si>
  <si>
    <t>臺灣雲林地方法院檢察署</t>
  </si>
  <si>
    <t>臺灣嘉義地方法院檢察署</t>
  </si>
  <si>
    <t>臺灣臺南地方法院檢察署</t>
  </si>
  <si>
    <t>臺灣高雄地方法院檢察署</t>
  </si>
  <si>
    <t>臺灣屏東地方法院檢察署</t>
  </si>
  <si>
    <t>臺灣花蓮地方法院檢察署</t>
  </si>
  <si>
    <t>落實智慧國土-基本測量及國土測繪圖資更新維運計畫(地政司、名稱暫定)</t>
  </si>
  <si>
    <t xml:space="preserve">落實智慧國土-內政圖資整合應用計畫  </t>
  </si>
  <si>
    <t>地籍圖重測後續計畫</t>
  </si>
  <si>
    <t>落實智慧國土-基本測量及國土測繪圖資更新維運計畫(土測、名稱暫定)</t>
  </si>
  <si>
    <t>永續智慧城市整合推動方案</t>
  </si>
  <si>
    <t>辦理公共設施管線資料庫暨管理供應系統建置計畫</t>
  </si>
  <si>
    <t>補助地方政府辦理定期檢查集合住宅設置消防安全設備或居家燃氣熱水器具一氧化碳發生潛勢遷移更換等經費</t>
  </si>
  <si>
    <t>精進消防救災裝備器材計畫</t>
  </si>
  <si>
    <t>補助雪地搜救訓練及充實雪地救援裝備器材計畫</t>
  </si>
  <si>
    <t>補助澎湖縣充實緊急救災救護資訊設備經費</t>
  </si>
  <si>
    <t xml:space="preserve">                     -</t>
  </si>
  <si>
    <t>補助地方政府辦理外籍與大陸配偶生活適應輔導實施計畫</t>
  </si>
  <si>
    <t>推展勞動志願服務</t>
  </si>
  <si>
    <t>補助縣市勞工育樂中心設備汰舊換新、加強消防安全設施、設備維修</t>
  </si>
  <si>
    <t>各直轄市、縣(市)政府消費者保護業務考核，成績獲優等以上機關之獎勵金</t>
  </si>
  <si>
    <t>國家建設總合評估規劃</t>
  </si>
  <si>
    <t>補助客家文化加值產業研發推廣</t>
  </si>
  <si>
    <t>補助客家文化加值產業硬體工程</t>
  </si>
  <si>
    <t>補助客庄青年新創事業計畫</t>
  </si>
  <si>
    <t>屏東縣政府行政中心增建工程</t>
  </si>
  <si>
    <t>國家地理資訊系統計畫(土測)</t>
  </si>
  <si>
    <t>國家地理資訊系統計畫(資訊中心)</t>
  </si>
  <si>
    <t>辦理境外僑生及僑校輔導相關事務</t>
  </si>
  <si>
    <t>辦理港澳及兩岸學術教育交流相關事務</t>
  </si>
  <si>
    <t>國立社教機構與公共圖書館之輔導及功能充實</t>
  </si>
  <si>
    <t>推展國際運動</t>
  </si>
  <si>
    <t>強化藥癮者輔導處遇計畫</t>
  </si>
  <si>
    <t>金門自大陸引水畫</t>
  </si>
  <si>
    <t>跨域亮點及特色加值整備計畫</t>
  </si>
  <si>
    <t>補助辦理長期照顧(居家服務、日間照顧、失智症日間中心、家庭托顧、營養餐飲、交通接送服務)</t>
  </si>
  <si>
    <t>中低收入身心障礙者生活、日間及住宿式照顧、輔具補助經費</t>
  </si>
  <si>
    <t>身心障礙者個人照顧及家庭支持服務</t>
  </si>
  <si>
    <t>保母托育管理與托育費用補助</t>
  </si>
  <si>
    <t>發展遲緩兒童早期療育費用補助</t>
  </si>
  <si>
    <t>辦理特殊境遇家庭扶助服務</t>
  </si>
  <si>
    <t>補助興設購置或整建各類身心障礙福利機構</t>
  </si>
  <si>
    <t>加強監控違規廣告及查處非法管道賣藥計畫</t>
  </si>
  <si>
    <t>建構寧適家園計畫</t>
  </si>
  <si>
    <t>1.臺中大都會歌劇院興建工程計畫</t>
  </si>
  <si>
    <t>2.博物館發展計畫</t>
  </si>
  <si>
    <t>3.新故鄉社區營造</t>
  </si>
  <si>
    <t>4.地方文化館第二期計畫</t>
  </si>
  <si>
    <t>5.村落文化發展計畫</t>
  </si>
  <si>
    <t>6.文化創意產業推動與輔導</t>
  </si>
  <si>
    <t>7.人文研發業務</t>
  </si>
  <si>
    <t>8.文學發展業務</t>
  </si>
  <si>
    <t>9.博物館業務之推展</t>
  </si>
  <si>
    <t>10.縣市藝文特色發展計畫</t>
  </si>
  <si>
    <t>11.活化縣市文化中心劇場營運計畫</t>
  </si>
  <si>
    <t>12.傑出演藝團隊甄選及獎勵</t>
  </si>
  <si>
    <t>13.視覺藝術之輔導與推動</t>
  </si>
  <si>
    <t>14.展演藝術之推廣與應用</t>
  </si>
  <si>
    <t>15.國際文化交流推展</t>
  </si>
  <si>
    <t>16.文化資產維護管理及再利用計畫</t>
  </si>
  <si>
    <t>17.有形文化資產管理體系計畫</t>
  </si>
  <si>
    <t>18.無形文化資產與保存技術推廣計畫</t>
  </si>
  <si>
    <t>19.歷史文化場域保存活化計畫</t>
  </si>
  <si>
    <r>
      <t>104年度</t>
    </r>
    <r>
      <rPr>
        <b/>
        <sz val="22"/>
        <rFont val="華康POP1體W7(P)"/>
        <family val="1"/>
        <charset val="136"/>
      </rPr>
      <t>XX主管對地方政府補助經費分配表(法定預算)</t>
    </r>
    <phoneticPr fontId="19" type="noConversion"/>
  </si>
  <si>
    <t>104年度XX主管對地方政府補助經費分配表(法定預算)(續完)</t>
    <phoneticPr fontId="19" type="noConversion"/>
  </si>
  <si>
    <t>單位：千元</t>
    <phoneticPr fontId="19" type="noConversion"/>
  </si>
  <si>
    <t>主管機關</t>
    <phoneticPr fontId="22" type="noConversion"/>
  </si>
  <si>
    <t>機關名稱</t>
    <phoneticPr fontId="22" type="noConversion"/>
  </si>
  <si>
    <t>計畫項目</t>
    <phoneticPr fontId="22" type="noConversion"/>
  </si>
  <si>
    <t>政事別</t>
    <phoneticPr fontId="19" type="noConversion"/>
  </si>
  <si>
    <t>總計</t>
    <phoneticPr fontId="22" type="noConversion"/>
  </si>
  <si>
    <t>直轄市</t>
    <phoneticPr fontId="19" type="noConversion"/>
  </si>
  <si>
    <r>
      <t>台灣省</t>
    </r>
    <r>
      <rPr>
        <sz val="12"/>
        <rFont val="標楷體"/>
        <family val="4"/>
        <charset val="136"/>
      </rPr>
      <t>各</t>
    </r>
    <r>
      <rPr>
        <sz val="12"/>
        <rFont val="標楷體"/>
        <family val="4"/>
        <charset val="136"/>
      </rPr>
      <t>縣市</t>
    </r>
    <phoneticPr fontId="19" type="noConversion"/>
  </si>
  <si>
    <t>台灣省各縣市</t>
    <phoneticPr fontId="19" type="noConversion"/>
  </si>
  <si>
    <t>金馬地區</t>
    <phoneticPr fontId="19" type="noConversion"/>
  </si>
  <si>
    <t>check</t>
    <phoneticPr fontId="19" type="noConversion"/>
  </si>
  <si>
    <t>經常門</t>
    <phoneticPr fontId="19" type="noConversion"/>
  </si>
  <si>
    <t>資本門</t>
    <phoneticPr fontId="19" type="noConversion"/>
  </si>
  <si>
    <t>臺北市</t>
    <phoneticPr fontId="19" type="noConversion"/>
  </si>
  <si>
    <t>新北市</t>
    <phoneticPr fontId="19" type="noConversion"/>
  </si>
  <si>
    <t>桃園市</t>
    <phoneticPr fontId="19" type="noConversion"/>
  </si>
  <si>
    <t>臺中市</t>
    <phoneticPr fontId="19" type="noConversion"/>
  </si>
  <si>
    <t>臺南市</t>
    <phoneticPr fontId="19" type="noConversion"/>
  </si>
  <si>
    <t>高雄市</t>
    <phoneticPr fontId="19" type="noConversion"/>
  </si>
  <si>
    <t>未分
配數</t>
    <phoneticPr fontId="19" type="noConversion"/>
  </si>
  <si>
    <t>宜蘭縣</t>
    <phoneticPr fontId="19" type="noConversion"/>
  </si>
  <si>
    <t>臺東縣</t>
    <phoneticPr fontId="19" type="noConversion"/>
  </si>
  <si>
    <t>金門縣</t>
    <phoneticPr fontId="19" type="noConversion"/>
  </si>
  <si>
    <t>連江縣</t>
    <phoneticPr fontId="19" type="noConversion"/>
  </si>
  <si>
    <t>合計</t>
    <phoneticPr fontId="22" type="noConversion"/>
  </si>
  <si>
    <t>扣財政部地方統籌分配稅款短少補助</t>
    <phoneticPr fontId="19" type="noConversion"/>
  </si>
  <si>
    <t>行政院</t>
    <phoneticPr fontId="19" type="noConversion"/>
  </si>
  <si>
    <t>行政院主管</t>
    <phoneticPr fontId="19" type="noConversion"/>
  </si>
  <si>
    <t>文化園區管理局</t>
    <phoneticPr fontId="19" type="noConversion"/>
  </si>
  <si>
    <t>內政部主管</t>
    <phoneticPr fontId="19" type="noConversion"/>
  </si>
  <si>
    <t>財政部主管</t>
    <phoneticPr fontId="19" type="noConversion"/>
  </si>
  <si>
    <t>教育部主管</t>
    <phoneticPr fontId="19" type="noConversion"/>
  </si>
  <si>
    <t>教育部體育署</t>
    <phoneticPr fontId="19" type="noConversion"/>
  </si>
  <si>
    <t>經濟部主管</t>
    <phoneticPr fontId="19" type="noConversion"/>
  </si>
  <si>
    <t>水利署</t>
    <phoneticPr fontId="19" type="noConversion"/>
  </si>
  <si>
    <t>交通部主管</t>
    <phoneticPr fontId="22" type="noConversion"/>
  </si>
  <si>
    <t>農委會主管</t>
    <phoneticPr fontId="19" type="noConversion"/>
  </si>
  <si>
    <t>勞動部主管</t>
    <phoneticPr fontId="19" type="noConversion"/>
  </si>
  <si>
    <t>環保署主管</t>
    <phoneticPr fontId="19" type="noConversion"/>
  </si>
  <si>
    <t>文化部主管</t>
    <phoneticPr fontId="19" type="noConversion"/>
  </si>
  <si>
    <t>福建省政府</t>
    <phoneticPr fontId="19" type="noConversion"/>
  </si>
  <si>
    <t>說明：政事別欄位請填列代號：1.一般政務支出，2.國防支出，3.教育科學文化支出，4.經濟發展支出，5.社會福利支出，6.社區發展及環境保護支出，7.退休撫卹支出，8.債務支出，9.一般補助及其他支出。</t>
    <phoneticPr fontId="19" type="noConversion"/>
  </si>
  <si>
    <t>與105gba核對104</t>
    <phoneticPr fontId="5" type="noConversion"/>
  </si>
  <si>
    <r>
      <t>中央底稿</t>
    </r>
    <r>
      <rPr>
        <sz val="16"/>
        <rFont val="Times New Roman"/>
        <family val="1"/>
      </rPr>
      <t>(105)</t>
    </r>
    <phoneticPr fontId="3" type="noConversion"/>
  </si>
  <si>
    <r>
      <t>直轄市底稿</t>
    </r>
    <r>
      <rPr>
        <sz val="16"/>
        <rFont val="Times New Roman"/>
        <family val="1"/>
      </rPr>
      <t>(105)</t>
    </r>
    <phoneticPr fontId="3" type="noConversion"/>
  </si>
  <si>
    <t>105年度中央對地方政府補助經費分配表(流域綜合治理第2期預算案)</t>
    <phoneticPr fontId="19" type="noConversion"/>
  </si>
  <si>
    <r>
      <t>中央底稿</t>
    </r>
    <r>
      <rPr>
        <sz val="16"/>
        <color indexed="10"/>
        <rFont val="Times New Roman"/>
        <family val="1"/>
      </rPr>
      <t>(104)</t>
    </r>
    <phoneticPr fontId="3" type="noConversion"/>
  </si>
  <si>
    <t>ok</t>
    <phoneticPr fontId="5" type="noConversion"/>
  </si>
  <si>
    <r>
      <t>縣市底稿</t>
    </r>
    <r>
      <rPr>
        <sz val="16"/>
        <color indexed="10"/>
        <rFont val="Times New Roman"/>
        <family val="1"/>
      </rPr>
      <t>(104)</t>
    </r>
    <phoneticPr fontId="3" type="noConversion"/>
  </si>
  <si>
    <t>ok</t>
    <phoneticPr fontId="5" type="noConversion"/>
  </si>
  <si>
    <t>ok</t>
    <phoneticPr fontId="5" type="noConversion"/>
  </si>
  <si>
    <t>國家通訊傳播委員會</t>
    <phoneticPr fontId="19" type="noConversion"/>
  </si>
  <si>
    <t>加速行寬頻建設與服務-推動防救災共構共站行動通訊平臺</t>
    <phoneticPr fontId="19" type="noConversion"/>
  </si>
  <si>
    <t>輔導原住民族地區文化(物)館展覽</t>
  </si>
  <si>
    <t>補助地方政府督導中長程施政計畫等查證、督導及協調座談(研討)會事宜所需經費</t>
  </si>
  <si>
    <t>補助地方政府辦理原住民族知識發展創意經濟－產業示範區計畫</t>
  </si>
  <si>
    <t>補助地方政府辦理原住民族產業深耕及行銷推廣計畫</t>
  </si>
  <si>
    <t>花東(101-104)年綜合發展實施方案</t>
  </si>
  <si>
    <t>補助地方政府補辦增劃編原住民保留地實施計畫及增劃編原住民保留地複丈分割工作計畫</t>
  </si>
  <si>
    <t>補助地方政府辦理原住民保留地權利回復計畫及馬蘭會館土地有償撥用經費</t>
  </si>
  <si>
    <t>辦理原住民族土地地用計畫</t>
  </si>
  <si>
    <t>辦理原住民族傳統領域計畫</t>
  </si>
  <si>
    <t>辦理國宅或集合式平價住宅出租原住民居住</t>
  </si>
  <si>
    <t>補助地方政府辦理原住民族住宅改善相關行政業務經費</t>
  </si>
  <si>
    <t>補助地方政府辦理原住民中低收入戶建購、修繕住宅</t>
  </si>
  <si>
    <t>補助地方政府辦理都會區原住民住宅業務（資本門）</t>
  </si>
  <si>
    <t>辦理天然災害重建及文化語彙及部落文化風貌重現計畫</t>
  </si>
  <si>
    <t>補助地方政府辦理原住民族部落特色道路改善計畫(103-106年)</t>
  </si>
  <si>
    <t>補助地方政府辦理原住民族部落永續發展造景計畫</t>
  </si>
  <si>
    <t>辦理部落遷住安全計畫</t>
  </si>
  <si>
    <t>補助原住民鄉鎮市</t>
  </si>
  <si>
    <t>落實推動民族教育</t>
  </si>
  <si>
    <t>加強原住民人才培育</t>
  </si>
  <si>
    <t>補助地方政府推動原住民族社會教育及終身學習計畫</t>
  </si>
  <si>
    <t>振興原住民族族語</t>
  </si>
  <si>
    <t>數位部落啟航</t>
  </si>
  <si>
    <t>辦理都市原住民發展計畫（都原計畫）</t>
  </si>
  <si>
    <t>文化振興計畫</t>
  </si>
  <si>
    <t>辦理原住民族部落活力計畫</t>
  </si>
  <si>
    <t>依據花東基金條例補助花蓮縣綜合發展實施方案-原住民族造形藝術豐羽計畫及山海劇場破浪計畫</t>
  </si>
  <si>
    <t>補助辦理原住民急難救助</t>
  </si>
  <si>
    <t>補助辦理原住民家庭暨婦女服務中心及關懷站</t>
  </si>
  <si>
    <t>補助地方政府僱用原住民生活輔導員計畫</t>
  </si>
  <si>
    <t>補助地方政府辦理國民年金權益宣導活動計畫</t>
  </si>
  <si>
    <t>補助地方政府辦理消費者保護業務</t>
  </si>
  <si>
    <t>辦理都市原住民發展計畫─加強都市原住民生活安全等所需經費</t>
  </si>
  <si>
    <t>辦理就業服務相關之業務費</t>
  </si>
  <si>
    <t>ok</t>
    <phoneticPr fontId="5" type="noConversion"/>
  </si>
  <si>
    <t>ok</t>
    <phoneticPr fontId="5" type="noConversion"/>
  </si>
  <si>
    <t>河川及區域排水改善</t>
    <phoneticPr fontId="19" type="noConversion"/>
  </si>
  <si>
    <t>105年度中央對地方政府補助經費分配表(流域綜合治理第2期預算案)(續完)</t>
    <phoneticPr fontId="19" type="noConversion"/>
  </si>
  <si>
    <t>福建省政府</t>
    <phoneticPr fontId="19" type="noConversion"/>
  </si>
  <si>
    <t>辦理金馬機關學校與閩籍社團活動及省民慰助經費</t>
    <phoneticPr fontId="19" type="noConversion"/>
  </si>
  <si>
    <t>健全農會組織制度及提升農會服務功能計畫-強化農會主管機關輔導功能</t>
  </si>
  <si>
    <t>提升動物保護行政效能計畫</t>
  </si>
  <si>
    <t>家畜產業永續經營計畫</t>
  </si>
  <si>
    <t>推動畜產品安全生產及產銷履歷驗證計畫</t>
  </si>
  <si>
    <t>強化畜牧場污泥清理再利用</t>
  </si>
  <si>
    <t>提升畜牧場排放水質及改善生產環境</t>
  </si>
  <si>
    <t>減少畜牧廢水排放量因應水污費徵收衝擊</t>
  </si>
  <si>
    <t>加強畜牧場節能及沼氣利用</t>
  </si>
  <si>
    <t>強化畜牧場斃死畜禽管理</t>
  </si>
  <si>
    <t>強化雞糞再利用輔導計畫</t>
  </si>
  <si>
    <t>強化畜禽糞管理及再利用計畫</t>
  </si>
  <si>
    <t>特定水土保持區劃定</t>
  </si>
  <si>
    <t>土石流防災與監測</t>
  </si>
  <si>
    <t>漁產品溯源安全管理及行銷輔導計畫</t>
  </si>
  <si>
    <t>辦理觀光魚場示範點評估與規劃</t>
  </si>
  <si>
    <t>彰化漁港開發案近程(可開港營運)計畫</t>
  </si>
  <si>
    <t>沿海地區魚塭及淺海養殖地區GPS相片建置</t>
  </si>
  <si>
    <t>植物有害生物防疫計畫</t>
  </si>
  <si>
    <t>植物重大有害生物疫情監測</t>
  </si>
  <si>
    <t>建構種苗產業價值鏈</t>
  </si>
  <si>
    <t>原鄉特色作物生產輔導</t>
  </si>
  <si>
    <t>農產品溯源安全管理及行銷輔導計畫</t>
  </si>
  <si>
    <t>強化蔬果品質抽驗及監測</t>
  </si>
  <si>
    <t>特別</t>
    <phoneticPr fontId="5" type="noConversion"/>
  </si>
  <si>
    <t>與104比較</t>
    <phoneticPr fontId="5" type="noConversion"/>
  </si>
  <si>
    <r>
      <t>縣市底稿</t>
    </r>
    <r>
      <rPr>
        <sz val="16"/>
        <rFont val="Times New Roman"/>
        <family val="1"/>
      </rPr>
      <t>(105)</t>
    </r>
    <phoneticPr fontId="3" type="noConversion"/>
  </si>
  <si>
    <t>農地資源分類分級與利用計畫</t>
  </si>
  <si>
    <t>死廢畜禽資源化製管理查核計畫</t>
  </si>
  <si>
    <t>扣財政部地方統籌分配稅款短少補助</t>
    <phoneticPr fontId="19" type="noConversion"/>
  </si>
  <si>
    <r>
      <t>臺灣省</t>
    </r>
    <r>
      <rPr>
        <sz val="12"/>
        <rFont val="標楷體"/>
        <family val="4"/>
        <charset val="136"/>
      </rPr>
      <t>各縣市</t>
    </r>
    <phoneticPr fontId="19" type="noConversion"/>
  </si>
  <si>
    <t>臺灣省各縣市</t>
    <phoneticPr fontId="19" type="noConversion"/>
  </si>
  <si>
    <r>
      <t>106年度</t>
    </r>
    <r>
      <rPr>
        <b/>
        <sz val="22"/>
        <rFont val="華康POP1體W7(P)"/>
        <family val="1"/>
        <charset val="136"/>
      </rPr>
      <t>中央對地方政府補助經費分配表(總預算案)(續一)</t>
    </r>
    <phoneticPr fontId="19" type="noConversion"/>
  </si>
  <si>
    <t>106年度中央對地方政府補助經費分配表(總預算案)(續完)</t>
    <phoneticPr fontId="19" type="noConversion"/>
  </si>
  <si>
    <r>
      <t>106年度</t>
    </r>
    <r>
      <rPr>
        <b/>
        <sz val="20"/>
        <rFont val="華康POP1體W7(P)"/>
        <family val="1"/>
        <charset val="136"/>
      </rPr>
      <t>中央對地方政府補助經費分配表(流域綜合治理計畫特別預算)(續一)</t>
    </r>
    <phoneticPr fontId="19" type="noConversion"/>
  </si>
  <si>
    <t>106年度中央對地方政府補助經費分配表(流域綜合治理計畫特別預算)(續完)</t>
    <phoneticPr fontId="19" type="noConversion"/>
  </si>
  <si>
    <t>地方原應負擔之健勞保保費改由中央負擔</t>
    <phoneticPr fontId="5" type="noConversion"/>
  </si>
  <si>
    <t>扣勞健保</t>
    <phoneticPr fontId="5" type="noConversion"/>
  </si>
  <si>
    <t>與104比較</t>
    <phoneticPr fontId="5" type="noConversion"/>
  </si>
  <si>
    <t>扣計畫</t>
    <phoneticPr fontId="5" type="noConversion"/>
  </si>
  <si>
    <t>扣一般性補助款</t>
    <phoneticPr fontId="5" type="noConversion"/>
  </si>
  <si>
    <t>扣財政部98.5億那筆</t>
    <phoneticPr fontId="5" type="noConversion"/>
  </si>
  <si>
    <t>總  計</t>
    <phoneticPr fontId="22" type="noConversion"/>
  </si>
  <si>
    <t>推行人口政策措施宣導活動之獎勵金</t>
  </si>
  <si>
    <t>落實智慧國土-國土測繪圖資更新及維運計畫(地政司)</t>
  </si>
  <si>
    <t>落實智慧國土-國土測繪圖資更新及維運計畫(國土測繪中心)</t>
  </si>
  <si>
    <t>永續智慧城市－智慧綠建築與社區推動方案</t>
  </si>
  <si>
    <t>辦理公共設施管線資料庫暨管理應用系統建置計畫</t>
  </si>
  <si>
    <t>國家濕地保育計畫</t>
  </si>
  <si>
    <t>補助臺東縣提升救護專業及高級救護品質計畫</t>
  </si>
  <si>
    <t>補助花蓮縣防救災專用資通訊系統提升計畫</t>
  </si>
  <si>
    <t>義消組織充實人力與裝備器材計畫</t>
  </si>
  <si>
    <t>補助地方政府災害防救團體裝備器材等經費</t>
  </si>
  <si>
    <t>建築研究所</t>
  </si>
  <si>
    <t>永續智慧城市-智慧綠建築與社區推動方案</t>
  </si>
  <si>
    <t>移民署</t>
  </si>
  <si>
    <t>內政部小計</t>
    <phoneticPr fontId="19" type="noConversion"/>
  </si>
  <si>
    <t>內政部主管合計</t>
    <phoneticPr fontId="19" type="noConversion"/>
  </si>
  <si>
    <t>營建署小計</t>
    <phoneticPr fontId="19" type="noConversion"/>
  </si>
  <si>
    <t>消防署小計</t>
    <phoneticPr fontId="19" type="noConversion"/>
  </si>
  <si>
    <t>役政署小計</t>
    <phoneticPr fontId="19" type="noConversion"/>
  </si>
  <si>
    <t>流域綜合治理計畫</t>
  </si>
  <si>
    <t>15.文化資產維護管理及再利用計畫</t>
  </si>
  <si>
    <t>16.文化資產多元永續發展計畫</t>
  </si>
  <si>
    <t>17.古物遺址及水下資產活化發展計畫</t>
  </si>
  <si>
    <t>18.文化資產跨域發展計畫</t>
  </si>
  <si>
    <t>文化部主管合計</t>
    <phoneticPr fontId="19" type="noConversion"/>
  </si>
  <si>
    <t>文化部小計</t>
    <phoneticPr fontId="19" type="noConversion"/>
  </si>
  <si>
    <t>文化資產局小計</t>
    <phoneticPr fontId="19" type="noConversion"/>
  </si>
  <si>
    <t>環保署主管</t>
  </si>
  <si>
    <t>環保署主管合計</t>
    <phoneticPr fontId="19" type="noConversion"/>
  </si>
  <si>
    <t>低收入戶家庭生活、就學生活費、低收入戶病患住院膳食費、低收及中低收入醫療補助及住院看護</t>
  </si>
  <si>
    <t>補助直轄市及縣(市)政府辦理社工人身安全教育訓練、安全防護設施設備、執行風險工作補助費</t>
  </si>
  <si>
    <t>補助直轄市政府設置627燒燙傷專案管理中心業務所需各項費用</t>
  </si>
  <si>
    <t>辦理串連弱勢服務─脫貧自立、在地社區食物服務拓展計畫</t>
  </si>
  <si>
    <t>補助縣市政府辦理「106年福利服務行動躍升計畫」</t>
  </si>
  <si>
    <t>原住民族及離島地區醫療保健行政工作</t>
  </si>
  <si>
    <t>加強原住民族及離島地區醫療保健服務</t>
  </si>
  <si>
    <t>長照十年計畫2.0</t>
  </si>
  <si>
    <t>社會及家庭署</t>
  </si>
  <si>
    <t>中低收入老人補助裝置假牙實施計畫</t>
  </si>
  <si>
    <t>八仙樂園粉塵暴燃個案重建服務</t>
  </si>
  <si>
    <t>辦理長照十年計畫2.0推動49歲以下身心障礙者照顧服務</t>
  </si>
  <si>
    <t>建構托育管理制度實施計畫</t>
  </si>
  <si>
    <t>傳染病防治計畫</t>
  </si>
  <si>
    <t>衛福部主管</t>
    <phoneticPr fontId="19" type="noConversion"/>
  </si>
  <si>
    <t>衛福部主管合計</t>
    <phoneticPr fontId="19" type="noConversion"/>
  </si>
  <si>
    <t>衛福部小計</t>
    <phoneticPr fontId="19" type="noConversion"/>
  </si>
  <si>
    <t>衛福部(保護司)</t>
    <phoneticPr fontId="19" type="noConversion"/>
  </si>
  <si>
    <t>衛福部(社工司)</t>
    <phoneticPr fontId="19" type="noConversion"/>
  </si>
  <si>
    <t>衛福部(照護司)</t>
    <phoneticPr fontId="19" type="noConversion"/>
  </si>
  <si>
    <t>衛福部</t>
    <phoneticPr fontId="19" type="noConversion"/>
  </si>
  <si>
    <t>臺灣新竹地方法院檢察署</t>
  </si>
  <si>
    <t>臺灣橋頭地方法院檢察署</t>
  </si>
  <si>
    <t>法務部主管合計</t>
    <phoneticPr fontId="19" type="noConversion"/>
  </si>
  <si>
    <t>經濟部主管</t>
  </si>
  <si>
    <t>中石化安順廠污染案第2階段居民照護計畫補助</t>
  </si>
  <si>
    <t>水利署</t>
  </si>
  <si>
    <t>蓄水建造物更新及改善計畫第2期(106-110年)</t>
  </si>
  <si>
    <t>無自來水地區供水改善計畫第二期(10-109年)</t>
  </si>
  <si>
    <t>地下水保育管理暨地層下陷防治計畫(104-109年)</t>
  </si>
  <si>
    <t>經濟部主管合計</t>
    <phoneticPr fontId="19" type="noConversion"/>
  </si>
  <si>
    <t>交通部主管</t>
  </si>
  <si>
    <t>智慧運輸系統發展建設計畫</t>
  </si>
  <si>
    <t>交通部(交管小組)</t>
  </si>
  <si>
    <t>離島綜合建設實施方案基本航次補貼、船舶維修、海運票價補貼、交通船碼頭整建等</t>
  </si>
  <si>
    <t>臺北都會區大眾捷運系統工程計畫－新莊線及蘆洲支線</t>
  </si>
  <si>
    <t>臺北都會區大眾捷運系統萬大-中和-樹林線規劃報告書暨周邊土地</t>
  </si>
  <si>
    <t>臺北都會區大眾捷運系統信義線向東延伸規劃報告書暨周邊土地發展</t>
  </si>
  <si>
    <t>高雄都會區輕軌運輸系統高雄環狀輕軌捷運建設計</t>
  </si>
  <si>
    <t>高雄都會區大眾捷運系統岡山路竹延伸線（第一階段）暨周邊土地開發計畫</t>
  </si>
  <si>
    <t>台中都會區大眾捷運系統烏日文心北屯線建設計畫</t>
  </si>
  <si>
    <t>高雄市區鐵路地下化計畫</t>
  </si>
  <si>
    <t>高雄鐵路地下化延伸鳯山計畫</t>
  </si>
  <si>
    <t>嘉義市區鐵路高架化計畫</t>
  </si>
  <si>
    <t>臺灣國內商港未來發展及建設計畫(106-110年)-金門港埠建設計畫</t>
  </si>
  <si>
    <t>臺灣國內商港未來發展及建設計畫(106-110年)-馬祖港埠建設計畫</t>
  </si>
  <si>
    <t>公路公共運輸多元推升計畫</t>
  </si>
  <si>
    <t>交通部主管合計</t>
    <phoneticPr fontId="19" type="noConversion"/>
  </si>
  <si>
    <t>勞動部主管合計</t>
    <phoneticPr fontId="19" type="noConversion"/>
  </si>
  <si>
    <t>農委會主管合計</t>
    <phoneticPr fontId="19" type="noConversion"/>
  </si>
  <si>
    <t>行政院主管</t>
    <phoneticPr fontId="19" type="noConversion"/>
  </si>
  <si>
    <t>國發會合計</t>
    <phoneticPr fontId="19" type="noConversion"/>
  </si>
  <si>
    <t>提升連江縣無線網路服務行動加值計畫</t>
  </si>
  <si>
    <t>電子化政府暨行動資訊服務推展計畫</t>
  </si>
  <si>
    <t>雲端應用發展及資料中心建置計畫</t>
  </si>
  <si>
    <t>臺東國際友善環境營造暨ICT無線寬頻智慧城市建構計畫</t>
  </si>
  <si>
    <t>獎勵地方政府推動客家語言及文化整體發展</t>
  </si>
  <si>
    <t>補助辦理客語教育</t>
  </si>
  <si>
    <t>補助辦理客語生活學校計畫</t>
  </si>
  <si>
    <t>補助推動公共領域客語無障礙環境計畫</t>
  </si>
  <si>
    <t>補助辦理客語深根服務計畫</t>
  </si>
  <si>
    <t>補助推動客語扎根計畫</t>
  </si>
  <si>
    <t>補捐助辦理「臺三線客庄產業聚落形塑暨示範計畫」</t>
  </si>
  <si>
    <t>補助客家聚落人文地景維護、特色風貌營造及公共服務設施建置計畫</t>
  </si>
  <si>
    <t>補助客家傳統聚落空間及客家名人故居修復再利用計畫</t>
  </si>
  <si>
    <t>補助客家文化及產業設施活化與產業發展、輔導計畫</t>
  </si>
  <si>
    <t>補助客家文化重點發展區先期資源調查、跨域整合規劃及駐地工作計畫</t>
  </si>
  <si>
    <t>促參案件前置作業補助</t>
  </si>
  <si>
    <t>農地重劃區緊急農水路改善工程</t>
  </si>
  <si>
    <t>加強動物保護行政效能及犬貓絕育計畫</t>
  </si>
  <si>
    <t>提升芻料品質與產量計畫</t>
  </si>
  <si>
    <t>強化動物福利管理計畫</t>
  </si>
  <si>
    <t>禽畜糞管理及資源化輔導計畫</t>
  </si>
  <si>
    <t>畜禽產品溯源安全管理計畫</t>
  </si>
  <si>
    <t>改善政府動物管制收容設施</t>
  </si>
  <si>
    <t>林務局小計</t>
    <phoneticPr fontId="19" type="noConversion"/>
  </si>
  <si>
    <t>林產產銷輔導</t>
  </si>
  <si>
    <t>樹木健康(疫病及外來入侵種防除)</t>
  </si>
  <si>
    <t>樹木保護(珍貴老樹保護)</t>
  </si>
  <si>
    <t>辦理沿岸棲地淨化工作</t>
  </si>
  <si>
    <t>辦理地方優質標章驗證水產品推動工作</t>
  </si>
  <si>
    <t>輔導石斑魚產銷方式轉型推廣</t>
  </si>
  <si>
    <t>試辦養殖漁業天然災害保險</t>
  </si>
  <si>
    <t>沿近海漁業資源復育</t>
  </si>
  <si>
    <t>穩定養殖區生產環境</t>
  </si>
  <si>
    <t>輔導設置觀光漁場示範點及漁業產業多元發展深耕計畫</t>
  </si>
  <si>
    <t>漁港機能維護</t>
  </si>
  <si>
    <t>魚市場興修建及改善</t>
  </si>
  <si>
    <t>彰化漁港開發案近程(可開港營運)</t>
  </si>
  <si>
    <t>魚塭圖資建置</t>
  </si>
  <si>
    <t>防檢局</t>
  </si>
  <si>
    <t>動物用藥品品質管制</t>
  </si>
  <si>
    <t>死廢畜禽化製管理查核計畫</t>
  </si>
  <si>
    <t>強化農業基礎生產資訊調查、蒐集與預警計畫及其相關資訊系統功能擴充與維護</t>
  </si>
  <si>
    <t>農業產銷班組織及登記農場輔導與頒獎表揚計畫</t>
  </si>
  <si>
    <t>建構蘭花保種交易服務體系</t>
  </si>
  <si>
    <t>建構安全農產品產銷體系</t>
  </si>
  <si>
    <t>發展有機農業計畫</t>
  </si>
  <si>
    <t>加強農機管理暨服務農民資訊化計畫</t>
  </si>
  <si>
    <t>加強推動國產溯源農產品計畫</t>
  </si>
  <si>
    <t>10倍查驗-建構安全農產品產銷體系</t>
  </si>
  <si>
    <t>農糧產品溯源安全管理及行銷輔導計畫</t>
  </si>
  <si>
    <t>106年度國際蘭展</t>
  </si>
  <si>
    <t>臺中市翡翠區域農業加值推動計畫</t>
  </si>
  <si>
    <t>大型農產品物流中心計畫</t>
  </si>
  <si>
    <t>水保局小計</t>
    <phoneticPr fontId="19" type="noConversion"/>
  </si>
  <si>
    <t>防檢局小計</t>
    <phoneticPr fontId="19" type="noConversion"/>
  </si>
  <si>
    <t>農糧署小計</t>
    <phoneticPr fontId="19" type="noConversion"/>
  </si>
  <si>
    <t>1.辦理文化平權理念宣導</t>
  </si>
  <si>
    <t>2.臺南市美術館建設計畫</t>
  </si>
  <si>
    <t>3.社區營造及村落文化發展</t>
  </si>
  <si>
    <t>4.博物館及地方文化館推動與輔導</t>
  </si>
  <si>
    <t>5.文化創意產業推動與輔導</t>
  </si>
  <si>
    <t>6.文創產業結合地方文化節慶國際化</t>
  </si>
  <si>
    <t>7.推展地方影視音文化體驗</t>
  </si>
  <si>
    <t>8.人文推廣業務</t>
  </si>
  <si>
    <t>9.文學發展及閱讀推廣</t>
  </si>
  <si>
    <t>10.傑出演藝團隊甄選及獎勵計畫</t>
  </si>
  <si>
    <t>12.鼓勵藝文團體暨人才赴海外展演（威尼斯雙年展）</t>
  </si>
  <si>
    <t>13.縣市藝文場館營運升級及示範計畫</t>
  </si>
  <si>
    <t>14.全球佈局策略推展計畫</t>
  </si>
  <si>
    <t>15.博物館業務之推展</t>
  </si>
  <si>
    <t>原民會合計（含原住民族文化發展中心）</t>
    <phoneticPr fontId="19" type="noConversion"/>
  </si>
  <si>
    <t>辦理民族教育</t>
  </si>
  <si>
    <t>補助社區或部落教保服務中心</t>
  </si>
  <si>
    <t>補助辦理原住民學生多元發展計畫</t>
  </si>
  <si>
    <t>傳統競技及體育活動</t>
  </si>
  <si>
    <t>推廣原住民族社會教育及終身學習</t>
  </si>
  <si>
    <t>振興原住民族語言</t>
  </si>
  <si>
    <t>推動部落圖書資訊站特色經營計畫</t>
  </si>
  <si>
    <t>辦理都市原住民各項教育補助及推廣、文化傳承(都原計畫)</t>
  </si>
  <si>
    <t>推動原住民社會福利服務</t>
  </si>
  <si>
    <t>補助地方政府辦理都市原住民發展計畫─強化原住民基本生活安全</t>
  </si>
  <si>
    <t>補助地方政府辦理都市原住民發展計畫─提升原住民就業競爭能力</t>
  </si>
  <si>
    <t>經濟產業發展4年計畫</t>
  </si>
  <si>
    <t>花東綜合發展方案-經濟發展</t>
  </si>
  <si>
    <t>辦理原住民族產業活動計畫</t>
  </si>
  <si>
    <t>補辦增劃編原住民保留地暨複丈分割實施計畫</t>
  </si>
  <si>
    <t>補助地方政府辦理原住民保留地權利回復計畫</t>
  </si>
  <si>
    <t>辦理馬蘭會館土地有償撥用等</t>
  </si>
  <si>
    <t>原住民族土地地用業務</t>
  </si>
  <si>
    <t>原住民族傳統領域土地調查及劃設</t>
  </si>
  <si>
    <t>原住民族住宅計畫</t>
  </si>
  <si>
    <t>補助地方政府辦理原住民族部落特色道路改善計畫</t>
  </si>
  <si>
    <t>原住民族部落安全作業</t>
  </si>
  <si>
    <t>地方文物館改善計畫</t>
  </si>
  <si>
    <t>原住民族文化發展中心</t>
    <phoneticPr fontId="19" type="noConversion"/>
  </si>
  <si>
    <r>
      <t>本表數字直接用</t>
    </r>
    <r>
      <rPr>
        <b/>
        <sz val="16"/>
        <color indexed="10"/>
        <rFont val="Times New Roman"/>
        <family val="1"/>
      </rPr>
      <t>105</t>
    </r>
    <r>
      <rPr>
        <b/>
        <sz val="16"/>
        <color indexed="10"/>
        <rFont val="細明體"/>
        <family val="3"/>
        <charset val="136"/>
      </rPr>
      <t>年度特別預算法定預算剛通過時調查的數字，不重新調查。</t>
    </r>
    <phoneticPr fontId="19" type="noConversion"/>
  </si>
  <si>
    <t>河川及區域排水改善</t>
  </si>
  <si>
    <t>與案比較</t>
    <phoneticPr fontId="5" type="noConversion"/>
  </si>
  <si>
    <t>12.29ok</t>
    <phoneticPr fontId="5" type="noConversion"/>
  </si>
  <si>
    <t>1040104ok</t>
    <phoneticPr fontId="5" type="noConversion"/>
  </si>
  <si>
    <r>
      <t>3.</t>
    </r>
    <r>
      <rPr>
        <sz val="12"/>
        <rFont val="標楷體"/>
        <family val="4"/>
        <charset val="136"/>
      </rPr>
      <t>規費及罰鍰收入</t>
    </r>
    <phoneticPr fontId="4" type="noConversion"/>
  </si>
  <si>
    <r>
      <t>4.</t>
    </r>
    <r>
      <rPr>
        <sz val="12"/>
        <rFont val="標楷體"/>
        <family val="4"/>
        <charset val="136"/>
      </rPr>
      <t>財產收入</t>
    </r>
    <phoneticPr fontId="5" type="noConversion"/>
  </si>
  <si>
    <r>
      <t>5.</t>
    </r>
    <r>
      <rPr>
        <sz val="12"/>
        <rFont val="標楷體"/>
        <family val="4"/>
        <charset val="136"/>
      </rPr>
      <t>其他收入</t>
    </r>
    <phoneticPr fontId="4" type="noConversion"/>
  </si>
  <si>
    <r>
      <t>1.</t>
    </r>
    <r>
      <rPr>
        <sz val="12"/>
        <rFont val="標楷體"/>
        <family val="4"/>
        <charset val="136"/>
      </rPr>
      <t>一般政務支出</t>
    </r>
    <phoneticPr fontId="3" type="noConversion"/>
  </si>
  <si>
    <r>
      <t>中央底稿</t>
    </r>
    <r>
      <rPr>
        <b/>
        <sz val="18"/>
        <rFont val="Times New Roman"/>
        <family val="1"/>
      </rPr>
      <t>(105)</t>
    </r>
    <phoneticPr fontId="3" type="noConversion"/>
  </si>
  <si>
    <r>
      <t>105</t>
    </r>
    <r>
      <rPr>
        <sz val="12"/>
        <rFont val="標楷體"/>
        <family val="4"/>
        <charset val="136"/>
      </rPr>
      <t>年總預算</t>
    </r>
    <phoneticPr fontId="3" type="noConversion"/>
  </si>
  <si>
    <r>
      <t>105</t>
    </r>
    <r>
      <rPr>
        <sz val="12"/>
        <rFont val="標楷體"/>
        <family val="4"/>
        <charset val="136"/>
      </rPr>
      <t>年流域治理</t>
    </r>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</si>
  <si>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</si>
  <si>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</si>
  <si>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r>
      <t>2.</t>
    </r>
    <r>
      <rPr>
        <sz val="12"/>
        <rFont val="標楷體"/>
        <family val="4"/>
        <charset val="136"/>
      </rPr>
      <t>國防支出</t>
    </r>
    <phoneticPr fontId="5" type="noConversion"/>
  </si>
  <si>
    <r>
      <t>3.</t>
    </r>
    <r>
      <rPr>
        <sz val="12"/>
        <rFont val="標楷體"/>
        <family val="4"/>
        <charset val="136"/>
      </rPr>
      <t>教育科學文化支出</t>
    </r>
    <phoneticPr fontId="5" type="noConversion"/>
  </si>
  <si>
    <r>
      <t>4.</t>
    </r>
    <r>
      <rPr>
        <sz val="12"/>
        <rFont val="標楷體"/>
        <family val="4"/>
        <charset val="136"/>
      </rPr>
      <t>經濟發展支出</t>
    </r>
    <phoneticPr fontId="5" type="noConversion"/>
  </si>
  <si>
    <r>
      <t>5.</t>
    </r>
    <r>
      <rPr>
        <sz val="12"/>
        <rFont val="標楷體"/>
        <family val="4"/>
        <charset val="136"/>
      </rPr>
      <t>社會福利支出</t>
    </r>
    <phoneticPr fontId="5" type="noConversion"/>
  </si>
  <si>
    <r>
      <t>6.</t>
    </r>
    <r>
      <rPr>
        <sz val="12"/>
        <rFont val="標楷體"/>
        <family val="4"/>
        <charset val="136"/>
      </rPr>
      <t>社區發展及環境保護支出</t>
    </r>
    <phoneticPr fontId="5" type="noConversion"/>
  </si>
  <si>
    <r>
      <t>7.</t>
    </r>
    <r>
      <rPr>
        <sz val="12"/>
        <rFont val="標楷體"/>
        <family val="4"/>
        <charset val="136"/>
      </rPr>
      <t>退休撫卹支出</t>
    </r>
    <phoneticPr fontId="5" type="noConversion"/>
  </si>
  <si>
    <r>
      <t>8.</t>
    </r>
    <r>
      <rPr>
        <sz val="12"/>
        <rFont val="標楷體"/>
        <family val="4"/>
        <charset val="136"/>
      </rPr>
      <t>債務支出</t>
    </r>
    <phoneticPr fontId="5" type="noConversion"/>
  </si>
  <si>
    <r>
      <t>9.</t>
    </r>
    <r>
      <rPr>
        <sz val="12"/>
        <rFont val="標楷體"/>
        <family val="4"/>
        <charset val="136"/>
      </rPr>
      <t>一般補助及其他支出</t>
    </r>
    <phoneticPr fontId="5" type="noConversion"/>
  </si>
  <si>
    <r>
      <t>1.</t>
    </r>
    <r>
      <rPr>
        <sz val="12"/>
        <rFont val="標楷體"/>
        <family val="4"/>
        <charset val="136"/>
      </rPr>
      <t>一般政務支出</t>
    </r>
  </si>
  <si>
    <r>
      <t>1.</t>
    </r>
    <r>
      <rPr>
        <sz val="12"/>
        <rFont val="標楷體"/>
        <family val="4"/>
        <charset val="136"/>
      </rPr>
      <t>稅課及專賣收入</t>
    </r>
    <phoneticPr fontId="5" type="noConversion"/>
  </si>
  <si>
    <r>
      <t>2.</t>
    </r>
    <r>
      <rPr>
        <sz val="12"/>
        <rFont val="標楷體"/>
        <family val="4"/>
        <charset val="136"/>
      </rPr>
      <t>國防支出</t>
    </r>
  </si>
  <si>
    <r>
      <t>2.</t>
    </r>
    <r>
      <rPr>
        <sz val="12"/>
        <rFont val="標楷體"/>
        <family val="4"/>
        <charset val="136"/>
      </rPr>
      <t>營業盈餘及事業收入</t>
    </r>
    <phoneticPr fontId="4" type="noConversion"/>
  </si>
  <si>
    <r>
      <t>3.</t>
    </r>
    <r>
      <rPr>
        <sz val="12"/>
        <rFont val="標楷體"/>
        <family val="4"/>
        <charset val="136"/>
      </rPr>
      <t>教育科學文化支出</t>
    </r>
  </si>
  <si>
    <r>
      <t>4.</t>
    </r>
    <r>
      <rPr>
        <sz val="12"/>
        <rFont val="標楷體"/>
        <family val="4"/>
        <charset val="136"/>
      </rPr>
      <t>經濟發展支出</t>
    </r>
  </si>
  <si>
    <r>
      <t>5.</t>
    </r>
    <r>
      <rPr>
        <sz val="12"/>
        <rFont val="標楷體"/>
        <family val="4"/>
        <charset val="136"/>
      </rPr>
      <t>社會福利支出</t>
    </r>
  </si>
  <si>
    <r>
      <t>6.</t>
    </r>
    <r>
      <rPr>
        <sz val="12"/>
        <rFont val="標楷體"/>
        <family val="4"/>
        <charset val="136"/>
      </rPr>
      <t>社區發展及環境保護支出</t>
    </r>
  </si>
  <si>
    <r>
      <t>7.</t>
    </r>
    <r>
      <rPr>
        <sz val="12"/>
        <rFont val="標楷體"/>
        <family val="4"/>
        <charset val="136"/>
      </rPr>
      <t>退休撫卹支出</t>
    </r>
  </si>
  <si>
    <r>
      <t>8.</t>
    </r>
    <r>
      <rPr>
        <sz val="12"/>
        <rFont val="標楷體"/>
        <family val="4"/>
        <charset val="136"/>
      </rPr>
      <t>債務支出</t>
    </r>
  </si>
  <si>
    <r>
      <t>9.</t>
    </r>
    <r>
      <rPr>
        <sz val="12"/>
        <rFont val="標楷體"/>
        <family val="4"/>
        <charset val="136"/>
      </rPr>
      <t>一般補助及其他支出</t>
    </r>
  </si>
  <si>
    <t>一、歲入合計</t>
    <phoneticPr fontId="5" type="noConversion"/>
  </si>
  <si>
    <t>與案比較</t>
    <phoneticPr fontId="5" type="noConversion"/>
  </si>
  <si>
    <t>二、歲出合計</t>
    <phoneticPr fontId="3" type="noConversion"/>
  </si>
  <si>
    <t>三、歲入歲出餘絀</t>
    <phoneticPr fontId="5" type="noConversion"/>
  </si>
  <si>
    <r>
      <t>減一般性及專案補助款</t>
    </r>
    <r>
      <rPr>
        <sz val="12"/>
        <rFont val="Times New Roman"/>
        <family val="1"/>
      </rPr>
      <t/>
    </r>
    <phoneticPr fontId="5" type="noConversion"/>
  </si>
  <si>
    <t>淨收支之計算，中央支出扣除補助支出。地方收入扣除補助及協助收入。</t>
    <phoneticPr fontId="5" type="noConversion"/>
  </si>
  <si>
    <t>項目</t>
    <phoneticPr fontId="3" type="noConversion"/>
  </si>
  <si>
    <t>合計</t>
    <phoneticPr fontId="5" type="noConversion"/>
  </si>
  <si>
    <r>
      <t>1.</t>
    </r>
    <r>
      <rPr>
        <sz val="12"/>
        <rFont val="標楷體"/>
        <family val="4"/>
        <charset val="136"/>
      </rPr>
      <t>稅課及專賣收入</t>
    </r>
    <phoneticPr fontId="5" type="noConversion"/>
  </si>
  <si>
    <r>
      <t>2.</t>
    </r>
    <r>
      <rPr>
        <sz val="12"/>
        <rFont val="標楷體"/>
        <family val="4"/>
        <charset val="136"/>
      </rPr>
      <t>營業盈餘及事業收入</t>
    </r>
    <phoneticPr fontId="4" type="noConversion"/>
  </si>
  <si>
    <t>105年預算</t>
    <phoneticPr fontId="3" type="noConversion"/>
  </si>
  <si>
    <t>減流域治理特別預算計畫型補助款</t>
    <phoneticPr fontId="5" type="noConversion"/>
  </si>
  <si>
    <t>減一般性補助款</t>
    <phoneticPr fontId="5" type="noConversion"/>
  </si>
  <si>
    <t>減勞健保</t>
    <phoneticPr fontId="5" type="noConversion"/>
  </si>
  <si>
    <t>減財政部營業稅調降補助</t>
    <phoneticPr fontId="5" type="noConversion"/>
  </si>
  <si>
    <t>減計劃型補助款</t>
    <phoneticPr fontId="5" type="noConversion"/>
  </si>
  <si>
    <t>手動調整</t>
    <phoneticPr fontId="5" type="noConversion"/>
  </si>
  <si>
    <t>106年預算</t>
    <phoneticPr fontId="3" type="noConversion"/>
  </si>
  <si>
    <t>106-105差異(法)</t>
    <phoneticPr fontId="5" type="noConversion"/>
  </si>
  <si>
    <t>105年合計(法)</t>
    <phoneticPr fontId="5" type="noConversion"/>
  </si>
  <si>
    <t>105年總預算(法)</t>
    <phoneticPr fontId="5" type="noConversion"/>
  </si>
  <si>
    <t>小計（不含財政部地方統籌分配稅款短少補助）</t>
    <phoneticPr fontId="19" type="noConversion"/>
  </si>
  <si>
    <t>國發會</t>
    <phoneticPr fontId="19" type="noConversion"/>
  </si>
  <si>
    <t>原民會</t>
    <phoneticPr fontId="19" type="noConversion"/>
  </si>
  <si>
    <t>客委會合計</t>
    <phoneticPr fontId="19" type="noConversion"/>
  </si>
  <si>
    <t>客委會</t>
    <phoneticPr fontId="19" type="noConversion"/>
  </si>
  <si>
    <t>財政部主管合計</t>
    <phoneticPr fontId="19" type="noConversion"/>
  </si>
  <si>
    <t>國庫署小計</t>
    <phoneticPr fontId="19" type="noConversion"/>
  </si>
  <si>
    <t>教育部主管合計</t>
    <phoneticPr fontId="19" type="noConversion"/>
  </si>
  <si>
    <t>教育部小計</t>
    <phoneticPr fontId="19" type="noConversion"/>
  </si>
  <si>
    <t>水利署小計</t>
    <phoneticPr fontId="19" type="noConversion"/>
  </si>
  <si>
    <t>交通部小計</t>
    <phoneticPr fontId="19" type="noConversion"/>
  </si>
  <si>
    <t>公路總局小計</t>
    <phoneticPr fontId="19" type="noConversion"/>
  </si>
  <si>
    <t>勞動部</t>
    <phoneticPr fontId="19" type="noConversion"/>
  </si>
  <si>
    <t>農委會小計</t>
    <phoneticPr fontId="19" type="noConversion"/>
  </si>
  <si>
    <t>漁業署小計</t>
    <phoneticPr fontId="19" type="noConversion"/>
  </si>
  <si>
    <t>漁業署</t>
    <phoneticPr fontId="19" type="noConversion"/>
  </si>
  <si>
    <t>防檢局</t>
    <phoneticPr fontId="19" type="noConversion"/>
  </si>
  <si>
    <t>衛福部(心口司)</t>
    <phoneticPr fontId="19" type="noConversion"/>
  </si>
  <si>
    <t>衛福部(資訊處)</t>
    <phoneticPr fontId="19" type="noConversion"/>
  </si>
  <si>
    <t>衛福部(醫事司)</t>
    <phoneticPr fontId="19" type="noConversion"/>
  </si>
  <si>
    <t>直轄市健保欠費繳款專案補助</t>
    <phoneticPr fontId="19" type="noConversion"/>
  </si>
  <si>
    <t>社家署小計</t>
    <phoneticPr fontId="19" type="noConversion"/>
  </si>
  <si>
    <t>強化技職教育學制及特色</t>
  </si>
  <si>
    <t>推動高齡教育</t>
  </si>
  <si>
    <t>國立及公共圖書館之輔導與充實</t>
  </si>
  <si>
    <t>學生輔導及性別平等教育</t>
  </si>
  <si>
    <t>辦理原住民族體育教育</t>
  </si>
  <si>
    <t>國教署小計</t>
    <phoneticPr fontId="19" type="noConversion"/>
  </si>
  <si>
    <t>國教署</t>
    <phoneticPr fontId="19" type="noConversion"/>
  </si>
  <si>
    <t>體育署小計</t>
    <phoneticPr fontId="19" type="noConversion"/>
  </si>
  <si>
    <t>體育署</t>
    <phoneticPr fontId="19" type="noConversion"/>
  </si>
  <si>
    <t>青年發展署</t>
    <phoneticPr fontId="19" type="noConversion"/>
  </si>
  <si>
    <t>106年總預算+手動調整</t>
    <phoneticPr fontId="5" type="noConversion"/>
  </si>
  <si>
    <t>二、歲出合計</t>
    <phoneticPr fontId="3" type="noConversion"/>
  </si>
  <si>
    <t>本表中央政府部分，包括總預算案、流域綜合治理計畫第2期特別預算。</t>
    <phoneticPr fontId="5" type="noConversion"/>
  </si>
  <si>
    <t>參考表9</t>
    <phoneticPr fontId="3" type="noConversion"/>
  </si>
  <si>
    <t>各級政府淨收支綜計表</t>
    <phoneticPr fontId="3" type="noConversion"/>
  </si>
  <si>
    <t>單位：新臺幣百萬元</t>
    <phoneticPr fontId="5" type="noConversion"/>
  </si>
  <si>
    <t>中央政府</t>
    <phoneticPr fontId="3" type="noConversion"/>
  </si>
  <si>
    <t>各直轄市政府</t>
    <phoneticPr fontId="5" type="noConversion"/>
  </si>
  <si>
    <t>各縣市政府</t>
    <phoneticPr fontId="5" type="noConversion"/>
  </si>
  <si>
    <t>合計</t>
    <phoneticPr fontId="5" type="noConversion"/>
  </si>
  <si>
    <t>金額</t>
    <phoneticPr fontId="5" type="noConversion"/>
  </si>
  <si>
    <t>百分比</t>
    <phoneticPr fontId="5" type="noConversion"/>
  </si>
  <si>
    <t>一、歲入合計金額</t>
    <phoneticPr fontId="5" type="noConversion"/>
  </si>
  <si>
    <t>1.稅課及專賣收入</t>
    <phoneticPr fontId="5" type="noConversion"/>
  </si>
  <si>
    <t>2.營業盈餘及事業收入</t>
    <phoneticPr fontId="4" type="noConversion"/>
  </si>
  <si>
    <t>3.規費及罰鍰收入</t>
    <phoneticPr fontId="4" type="noConversion"/>
  </si>
  <si>
    <t>4.財產收入</t>
    <phoneticPr fontId="5" type="noConversion"/>
  </si>
  <si>
    <t>5.其他收入</t>
    <phoneticPr fontId="4" type="noConversion"/>
  </si>
  <si>
    <t>二、歲出合計金額</t>
    <phoneticPr fontId="3" type="noConversion"/>
  </si>
  <si>
    <t>1.一般政務支出</t>
    <phoneticPr fontId="3" type="noConversion"/>
  </si>
  <si>
    <t>2.國防支出</t>
    <phoneticPr fontId="5" type="noConversion"/>
  </si>
  <si>
    <t>3.教育科學文化支出</t>
    <phoneticPr fontId="5" type="noConversion"/>
  </si>
  <si>
    <t>4.經濟發展支出</t>
    <phoneticPr fontId="5" type="noConversion"/>
  </si>
  <si>
    <t>5.社會福利支出</t>
    <phoneticPr fontId="5" type="noConversion"/>
  </si>
  <si>
    <t>6.社區發展及環境保護支出</t>
    <phoneticPr fontId="5" type="noConversion"/>
  </si>
  <si>
    <t>7.退休撫卹支出</t>
    <phoneticPr fontId="5" type="noConversion"/>
  </si>
  <si>
    <t>8.債務支出</t>
    <phoneticPr fontId="5" type="noConversion"/>
  </si>
  <si>
    <t>9.一般補助及其他支出</t>
    <phoneticPr fontId="5" type="noConversion"/>
  </si>
  <si>
    <t>三、歲入歲出餘絀</t>
    <phoneticPr fontId="5" type="noConversion"/>
  </si>
  <si>
    <r>
      <t>本表包括總預算、追加(減)預算及特別預算，並扣除各級政府彼此間補助及協助等重複收支</t>
    </r>
    <r>
      <rPr>
        <sz val="12"/>
        <rFont val="新細明體"/>
        <family val="1"/>
        <charset val="136"/>
      </rPr>
      <t>數。</t>
    </r>
    <phoneticPr fontId="5" type="noConversion"/>
  </si>
  <si>
    <r>
      <t xml:space="preserve"> </t>
    </r>
    <r>
      <rPr>
        <sz val="12"/>
        <rFont val="新細明體"/>
        <family val="1"/>
        <charset val="136"/>
      </rPr>
      <t xml:space="preserve">           </t>
    </r>
    <r>
      <rPr>
        <sz val="12"/>
        <rFont val="新細明體"/>
        <family val="1"/>
        <charset val="136"/>
      </rPr>
      <t>2.</t>
    </r>
    <r>
      <rPr>
        <sz val="12"/>
        <rFont val="新細明體"/>
        <family val="1"/>
        <charset val="136"/>
      </rPr>
      <t>　</t>
    </r>
    <phoneticPr fontId="5" type="noConversion"/>
  </si>
  <si>
    <t>本表中央政府部分，包括總預算、流域綜合治理計畫第2期特別預算。</t>
    <phoneticPr fontId="5" type="noConversion"/>
  </si>
  <si>
    <t>104年度</t>
    <phoneticPr fontId="3" type="noConversion"/>
  </si>
  <si>
    <t>105-104</t>
    <phoneticPr fontId="3" type="noConversion"/>
  </si>
  <si>
    <r>
      <t>縣市（含鄉鎮市）底稿</t>
    </r>
    <r>
      <rPr>
        <b/>
        <sz val="18"/>
        <rFont val="Times New Roman"/>
        <family val="1"/>
      </rPr>
      <t>(106)</t>
    </r>
    <phoneticPr fontId="3" type="noConversion"/>
  </si>
  <si>
    <r>
      <t>直轄市（含山地原住民區）底稿</t>
    </r>
    <r>
      <rPr>
        <b/>
        <sz val="18"/>
        <rFont val="Times New Roman"/>
        <family val="1"/>
      </rPr>
      <t>(106)</t>
    </r>
    <phoneticPr fontId="3" type="noConversion"/>
  </si>
  <si>
    <r>
      <t>直轄市（含山地原住民區）底稿</t>
    </r>
    <r>
      <rPr>
        <b/>
        <sz val="18"/>
        <rFont val="Times New Roman"/>
        <family val="1"/>
      </rPr>
      <t>(105)</t>
    </r>
    <phoneticPr fontId="3" type="noConversion"/>
  </si>
  <si>
    <r>
      <t>縣市（含鄉鎮市）底稿</t>
    </r>
    <r>
      <rPr>
        <b/>
        <sz val="18"/>
        <rFont val="Times New Roman"/>
        <family val="1"/>
      </rPr>
      <t>(105)</t>
    </r>
    <phoneticPr fontId="3" type="noConversion"/>
  </si>
  <si>
    <t>補助客家節慶、文化及藝術活動</t>
  </si>
  <si>
    <t>原民會小計</t>
    <phoneticPr fontId="19" type="noConversion"/>
  </si>
  <si>
    <t>賦稅署小計</t>
    <phoneticPr fontId="19" type="noConversion"/>
  </si>
  <si>
    <t>補助金門、連江縣辦理文化、社教、藝文、體育等活動。</t>
    <phoneticPr fontId="19" type="noConversion"/>
  </si>
  <si>
    <r>
      <t>1050819</t>
    </r>
    <r>
      <rPr>
        <b/>
        <sz val="12"/>
        <color indexed="10"/>
        <rFont val="標楷體"/>
        <family val="4"/>
        <charset val="136"/>
      </rPr>
      <t>核對</t>
    </r>
    <r>
      <rPr>
        <b/>
        <sz val="12"/>
        <color indexed="10"/>
        <rFont val="Times New Roman"/>
        <family val="1"/>
      </rPr>
      <t>OK</t>
    </r>
    <phoneticPr fontId="5" type="noConversion"/>
  </si>
  <si>
    <t>1060209鍵入</t>
    <phoneticPr fontId="5" type="noConversion"/>
  </si>
  <si>
    <t>小計</t>
  </si>
  <si>
    <t>衛生福利部(心口司)</t>
  </si>
  <si>
    <t>衛生福利部(保護司)</t>
  </si>
  <si>
    <t>衛生福利部(社工司)</t>
  </si>
  <si>
    <t>衛生福利部(資訊處)</t>
  </si>
  <si>
    <t>衛生福利部(醫事司)</t>
  </si>
  <si>
    <t>衛生福利部(照護司)</t>
  </si>
  <si>
    <t>直轄市健保欠費繳款專案補助</t>
  </si>
  <si>
    <r>
      <t>106年度</t>
    </r>
    <r>
      <rPr>
        <b/>
        <sz val="22"/>
        <rFont val="華康POP1體W7(P)"/>
        <family val="1"/>
        <charset val="136"/>
      </rPr>
      <t>中央對地方政府補助經費分配表(法定預算)(續一)</t>
    </r>
    <phoneticPr fontId="19" type="noConversion"/>
  </si>
  <si>
    <t>106年度中央對地方政府補助經費分配表(法定預算)(續完)</t>
    <phoneticPr fontId="19" type="noConversion"/>
  </si>
  <si>
    <t>單位：千元</t>
    <phoneticPr fontId="19" type="noConversion"/>
  </si>
  <si>
    <t>主管機關</t>
    <phoneticPr fontId="22" type="noConversion"/>
  </si>
  <si>
    <t>機關名稱</t>
    <phoneticPr fontId="22" type="noConversion"/>
  </si>
  <si>
    <t>計畫項目</t>
    <phoneticPr fontId="22" type="noConversion"/>
  </si>
  <si>
    <t>政事別</t>
    <phoneticPr fontId="19" type="noConversion"/>
  </si>
  <si>
    <t>總計</t>
    <phoneticPr fontId="22" type="noConversion"/>
  </si>
  <si>
    <t>直轄市</t>
    <phoneticPr fontId="19" type="noConversion"/>
  </si>
  <si>
    <r>
      <t>臺灣省</t>
    </r>
    <r>
      <rPr>
        <sz val="12"/>
        <rFont val="標楷體"/>
        <family val="4"/>
        <charset val="136"/>
      </rPr>
      <t>各縣市</t>
    </r>
    <phoneticPr fontId="19" type="noConversion"/>
  </si>
  <si>
    <t>臺灣省各縣市</t>
    <phoneticPr fontId="19" type="noConversion"/>
  </si>
  <si>
    <t>金馬地區</t>
    <phoneticPr fontId="19" type="noConversion"/>
  </si>
  <si>
    <t>check</t>
    <phoneticPr fontId="19" type="noConversion"/>
  </si>
  <si>
    <t>核對</t>
    <phoneticPr fontId="19" type="noConversion"/>
  </si>
  <si>
    <t>經常門</t>
    <phoneticPr fontId="19" type="noConversion"/>
  </si>
  <si>
    <t>資本門</t>
    <phoneticPr fontId="19" type="noConversion"/>
  </si>
  <si>
    <t>臺中市</t>
    <phoneticPr fontId="19" type="noConversion"/>
  </si>
  <si>
    <t>臺南市</t>
    <phoneticPr fontId="19" type="noConversion"/>
  </si>
  <si>
    <t>高雄市</t>
    <phoneticPr fontId="19" type="noConversion"/>
  </si>
  <si>
    <t>未分
配數</t>
    <phoneticPr fontId="19" type="noConversion"/>
  </si>
  <si>
    <t>宜蘭縣</t>
    <phoneticPr fontId="19" type="noConversion"/>
  </si>
  <si>
    <t>臺東縣</t>
    <phoneticPr fontId="19" type="noConversion"/>
  </si>
  <si>
    <t>金門縣</t>
    <phoneticPr fontId="19" type="noConversion"/>
  </si>
  <si>
    <t>連江縣</t>
    <phoneticPr fontId="19" type="noConversion"/>
  </si>
  <si>
    <t>總  計</t>
    <phoneticPr fontId="22" type="noConversion"/>
  </si>
  <si>
    <t>小計（不含財政部地方統籌分配稅款短少補助）</t>
    <phoneticPr fontId="19" type="noConversion"/>
  </si>
  <si>
    <t>國家建設總合評估規劃中程計畫</t>
    <phoneticPr fontId="19" type="noConversion"/>
  </si>
  <si>
    <t>原民會小計</t>
    <phoneticPr fontId="19" type="noConversion"/>
  </si>
  <si>
    <t>辦理民族教育</t>
    <phoneticPr fontId="19" type="noConversion"/>
  </si>
  <si>
    <t>提供原住民族地區幼兒學前教育補助</t>
    <phoneticPr fontId="19" type="noConversion"/>
  </si>
  <si>
    <t>補助社區或部落教保服務中心</t>
    <phoneticPr fontId="19" type="noConversion"/>
  </si>
  <si>
    <t>補助辦理原住民學生多元發展計畫</t>
    <phoneticPr fontId="19" type="noConversion"/>
  </si>
  <si>
    <t>傳統競技及體育活動</t>
    <phoneticPr fontId="19" type="noConversion"/>
  </si>
  <si>
    <t>推廣原住民族社會教育及終身學習</t>
    <phoneticPr fontId="19" type="noConversion"/>
  </si>
  <si>
    <t>振興原住民族語言</t>
    <phoneticPr fontId="19" type="noConversion"/>
  </si>
  <si>
    <t>推動部落圖書資訊站特色經營計畫</t>
    <phoneticPr fontId="19" type="noConversion"/>
  </si>
  <si>
    <t>辦理都市原住民各項教育補助及推廣、文化傳承(都原計畫)</t>
    <phoneticPr fontId="19" type="noConversion"/>
  </si>
  <si>
    <t>文化振興計畫</t>
    <phoneticPr fontId="19" type="noConversion"/>
  </si>
  <si>
    <t>辦理原住民族部落活力計畫</t>
    <phoneticPr fontId="19" type="noConversion"/>
  </si>
  <si>
    <t>依據花東基金條例補助花蓮縣綜合發展實施方案-原住民族造形藝術豐羽計畫及山海劇場破浪計畫</t>
    <phoneticPr fontId="19" type="noConversion"/>
  </si>
  <si>
    <t>推動原住民社會福利服務</t>
    <phoneticPr fontId="19" type="noConversion"/>
  </si>
  <si>
    <t>補助地方政府辦理都市原住民發展計畫─強化原住民基本生活安全</t>
    <phoneticPr fontId="19" type="noConversion"/>
  </si>
  <si>
    <t>補助地方政府辦理都市原住民發展計畫─提升原住民就業競爭能力</t>
    <phoneticPr fontId="19" type="noConversion"/>
  </si>
  <si>
    <t>經濟產業發展4年計畫</t>
    <phoneticPr fontId="19" type="noConversion"/>
  </si>
  <si>
    <t>花東綜合發展方案-經濟發展</t>
    <phoneticPr fontId="19" type="noConversion"/>
  </si>
  <si>
    <t>辦理原住民族產業活動計畫</t>
    <phoneticPr fontId="19" type="noConversion"/>
  </si>
  <si>
    <t>補辦增劃編原住民保留地暨複丈分割實施計畫</t>
    <phoneticPr fontId="19" type="noConversion"/>
  </si>
  <si>
    <t>補助地方政府辦理原住民保留地權利回復計畫</t>
    <phoneticPr fontId="19" type="noConversion"/>
  </si>
  <si>
    <t>辦理馬蘭會館土地有償撥用等</t>
    <phoneticPr fontId="19" type="noConversion"/>
  </si>
  <si>
    <t>原住民族土地地用業務</t>
    <phoneticPr fontId="19" type="noConversion"/>
  </si>
  <si>
    <t>原住民族傳統領域土地調查及劃設</t>
    <phoneticPr fontId="19" type="noConversion"/>
  </si>
  <si>
    <t>原住民族住宅計畫</t>
    <phoneticPr fontId="19" type="noConversion"/>
  </si>
  <si>
    <r>
      <t>補助地方政府辦理原住民族部落特色道路改善計畫</t>
    </r>
    <r>
      <rPr>
        <sz val="16"/>
        <rFont val="Times New Roman"/>
        <family val="1"/>
      </rPr>
      <t/>
    </r>
    <phoneticPr fontId="19" type="noConversion"/>
  </si>
  <si>
    <t>補助地方政府辦理原住民族部落永續發展造景計畫</t>
    <phoneticPr fontId="19" type="noConversion"/>
  </si>
  <si>
    <t>原住民族部落安全作業</t>
    <phoneticPr fontId="19" type="noConversion"/>
  </si>
  <si>
    <t>補助原住民鄉鎮市</t>
    <phoneticPr fontId="19" type="noConversion"/>
  </si>
  <si>
    <t>推行人口政策措施宣導活動之獎勵金</t>
    <phoneticPr fontId="22" type="noConversion"/>
  </si>
  <si>
    <t>落實智慧國土-國土測繪圖資更新及維運計畫(地政司)</t>
    <phoneticPr fontId="22" type="noConversion"/>
  </si>
  <si>
    <t>落實智慧國土-國土測繪圖資更新及維運計畫(國土測繪中心)</t>
    <phoneticPr fontId="22" type="noConversion"/>
  </si>
  <si>
    <t>城鎮風貌型塑整體計畫-城鎮風貌型塑計畫-建築物騎樓整平示範計畫</t>
    <phoneticPr fontId="22" type="noConversion"/>
  </si>
  <si>
    <t>國家濕地保育計畫</t>
    <phoneticPr fontId="22" type="noConversion"/>
  </si>
  <si>
    <t>臺北捷運系統環狀線建設計畫(第一階段)</t>
    <phoneticPr fontId="19" type="noConversion"/>
  </si>
  <si>
    <t>桃園都會區大眾捷運系統航空城捷運線暨土地整合發展計畫</t>
    <phoneticPr fontId="19" type="noConversion"/>
  </si>
  <si>
    <t>環保署主管合計</t>
    <phoneticPr fontId="19" type="noConversion"/>
  </si>
  <si>
    <t>說明：政事別欄位請填列代號：1.一般政務支出，2.國防支出，3.教育科學文化支出，4.經濟發展支出，5.社會福利支出，6.社區發展及環境保護支出，7.退休撫卹支出，8.債務支出，9.一般補助及其他支出。</t>
    <phoneticPr fontId="19" type="noConversion"/>
  </si>
  <si>
    <t>創業家實證計畫</t>
  </si>
  <si>
    <t>青年發展署小計</t>
    <phoneticPr fontId="19" type="noConversion"/>
  </si>
  <si>
    <t>輔導設置農業產銷設施及分散產區</t>
    <phoneticPr fontId="19" type="noConversion"/>
  </si>
  <si>
    <r>
      <t>IF(AND(A2&gt;1,A2&lt;66),IF(B2="</t>
    </r>
    <r>
      <rPr>
        <b/>
        <sz val="10"/>
        <rFont val="細明體"/>
        <family val="3"/>
        <charset val="136"/>
      </rPr>
      <t>男</t>
    </r>
    <r>
      <rPr>
        <b/>
        <sz val="10"/>
        <rFont val="Times New Roman"/>
        <family val="1"/>
      </rPr>
      <t>",1,2),0)</t>
    </r>
    <phoneticPr fontId="19" type="noConversion"/>
  </si>
  <si>
    <t>內政部主管</t>
    <phoneticPr fontId="19" type="noConversion"/>
  </si>
  <si>
    <t>漁業署</t>
    <phoneticPr fontId="19" type="noConversion"/>
  </si>
  <si>
    <t>農糧署</t>
    <phoneticPr fontId="19" type="noConversion"/>
  </si>
  <si>
    <t>內政部小計</t>
    <phoneticPr fontId="19" type="noConversion"/>
  </si>
  <si>
    <t>營建署小計</t>
    <phoneticPr fontId="19" type="noConversion"/>
  </si>
  <si>
    <t>消防署小計</t>
    <phoneticPr fontId="19" type="noConversion"/>
  </si>
  <si>
    <t>役政署小計</t>
    <phoneticPr fontId="19" type="noConversion"/>
  </si>
  <si>
    <t>教育部小計</t>
    <phoneticPr fontId="19" type="noConversion"/>
  </si>
  <si>
    <t>國教署小計</t>
    <phoneticPr fontId="19" type="noConversion"/>
  </si>
  <si>
    <t>體育署小計</t>
    <phoneticPr fontId="19" type="noConversion"/>
  </si>
  <si>
    <t>交通部小計</t>
    <phoneticPr fontId="19" type="noConversion"/>
  </si>
  <si>
    <t>農委會小計</t>
    <phoneticPr fontId="19" type="noConversion"/>
  </si>
  <si>
    <t>林務局小計</t>
    <phoneticPr fontId="19" type="noConversion"/>
  </si>
  <si>
    <t>水保局小計</t>
    <phoneticPr fontId="19" type="noConversion"/>
  </si>
  <si>
    <t>漁業署小計</t>
    <phoneticPr fontId="19" type="noConversion"/>
  </si>
  <si>
    <t>防檢局小計</t>
    <phoneticPr fontId="19" type="noConversion"/>
  </si>
  <si>
    <t>農糧署小計</t>
    <phoneticPr fontId="19" type="noConversion"/>
  </si>
  <si>
    <t>衛福部小計</t>
    <phoneticPr fontId="19" type="noConversion"/>
  </si>
  <si>
    <t>社家署小計</t>
    <phoneticPr fontId="19" type="noConversion"/>
  </si>
  <si>
    <t>文化部小計</t>
    <phoneticPr fontId="19" type="noConversion"/>
  </si>
  <si>
    <t>文化資產局小計</t>
    <phoneticPr fontId="19" type="noConversion"/>
  </si>
  <si>
    <t>文化部主管合計</t>
    <phoneticPr fontId="19" type="noConversion"/>
  </si>
  <si>
    <t>衛福部主管合計</t>
    <phoneticPr fontId="19" type="noConversion"/>
  </si>
  <si>
    <t>農委會主管合計</t>
    <phoneticPr fontId="19" type="noConversion"/>
  </si>
  <si>
    <t>勞動部主管合計</t>
    <phoneticPr fontId="19" type="noConversion"/>
  </si>
  <si>
    <t>交通部主管合計</t>
    <phoneticPr fontId="19" type="noConversion"/>
  </si>
  <si>
    <t>經濟部主管合計</t>
    <phoneticPr fontId="19" type="noConversion"/>
  </si>
  <si>
    <t>法務部主管合計</t>
    <phoneticPr fontId="19" type="noConversion"/>
  </si>
  <si>
    <t>教育部主管合計</t>
    <phoneticPr fontId="19" type="noConversion"/>
  </si>
  <si>
    <t>財政部主管合計</t>
    <phoneticPr fontId="19" type="noConversion"/>
  </si>
  <si>
    <t>內政部主管合計</t>
    <phoneticPr fontId="19" type="noConversion"/>
  </si>
  <si>
    <t>客委會合計</t>
    <phoneticPr fontId="19" type="noConversion"/>
  </si>
  <si>
    <t>原民會合計（含原住民族文化發展中心）</t>
    <phoneticPr fontId="19" type="noConversion"/>
  </si>
  <si>
    <t>營建署</t>
    <phoneticPr fontId="19" type="noConversion"/>
  </si>
  <si>
    <t>流域綜合治理計畫</t>
    <phoneticPr fontId="19" type="noConversion"/>
  </si>
  <si>
    <t>河川區域排水管理及治理</t>
    <phoneticPr fontId="19" type="noConversion"/>
  </si>
  <si>
    <t>農業委員會主管</t>
    <phoneticPr fontId="19" type="noConversion"/>
  </si>
  <si>
    <t>水產養殖排水</t>
    <phoneticPr fontId="19" type="noConversion"/>
  </si>
  <si>
    <t>107年度中央對地方政府補助經費分配表(流域綜合治理計畫特別預算)(續完)</t>
    <phoneticPr fontId="19" type="noConversion"/>
  </si>
  <si>
    <r>
      <t>107年度</t>
    </r>
    <r>
      <rPr>
        <b/>
        <sz val="20"/>
        <rFont val="華康POP1體W7(P)"/>
        <family val="1"/>
        <charset val="136"/>
      </rPr>
      <t>中央對地方政府補助經費分配表(流域綜合治理計畫特別預算)(續一)</t>
    </r>
    <phoneticPr fontId="19" type="noConversion"/>
  </si>
  <si>
    <t>警政署小計</t>
    <phoneticPr fontId="19" type="noConversion"/>
  </si>
  <si>
    <t>國發會</t>
    <phoneticPr fontId="19" type="noConversion"/>
  </si>
  <si>
    <t>農業委員會主管</t>
  </si>
  <si>
    <t>減前瞻基礎建設特別預算計畫型補助款</t>
    <phoneticPr fontId="5" type="noConversion"/>
  </si>
  <si>
    <t>合         計</t>
  </si>
  <si>
    <t>財政部主管</t>
  </si>
  <si>
    <t>教育部主管</t>
  </si>
  <si>
    <t>環境保護署主管</t>
  </si>
  <si>
    <t>省市地方政府</t>
  </si>
  <si>
    <t>勞動部主管</t>
  </si>
  <si>
    <t>衛生福利部主管</t>
  </si>
  <si>
    <t>文化部主管</t>
  </si>
  <si>
    <t>新北市</t>
    <phoneticPr fontId="19" type="noConversion"/>
  </si>
  <si>
    <t>臺北市</t>
    <phoneticPr fontId="19" type="noConversion"/>
  </si>
  <si>
    <t>桃園市</t>
    <phoneticPr fontId="19" type="noConversion"/>
  </si>
  <si>
    <t>(1.稅課收入)</t>
  </si>
  <si>
    <t>(3.規費及罰款收入)</t>
  </si>
  <si>
    <t>(4.財產收入)</t>
  </si>
  <si>
    <t>(2.營業盈餘及事業收入)</t>
  </si>
  <si>
    <t>(5.其他收入)</t>
  </si>
  <si>
    <t>(1.一般政務支出)</t>
  </si>
  <si>
    <t>(2.國防支出)</t>
  </si>
  <si>
    <t>(3.教育科學文化支出)</t>
  </si>
  <si>
    <t>(4.經濟發展支出)</t>
  </si>
  <si>
    <t>(5.社會福利支出)</t>
  </si>
  <si>
    <t>(6.社區發展及環境保護支出)</t>
  </si>
  <si>
    <t>(7.退休撫卹支出)</t>
  </si>
  <si>
    <t>(8.債務支出)</t>
  </si>
  <si>
    <t>(9.補助及其他支出)</t>
  </si>
  <si>
    <t>合   計</t>
  </si>
  <si>
    <t>辦理示範性主動服務及網路參與精進服務計畫</t>
    <phoneticPr fontId="19" type="noConversion"/>
  </si>
  <si>
    <t>環境保護署主管</t>
    <phoneticPr fontId="19" type="noConversion"/>
  </si>
  <si>
    <t>V</t>
    <phoneticPr fontId="3" type="noConversion"/>
  </si>
  <si>
    <t>補捐助辦理「客庄產業聚落形塑暨示範計畫」</t>
  </si>
  <si>
    <t>補助地方政府辦理客家聚落特色風貌及環境營造等計畫</t>
  </si>
  <si>
    <t>補助地方政府辦理客家傳統聚落空間保存再利用等計畫</t>
  </si>
  <si>
    <t>一般性及專案補助</t>
    <phoneticPr fontId="19" type="noConversion"/>
  </si>
  <si>
    <t>二級用途別</t>
    <phoneticPr fontId="19" type="noConversion"/>
  </si>
  <si>
    <t>國發會合計</t>
  </si>
  <si>
    <t>原民會合計（含原住民族文化發展中心）</t>
  </si>
  <si>
    <t>客委會合計</t>
  </si>
  <si>
    <t>內政部小計</t>
  </si>
  <si>
    <t>營建署小計</t>
  </si>
  <si>
    <t>警政署小計</t>
  </si>
  <si>
    <t>消防署小計</t>
  </si>
  <si>
    <t>役政署小計</t>
  </si>
  <si>
    <t>國庫署小計</t>
  </si>
  <si>
    <t>賦稅署小計</t>
  </si>
  <si>
    <t>教育部主管合計</t>
  </si>
  <si>
    <t>國教署小計</t>
  </si>
  <si>
    <t>體育署小計</t>
  </si>
  <si>
    <t>青年發展署小計</t>
  </si>
  <si>
    <t>法務部主管合計</t>
  </si>
  <si>
    <t>水利署小計</t>
  </si>
  <si>
    <t>交通部小計</t>
  </si>
  <si>
    <t>公路總局小計</t>
  </si>
  <si>
    <t>勞動部主管合計</t>
  </si>
  <si>
    <t>農委會小計</t>
  </si>
  <si>
    <t>林務局小計</t>
  </si>
  <si>
    <t>水保局小計</t>
  </si>
  <si>
    <t>漁業署小計</t>
  </si>
  <si>
    <t>防檢局小計</t>
  </si>
  <si>
    <t>農糧署小計</t>
  </si>
  <si>
    <t>衛福部小計</t>
  </si>
  <si>
    <t>社家署小計</t>
  </si>
  <si>
    <t>環保署主管合計</t>
  </si>
  <si>
    <t>文化部小計</t>
  </si>
  <si>
    <t>文化資產局小計</t>
  </si>
  <si>
    <t>原住民族文化發展中心</t>
  </si>
  <si>
    <t>中小企業處</t>
  </si>
  <si>
    <t>107年度中央對地方政府補助經費分配表（前瞻基礎建設計畫特別預算）(續一)</t>
    <phoneticPr fontId="19" type="noConversion"/>
  </si>
  <si>
    <t>107年度中央對地方政府補助經費分配表（前瞻基礎建設計畫特別預算）(續完)</t>
    <phoneticPr fontId="19" type="noConversion"/>
  </si>
  <si>
    <t>單位：千元</t>
    <phoneticPr fontId="19" type="noConversion"/>
  </si>
  <si>
    <t>主管機關</t>
    <phoneticPr fontId="19" type="noConversion"/>
  </si>
  <si>
    <t>機關名稱</t>
    <phoneticPr fontId="22" type="noConversion"/>
  </si>
  <si>
    <t>計畫類別</t>
    <phoneticPr fontId="19" type="noConversion"/>
  </si>
  <si>
    <t>計畫編號</t>
    <phoneticPr fontId="19" type="noConversion"/>
  </si>
  <si>
    <t>計畫項目</t>
    <phoneticPr fontId="22" type="noConversion"/>
  </si>
  <si>
    <t>經費類別</t>
    <phoneticPr fontId="19" type="noConversion"/>
  </si>
  <si>
    <t>政事別</t>
    <phoneticPr fontId="19" type="noConversion"/>
  </si>
  <si>
    <t>總計</t>
    <phoneticPr fontId="22" type="noConversion"/>
  </si>
  <si>
    <t>直轄市</t>
    <phoneticPr fontId="19" type="noConversion"/>
  </si>
  <si>
    <t>台灣省各縣市</t>
    <phoneticPr fontId="19" type="noConversion"/>
  </si>
  <si>
    <t>金馬地區</t>
    <phoneticPr fontId="19" type="noConversion"/>
  </si>
  <si>
    <t>check</t>
    <phoneticPr fontId="19" type="noConversion"/>
  </si>
  <si>
    <t>經常門</t>
    <phoneticPr fontId="19" type="noConversion"/>
  </si>
  <si>
    <t>資本門</t>
    <phoneticPr fontId="19" type="noConversion"/>
  </si>
  <si>
    <t>新北市</t>
    <phoneticPr fontId="19" type="noConversion"/>
  </si>
  <si>
    <t>臺北市</t>
    <phoneticPr fontId="19" type="noConversion"/>
  </si>
  <si>
    <t>桃園市</t>
    <phoneticPr fontId="19" type="noConversion"/>
  </si>
  <si>
    <t>臺中市</t>
    <phoneticPr fontId="19" type="noConversion"/>
  </si>
  <si>
    <t>臺南市</t>
    <phoneticPr fontId="19" type="noConversion"/>
  </si>
  <si>
    <t>高雄市</t>
    <phoneticPr fontId="19" type="noConversion"/>
  </si>
  <si>
    <t>未分
配數</t>
    <phoneticPr fontId="19" type="noConversion"/>
  </si>
  <si>
    <t>宜蘭縣</t>
    <phoneticPr fontId="19" type="noConversion"/>
  </si>
  <si>
    <t>臺東縣</t>
    <phoneticPr fontId="19" type="noConversion"/>
  </si>
  <si>
    <t>金門縣</t>
    <phoneticPr fontId="19" type="noConversion"/>
  </si>
  <si>
    <t>連江縣</t>
    <phoneticPr fontId="19" type="noConversion"/>
  </si>
  <si>
    <t>總計</t>
    <phoneticPr fontId="22" type="noConversion"/>
  </si>
  <si>
    <t>行政院主管主管合計</t>
  </si>
  <si>
    <t>行政院</t>
  </si>
  <si>
    <t>強化政府基層機關資安防護及區域聯防</t>
    <phoneticPr fontId="19" type="noConversion"/>
  </si>
  <si>
    <t>原住民族委員會小計</t>
    <phoneticPr fontId="22" type="noConversion"/>
  </si>
  <si>
    <t>原住民族委員會</t>
    <phoneticPr fontId="19" type="noConversion"/>
  </si>
  <si>
    <t>5.10.1</t>
    <phoneticPr fontId="19" type="noConversion"/>
  </si>
  <si>
    <t>原住民族部落文化健康綜合服務據點友善空間整建</t>
  </si>
  <si>
    <t>原住民族委員會</t>
    <phoneticPr fontId="19" type="noConversion"/>
  </si>
  <si>
    <t>5.10.x</t>
    <phoneticPr fontId="19" type="noConversion"/>
  </si>
  <si>
    <t>都市原住民部落營造</t>
    <phoneticPr fontId="19" type="noConversion"/>
  </si>
  <si>
    <t>服務據點周邊及部落內公共設施改善</t>
  </si>
  <si>
    <t>部落之心示範點建置</t>
  </si>
  <si>
    <t>客家浪漫臺三線計畫</t>
  </si>
  <si>
    <t>內政部主管主管合計</t>
  </si>
  <si>
    <t>內政部主管小計</t>
  </si>
  <si>
    <t>內政部</t>
    <phoneticPr fontId="19" type="noConversion"/>
  </si>
  <si>
    <t>強化政府基層機關資安防護及區域聯防</t>
  </si>
  <si>
    <t>內政部</t>
    <phoneticPr fontId="19" type="noConversion"/>
  </si>
  <si>
    <t>5.7.2</t>
  </si>
  <si>
    <t>公有危險建築補強重建</t>
  </si>
  <si>
    <t>營建署小計</t>
    <phoneticPr fontId="19" type="noConversion"/>
  </si>
  <si>
    <t>營建署</t>
    <phoneticPr fontId="19" type="noConversion"/>
  </si>
  <si>
    <t>2.1.13</t>
    <phoneticPr fontId="3" type="noConversion"/>
  </si>
  <si>
    <t>再生水工程推動計畫</t>
  </si>
  <si>
    <t>2.2.1</t>
    <phoneticPr fontId="3" type="noConversion"/>
  </si>
  <si>
    <t>縣市管河川及區域排水整體改善計畫</t>
  </si>
  <si>
    <t>2.3.1</t>
    <phoneticPr fontId="3" type="noConversion"/>
  </si>
  <si>
    <t>全國水環境改善計畫</t>
  </si>
  <si>
    <t>3.2.2.2</t>
  </si>
  <si>
    <t>科學城低碳智慧環境基礎建置-污水系統建置</t>
  </si>
  <si>
    <t>5.2.2</t>
  </si>
  <si>
    <t>提升道路品質-公共環境改善計畫</t>
  </si>
  <si>
    <t>5.3.1</t>
  </si>
  <si>
    <t>城鎮之心工程計畫</t>
  </si>
  <si>
    <t>警政署</t>
    <phoneticPr fontId="19" type="noConversion"/>
  </si>
  <si>
    <t>1</t>
    <phoneticPr fontId="19" type="noConversion"/>
  </si>
  <si>
    <t>消防署</t>
    <phoneticPr fontId="19" type="noConversion"/>
  </si>
  <si>
    <t>財政部主管主管合計</t>
  </si>
  <si>
    <t>財政資訊中心</t>
    <phoneticPr fontId="19" type="noConversion"/>
  </si>
  <si>
    <t>強化政府基層機關資安防護及區域聯防</t>
    <phoneticPr fontId="19" type="noConversion"/>
  </si>
  <si>
    <t>教育部主管合計</t>
    <phoneticPr fontId="19" type="noConversion"/>
  </si>
  <si>
    <t>教育部小計</t>
    <phoneticPr fontId="19" type="noConversion"/>
  </si>
  <si>
    <t>教育部主管</t>
    <phoneticPr fontId="19" type="noConversion"/>
  </si>
  <si>
    <t>4.1.1</t>
    <phoneticPr fontId="19" type="noConversion"/>
  </si>
  <si>
    <t>建構公教體系綠能雲端資料中心計畫</t>
  </si>
  <si>
    <t>4.2.3</t>
    <phoneticPr fontId="19" type="noConversion"/>
  </si>
  <si>
    <t>普及國民寬頻上網環境計畫-數位機會中心行動近用計畫</t>
  </si>
  <si>
    <t>普及國民寬頻上網環境計畫-公共圖書館作為社區公共資訊站計畫</t>
  </si>
  <si>
    <t>4.5.1</t>
    <phoneticPr fontId="19" type="noConversion"/>
  </si>
  <si>
    <t>建置校園智慧網路計畫</t>
  </si>
  <si>
    <t>4.5.2</t>
    <phoneticPr fontId="19" type="noConversion"/>
  </si>
  <si>
    <t>強化數位教學暨學習資訊應用環境計畫</t>
  </si>
  <si>
    <t>5.6.2</t>
    <phoneticPr fontId="19" type="noConversion"/>
  </si>
  <si>
    <t>校園社區化改造計畫—活化校園空間擴大社區服務</t>
  </si>
  <si>
    <t>國民及學前教育署小計</t>
    <phoneticPr fontId="19" type="noConversion"/>
  </si>
  <si>
    <t>國民及學前教育署</t>
    <phoneticPr fontId="19" type="noConversion"/>
  </si>
  <si>
    <t>4.5.3</t>
    <phoneticPr fontId="19" type="noConversion"/>
  </si>
  <si>
    <t>高中職學術連網全面優化頻寬提升計畫</t>
  </si>
  <si>
    <t>5.6.1</t>
    <phoneticPr fontId="19" type="noConversion"/>
  </si>
  <si>
    <t>校園社區化改造計畫-營造友善育兒空間</t>
  </si>
  <si>
    <t>校園社區化改造計畫-活化校園空間擴大社區服務</t>
  </si>
  <si>
    <t>優化技職校院實作環境計畫</t>
  </si>
  <si>
    <t>體育署小計</t>
    <phoneticPr fontId="19" type="noConversion"/>
  </si>
  <si>
    <t>體育署</t>
    <phoneticPr fontId="19" type="noConversion"/>
  </si>
  <si>
    <t>5.8.1</t>
    <phoneticPr fontId="19" type="noConversion"/>
  </si>
  <si>
    <t>營造休閒運動環境計畫-營造優質友善運動場館設施</t>
  </si>
  <si>
    <t>教育部主管</t>
    <phoneticPr fontId="19" type="noConversion"/>
  </si>
  <si>
    <t>體育署</t>
    <phoneticPr fontId="19" type="noConversion"/>
  </si>
  <si>
    <t>5.8.2</t>
    <phoneticPr fontId="19" type="noConversion"/>
  </si>
  <si>
    <t>營造休閒運動環境計畫-營造友善自行車道</t>
  </si>
  <si>
    <t>5.8.3</t>
    <phoneticPr fontId="19" type="noConversion"/>
  </si>
  <si>
    <t>營造休閒運動環境計畫-改善水域運動環境</t>
  </si>
  <si>
    <t>經濟部主管主管合計</t>
  </si>
  <si>
    <t>經濟部</t>
    <phoneticPr fontId="19" type="noConversion"/>
  </si>
  <si>
    <t>5.7.2</t>
    <phoneticPr fontId="19" type="noConversion"/>
  </si>
  <si>
    <t>公有危險建築補強重建-公有零售市場計畫</t>
  </si>
  <si>
    <t>工業局小計</t>
    <phoneticPr fontId="19" type="noConversion"/>
  </si>
  <si>
    <t>工業局</t>
    <phoneticPr fontId="19" type="noConversion"/>
  </si>
  <si>
    <t>4.4.3</t>
    <phoneticPr fontId="19" type="noConversion"/>
  </si>
  <si>
    <t>體感科技基地-體感園區計畫</t>
  </si>
  <si>
    <t>5.4.1</t>
    <phoneticPr fontId="19" type="noConversion"/>
  </si>
  <si>
    <t>開發在地型產業園區計畫－強化地方工業區之公共設施補助方案及設置平價產業園區補助方案</t>
  </si>
  <si>
    <t>水利署小計</t>
    <phoneticPr fontId="19" type="noConversion"/>
  </si>
  <si>
    <t>水利署</t>
    <phoneticPr fontId="19" type="noConversion"/>
  </si>
  <si>
    <t>2.1.3</t>
    <phoneticPr fontId="19" type="noConversion"/>
  </si>
  <si>
    <t>無自來水地區供水改善計畫第三期</t>
  </si>
  <si>
    <t>2.1.6</t>
    <phoneticPr fontId="19" type="noConversion"/>
  </si>
  <si>
    <t>推廣水資源智慧管理系統及節水技術計畫</t>
  </si>
  <si>
    <t>2.1.7</t>
    <phoneticPr fontId="19" type="noConversion"/>
  </si>
  <si>
    <t>加強水庫集水區保育治理計畫</t>
  </si>
  <si>
    <t>2.2.1</t>
    <phoneticPr fontId="19" type="noConversion"/>
  </si>
  <si>
    <t>2.3.1</t>
  </si>
  <si>
    <t>中小企業處</t>
    <phoneticPr fontId="19" type="noConversion"/>
  </si>
  <si>
    <t>5.4.2</t>
    <phoneticPr fontId="19" type="noConversion"/>
  </si>
  <si>
    <t>開發在地型產業園區－推動城鄉特色產業園區發展計畫</t>
  </si>
  <si>
    <t>交通部主管主管合計</t>
  </si>
  <si>
    <t>交通部主管小計</t>
  </si>
  <si>
    <t>路政司</t>
  </si>
  <si>
    <t>1.4.1</t>
  </si>
  <si>
    <t>1.4.2</t>
  </si>
  <si>
    <t>1.4.3</t>
  </si>
  <si>
    <t>1.4.4</t>
  </si>
  <si>
    <t>桃園都會區大眾捷運系統航空城捷運線暨土地整合發展計畫</t>
  </si>
  <si>
    <t>1.4.5</t>
  </si>
  <si>
    <t>1.4.7</t>
  </si>
  <si>
    <t>高雄捷運延伸環線規劃作業</t>
  </si>
  <si>
    <t>1.4.9</t>
  </si>
  <si>
    <t>桃園綠線延伸至中壢規劃作業</t>
  </si>
  <si>
    <t>1.4.10</t>
  </si>
  <si>
    <t>新竹環線輕軌計畫規劃作業</t>
  </si>
  <si>
    <t>1.4.11</t>
  </si>
  <si>
    <t>臺中捷運藍線規劃作業</t>
  </si>
  <si>
    <t>1.4.12</t>
  </si>
  <si>
    <t>臺中捷運綠線延伸彰化規劃作業</t>
  </si>
  <si>
    <t>1.4.14</t>
  </si>
  <si>
    <t>臺南市先進運輸系統第一期藍線規劃作業</t>
  </si>
  <si>
    <t>1.3.1</t>
  </si>
  <si>
    <t>1.3.3</t>
  </si>
  <si>
    <t>公路總局小計</t>
    <phoneticPr fontId="19" type="noConversion"/>
  </si>
  <si>
    <t>改善停車問題計畫</t>
  </si>
  <si>
    <t>3.2.2.1</t>
  </si>
  <si>
    <t>科學城低碳智慧環境基礎建置-聯外道路建置部分</t>
    <phoneticPr fontId="19" type="noConversion"/>
  </si>
  <si>
    <t>5.2.1</t>
  </si>
  <si>
    <t>提升道路品質建設計畫</t>
  </si>
  <si>
    <t>農業委員會主管合計</t>
    <phoneticPr fontId="19" type="noConversion"/>
  </si>
  <si>
    <t>農業委員會主管</t>
    <phoneticPr fontId="19" type="noConversion"/>
  </si>
  <si>
    <t>漁業署</t>
    <phoneticPr fontId="19" type="noConversion"/>
  </si>
  <si>
    <t>2.3.1</t>
    <phoneticPr fontId="19" type="noConversion"/>
  </si>
  <si>
    <t>衛生福利部主管主管合計</t>
  </si>
  <si>
    <t>衛生福利部主管小計</t>
  </si>
  <si>
    <r>
      <rPr>
        <sz val="10"/>
        <rFont val="標楷體"/>
        <family val="4"/>
        <charset val="136"/>
      </rPr>
      <t xml:space="preserve">衛生福利部
</t>
    </r>
    <r>
      <rPr>
        <sz val="10"/>
        <rFont val="Times New Roman"/>
        <family val="1"/>
      </rPr>
      <t>(</t>
    </r>
    <r>
      <rPr>
        <sz val="10"/>
        <rFont val="標楷體"/>
        <family val="4"/>
        <charset val="136"/>
      </rPr>
      <t>照護司</t>
    </r>
    <r>
      <rPr>
        <sz val="10"/>
        <rFont val="Times New Roman"/>
        <family val="1"/>
      </rPr>
      <t>)</t>
    </r>
    <phoneticPr fontId="19" type="noConversion"/>
  </si>
  <si>
    <t>4.2.1</t>
    <phoneticPr fontId="19" type="noConversion"/>
  </si>
  <si>
    <t>提升偏鄉衛生所(室)及巡迴醫療點網路品質計畫</t>
  </si>
  <si>
    <r>
      <rPr>
        <sz val="10"/>
        <rFont val="標楷體"/>
        <family val="4"/>
        <charset val="136"/>
      </rPr>
      <t xml:space="preserve">衛生福利部
</t>
    </r>
    <r>
      <rPr>
        <sz val="10"/>
        <rFont val="Times New Roman"/>
        <family val="1"/>
      </rPr>
      <t>(</t>
    </r>
    <r>
      <rPr>
        <sz val="10"/>
        <rFont val="標楷體"/>
        <family val="4"/>
        <charset val="136"/>
      </rPr>
      <t>社工司</t>
    </r>
    <r>
      <rPr>
        <sz val="10"/>
        <rFont val="Times New Roman"/>
        <family val="1"/>
      </rPr>
      <t>)</t>
    </r>
    <phoneticPr fontId="19" type="noConversion"/>
  </si>
  <si>
    <t>5.7.1</t>
    <phoneticPr fontId="19" type="noConversion"/>
  </si>
  <si>
    <t>整建長照服務據點計畫－整建長照ABC據點</t>
  </si>
  <si>
    <r>
      <rPr>
        <sz val="10"/>
        <rFont val="標楷體"/>
        <family val="4"/>
        <charset val="136"/>
      </rPr>
      <t xml:space="preserve">衛生福利部
</t>
    </r>
    <r>
      <rPr>
        <sz val="10"/>
        <rFont val="Times New Roman"/>
        <family val="1"/>
      </rPr>
      <t>(</t>
    </r>
    <r>
      <rPr>
        <sz val="10"/>
        <rFont val="標楷體"/>
        <family val="4"/>
        <charset val="136"/>
      </rPr>
      <t>醫事司</t>
    </r>
    <r>
      <rPr>
        <sz val="10"/>
        <rFont val="Times New Roman"/>
        <family val="1"/>
      </rPr>
      <t>)</t>
    </r>
    <phoneticPr fontId="19" type="noConversion"/>
  </si>
  <si>
    <t>5.7.2</t>
    <phoneticPr fontId="19" type="noConversion"/>
  </si>
  <si>
    <t>公有危險建築補強重建－地方衛生機關(構)</t>
  </si>
  <si>
    <r>
      <rPr>
        <sz val="10"/>
        <rFont val="標楷體"/>
        <family val="4"/>
        <charset val="136"/>
      </rPr>
      <t xml:space="preserve">衛生福利部
</t>
    </r>
    <r>
      <rPr>
        <sz val="10"/>
        <rFont val="Times New Roman"/>
        <family val="1"/>
      </rPr>
      <t>(</t>
    </r>
    <r>
      <rPr>
        <sz val="10"/>
        <rFont val="標楷體"/>
        <family val="4"/>
        <charset val="136"/>
      </rPr>
      <t>照護司</t>
    </r>
    <r>
      <rPr>
        <sz val="10"/>
        <rFont val="Times New Roman"/>
        <family val="1"/>
      </rPr>
      <t>)</t>
    </r>
    <phoneticPr fontId="19" type="noConversion"/>
  </si>
  <si>
    <t>5.7.1</t>
    <phoneticPr fontId="19" type="noConversion"/>
  </si>
  <si>
    <t>整建長照衛福據點計畫－整建照顧管理中心照管分站</t>
  </si>
  <si>
    <t>食品安全建設計畫－強化衛生單位食安稽查及檢驗量能</t>
  </si>
  <si>
    <r>
      <rPr>
        <sz val="10"/>
        <rFont val="標楷體"/>
        <family val="4"/>
        <charset val="136"/>
      </rPr>
      <t>國民健康署小計</t>
    </r>
    <phoneticPr fontId="19" type="noConversion"/>
  </si>
  <si>
    <t>國民健康署</t>
    <phoneticPr fontId="19" type="noConversion"/>
  </si>
  <si>
    <t>整建長照衛福據點計畫－整建長照ABC據點(修繕)</t>
  </si>
  <si>
    <r>
      <rPr>
        <sz val="10"/>
        <rFont val="標楷體"/>
        <family val="4"/>
        <charset val="136"/>
      </rPr>
      <t>國民健康署</t>
    </r>
    <phoneticPr fontId="19" type="noConversion"/>
  </si>
  <si>
    <t>整建長照衛福據點計畫－整建長照ABC據點(重擴建)</t>
  </si>
  <si>
    <r>
      <rPr>
        <sz val="10"/>
        <color indexed="10"/>
        <rFont val="標楷體"/>
        <family val="4"/>
        <charset val="136"/>
      </rPr>
      <t>社會及家庭署</t>
    </r>
  </si>
  <si>
    <t>5.7.1
5.7.2</t>
    <phoneticPr fontId="19" type="noConversion"/>
  </si>
  <si>
    <t>1.整建長照服務據點計畫－整建長照ABC據點
2.公有危險建築補強重建計畫－地方衛生機關(構)、社會福利機構及老人文康中心</t>
  </si>
  <si>
    <t>環境保護署主管合計</t>
    <phoneticPr fontId="19" type="noConversion"/>
  </si>
  <si>
    <t>環境保護署</t>
  </si>
  <si>
    <t>加強水庫集水區保育治理計畫</t>
    <phoneticPr fontId="19" type="noConversion"/>
  </si>
  <si>
    <t>文化部主管主管合計</t>
  </si>
  <si>
    <t>文化部主管小計</t>
  </si>
  <si>
    <r>
      <rPr>
        <sz val="10"/>
        <rFont val="標楷體"/>
        <family val="4"/>
        <charset val="136"/>
      </rPr>
      <t>文化部</t>
    </r>
  </si>
  <si>
    <t>4.3.1</t>
  </si>
  <si>
    <t>國家文化記憶庫及數位加值應用計畫─國家文化記憶庫計畫</t>
  </si>
  <si>
    <t>4.3.2</t>
  </si>
  <si>
    <t>推動超高畫質電視內容升級前瞻計畫─電視內容產製與應用計畫</t>
  </si>
  <si>
    <t>文化生活圈建設計畫─博物館及地方文化館升級、臺灣文化節慶國際化及在地文化支持等計畫</t>
  </si>
  <si>
    <r>
      <rPr>
        <sz val="10"/>
        <color indexed="10"/>
        <rFont val="標楷體"/>
        <family val="4"/>
        <charset val="136"/>
      </rPr>
      <t>文化部</t>
    </r>
  </si>
  <si>
    <t>文化生活圈建設計畫─美術館及藝文館舍建置及升級、縣市藝文特色發展、活化縣市文化中心劇場營運等計畫</t>
  </si>
  <si>
    <r>
      <rPr>
        <sz val="10"/>
        <rFont val="標楷體"/>
        <family val="4"/>
        <charset val="136"/>
      </rPr>
      <t>文化資產局</t>
    </r>
  </si>
  <si>
    <t>文化生活圈建設計畫─再造歷史現場計畫</t>
  </si>
  <si>
    <t>說明：「政事別」欄請以代碼填列，代碼如次：1.一般政務，2.國防，3.教科文，4.經濟發展，5.社會福利，6.社區發展及環境保護，7.退休撫卹，8.債務，9.一般補助及其他。</t>
    <phoneticPr fontId="19" type="noConversion"/>
  </si>
  <si>
    <t>說明1：「計畫類別」欄請以代碼填列，代碼如次：1.軌道，2.水環境，3.綠能，4.數位，5.城鄉。</t>
    <phoneticPr fontId="19" type="noConversion"/>
  </si>
  <si>
    <t>說明2：「經費類別」欄：1.公共建設；2.科技發展；3.基本需求；4.法律義務。請擇一填列。</t>
    <phoneticPr fontId="19" type="noConversion"/>
  </si>
  <si>
    <t>說明3：「政事別」欄請以代碼填列，代碼如次：1.一般政務，2.國防，3.教科文，4.經濟發展，5.社會福利，6.社區發展及環境保護，7.退休撫卹，8.債務，9.一般補助及其他。</t>
    <phoneticPr fontId="19" type="noConversion"/>
  </si>
  <si>
    <t>106年度中央對地方政府補助經費分配表（前瞻基礎建設計畫特別預算）(續一)</t>
    <phoneticPr fontId="19" type="noConversion"/>
  </si>
  <si>
    <t>106年度中央對地方政府補助經費分配表（前瞻基礎建設計畫特別預算）(續完)</t>
    <phoneticPr fontId="19" type="noConversion"/>
  </si>
  <si>
    <t>主管機關</t>
    <phoneticPr fontId="19" type="noConversion"/>
  </si>
  <si>
    <t>機關名稱</t>
    <phoneticPr fontId="22" type="noConversion"/>
  </si>
  <si>
    <t>計畫類別</t>
    <phoneticPr fontId="19" type="noConversion"/>
  </si>
  <si>
    <t>計畫編號</t>
    <phoneticPr fontId="19" type="noConversion"/>
  </si>
  <si>
    <t>計畫項目</t>
    <phoneticPr fontId="22" type="noConversion"/>
  </si>
  <si>
    <t>經費類別</t>
    <phoneticPr fontId="19" type="noConversion"/>
  </si>
  <si>
    <t>政事別</t>
    <phoneticPr fontId="19" type="noConversion"/>
  </si>
  <si>
    <t>總計</t>
    <phoneticPr fontId="22" type="noConversion"/>
  </si>
  <si>
    <t>直轄市</t>
    <phoneticPr fontId="19" type="noConversion"/>
  </si>
  <si>
    <t>台灣省各縣市</t>
    <phoneticPr fontId="19" type="noConversion"/>
  </si>
  <si>
    <t>金馬地區</t>
    <phoneticPr fontId="19" type="noConversion"/>
  </si>
  <si>
    <t>check</t>
    <phoneticPr fontId="19" type="noConversion"/>
  </si>
  <si>
    <t>經常門</t>
    <phoneticPr fontId="19" type="noConversion"/>
  </si>
  <si>
    <t>資本門</t>
    <phoneticPr fontId="19" type="noConversion"/>
  </si>
  <si>
    <t>新北市</t>
    <phoneticPr fontId="19" type="noConversion"/>
  </si>
  <si>
    <t>臺北市</t>
    <phoneticPr fontId="19" type="noConversion"/>
  </si>
  <si>
    <t>桃園市</t>
    <phoneticPr fontId="19" type="noConversion"/>
  </si>
  <si>
    <t>臺中市</t>
    <phoneticPr fontId="19" type="noConversion"/>
  </si>
  <si>
    <t>臺南市</t>
    <phoneticPr fontId="19" type="noConversion"/>
  </si>
  <si>
    <t>高雄市</t>
    <phoneticPr fontId="19" type="noConversion"/>
  </si>
  <si>
    <t>未分
配數</t>
    <phoneticPr fontId="19" type="noConversion"/>
  </si>
  <si>
    <t>宜蘭縣</t>
    <phoneticPr fontId="19" type="noConversion"/>
  </si>
  <si>
    <t>臺東縣</t>
    <phoneticPr fontId="19" type="noConversion"/>
  </si>
  <si>
    <t>金門縣</t>
    <phoneticPr fontId="19" type="noConversion"/>
  </si>
  <si>
    <t>連江縣</t>
    <phoneticPr fontId="19" type="noConversion"/>
  </si>
  <si>
    <t>行政院主管合計</t>
    <phoneticPr fontId="19" type="noConversion"/>
  </si>
  <si>
    <t>原住民族委員會小計</t>
    <phoneticPr fontId="22" type="noConversion"/>
  </si>
  <si>
    <t>原住民族委員會</t>
    <phoneticPr fontId="19" type="noConversion"/>
  </si>
  <si>
    <t>5.10.1</t>
    <phoneticPr fontId="19" type="noConversion"/>
  </si>
  <si>
    <t>5.10.x</t>
    <phoneticPr fontId="19" type="noConversion"/>
  </si>
  <si>
    <t>都市原住民部落營造</t>
    <phoneticPr fontId="19" type="noConversion"/>
  </si>
  <si>
    <t>內政部小計</t>
    <phoneticPr fontId="19" type="noConversion"/>
  </si>
  <si>
    <t>內政部</t>
    <phoneticPr fontId="19" type="noConversion"/>
  </si>
  <si>
    <t>營建署小計</t>
    <phoneticPr fontId="19" type="noConversion"/>
  </si>
  <si>
    <t>營建署</t>
    <phoneticPr fontId="19" type="noConversion"/>
  </si>
  <si>
    <t>2.1.13</t>
    <phoneticPr fontId="3" type="noConversion"/>
  </si>
  <si>
    <t>2.2.1</t>
    <phoneticPr fontId="3" type="noConversion"/>
  </si>
  <si>
    <t>2.3.1</t>
    <phoneticPr fontId="3" type="noConversion"/>
  </si>
  <si>
    <t>警政署</t>
    <phoneticPr fontId="19" type="noConversion"/>
  </si>
  <si>
    <t>1</t>
    <phoneticPr fontId="19" type="noConversion"/>
  </si>
  <si>
    <t>消防署</t>
    <phoneticPr fontId="19" type="noConversion"/>
  </si>
  <si>
    <t>財政部主管合計</t>
    <phoneticPr fontId="19" type="noConversion"/>
  </si>
  <si>
    <t>財政部</t>
    <phoneticPr fontId="19" type="noConversion"/>
  </si>
  <si>
    <t>財政資訊中心</t>
    <phoneticPr fontId="19" type="noConversion"/>
  </si>
  <si>
    <t>強化政府基層機關資安防護及區域聯防</t>
    <phoneticPr fontId="19" type="noConversion"/>
  </si>
  <si>
    <t>教育部主管合計</t>
    <phoneticPr fontId="19" type="noConversion"/>
  </si>
  <si>
    <t>教育部小計</t>
    <phoneticPr fontId="19" type="noConversion"/>
  </si>
  <si>
    <t>教育部主管</t>
    <phoneticPr fontId="19" type="noConversion"/>
  </si>
  <si>
    <t>4.1.1</t>
    <phoneticPr fontId="19" type="noConversion"/>
  </si>
  <si>
    <t>4.2.3</t>
    <phoneticPr fontId="19" type="noConversion"/>
  </si>
  <si>
    <t>國民及學前教育署小計</t>
    <phoneticPr fontId="19" type="noConversion"/>
  </si>
  <si>
    <t>國民及學前教育署</t>
    <phoneticPr fontId="19" type="noConversion"/>
  </si>
  <si>
    <t>4.5.1</t>
    <phoneticPr fontId="19" type="noConversion"/>
  </si>
  <si>
    <t>4.5.2</t>
    <phoneticPr fontId="19" type="noConversion"/>
  </si>
  <si>
    <t>5.6.2</t>
    <phoneticPr fontId="19" type="noConversion"/>
  </si>
  <si>
    <t>體育署小計</t>
    <phoneticPr fontId="19" type="noConversion"/>
  </si>
  <si>
    <t>體育署</t>
    <phoneticPr fontId="19" type="noConversion"/>
  </si>
  <si>
    <t>經濟部主管合計</t>
    <phoneticPr fontId="19" type="noConversion"/>
  </si>
  <si>
    <t>經濟部</t>
    <phoneticPr fontId="19" type="noConversion"/>
  </si>
  <si>
    <t>工業局小計</t>
    <phoneticPr fontId="19" type="noConversion"/>
  </si>
  <si>
    <t>工業局</t>
    <phoneticPr fontId="19" type="noConversion"/>
  </si>
  <si>
    <t>水利署小計</t>
    <phoneticPr fontId="19" type="noConversion"/>
  </si>
  <si>
    <t>水利署</t>
    <phoneticPr fontId="19" type="noConversion"/>
  </si>
  <si>
    <t>5.8.1</t>
    <phoneticPr fontId="19" type="noConversion"/>
  </si>
  <si>
    <t>5.8.2</t>
    <phoneticPr fontId="19" type="noConversion"/>
  </si>
  <si>
    <t>經濟部</t>
  </si>
  <si>
    <t>5.8.3</t>
    <phoneticPr fontId="19" type="noConversion"/>
  </si>
  <si>
    <t>中小企業處</t>
    <phoneticPr fontId="19" type="noConversion"/>
  </si>
  <si>
    <t>交通部主管合計</t>
    <phoneticPr fontId="22" type="noConversion"/>
  </si>
  <si>
    <t>4.4.3</t>
    <phoneticPr fontId="19" type="noConversion"/>
  </si>
  <si>
    <t>5.4.1</t>
    <phoneticPr fontId="19" type="noConversion"/>
  </si>
  <si>
    <t>2.1.3</t>
    <phoneticPr fontId="19" type="noConversion"/>
  </si>
  <si>
    <t>2.1.6</t>
    <phoneticPr fontId="19" type="noConversion"/>
  </si>
  <si>
    <t>2.1.7</t>
    <phoneticPr fontId="19" type="noConversion"/>
  </si>
  <si>
    <t>2.2.1</t>
    <phoneticPr fontId="19" type="noConversion"/>
  </si>
  <si>
    <t>5.4.2</t>
    <phoneticPr fontId="19" type="noConversion"/>
  </si>
  <si>
    <t>科學城低碳智慧環境基礎建置-聯外道路建置部分</t>
  </si>
  <si>
    <t>農業委員會主管合計</t>
    <phoneticPr fontId="19" type="noConversion"/>
  </si>
  <si>
    <t>農業委員會主管</t>
    <phoneticPr fontId="19" type="noConversion"/>
  </si>
  <si>
    <t>漁業署</t>
    <phoneticPr fontId="19" type="noConversion"/>
  </si>
  <si>
    <t>衛生福利部主管合計</t>
    <phoneticPr fontId="19" type="noConversion"/>
  </si>
  <si>
    <t>衛生福利部小計</t>
    <phoneticPr fontId="19" type="noConversion"/>
  </si>
  <si>
    <t>衛生福利部</t>
    <phoneticPr fontId="19" type="noConversion"/>
  </si>
  <si>
    <t>衛生福利部
(照護司)</t>
    <phoneticPr fontId="19" type="noConversion"/>
  </si>
  <si>
    <r>
      <rPr>
        <sz val="10"/>
        <rFont val="標楷體"/>
        <family val="4"/>
        <charset val="136"/>
      </rPr>
      <t>衛生福利部</t>
    </r>
    <phoneticPr fontId="19" type="noConversion"/>
  </si>
  <si>
    <r>
      <rPr>
        <sz val="10"/>
        <rFont val="標楷體"/>
        <family val="4"/>
        <charset val="136"/>
      </rPr>
      <t xml:space="preserve">衛生福利部
</t>
    </r>
    <r>
      <rPr>
        <sz val="10"/>
        <rFont val="Times New Roman"/>
        <family val="1"/>
      </rPr>
      <t>(</t>
    </r>
    <r>
      <rPr>
        <sz val="10"/>
        <rFont val="標楷體"/>
        <family val="4"/>
        <charset val="136"/>
      </rPr>
      <t>社工司</t>
    </r>
    <r>
      <rPr>
        <sz val="10"/>
        <rFont val="Times New Roman"/>
        <family val="1"/>
      </rPr>
      <t>)</t>
    </r>
    <phoneticPr fontId="19" type="noConversion"/>
  </si>
  <si>
    <r>
      <rPr>
        <sz val="10"/>
        <rFont val="標楷體"/>
        <family val="4"/>
        <charset val="136"/>
      </rPr>
      <t xml:space="preserve">衛生福利部
</t>
    </r>
    <r>
      <rPr>
        <sz val="10"/>
        <rFont val="Times New Roman"/>
        <family val="1"/>
      </rPr>
      <t>(</t>
    </r>
    <r>
      <rPr>
        <sz val="10"/>
        <rFont val="標楷體"/>
        <family val="4"/>
        <charset val="136"/>
      </rPr>
      <t>醫事司</t>
    </r>
    <r>
      <rPr>
        <sz val="10"/>
        <rFont val="Times New Roman"/>
        <family val="1"/>
      </rPr>
      <t>)</t>
    </r>
    <phoneticPr fontId="19" type="noConversion"/>
  </si>
  <si>
    <r>
      <rPr>
        <sz val="10"/>
        <rFont val="標楷體"/>
        <family val="4"/>
        <charset val="136"/>
      </rPr>
      <t>衛生福利部</t>
    </r>
  </si>
  <si>
    <r>
      <rPr>
        <sz val="10"/>
        <rFont val="標楷體"/>
        <family val="4"/>
        <charset val="136"/>
      </rPr>
      <t xml:space="preserve">衛生福利部
</t>
    </r>
    <r>
      <rPr>
        <sz val="10"/>
        <rFont val="Times New Roman"/>
        <family val="1"/>
      </rPr>
      <t>(</t>
    </r>
    <r>
      <rPr>
        <sz val="10"/>
        <rFont val="標楷體"/>
        <family val="4"/>
        <charset val="136"/>
      </rPr>
      <t>照護司</t>
    </r>
    <r>
      <rPr>
        <sz val="10"/>
        <rFont val="Times New Roman"/>
        <family val="1"/>
      </rPr>
      <t>)</t>
    </r>
    <phoneticPr fontId="19" type="noConversion"/>
  </si>
  <si>
    <t>國民健康署小計</t>
    <phoneticPr fontId="19" type="noConversion"/>
  </si>
  <si>
    <t>國民健康署</t>
    <phoneticPr fontId="19" type="noConversion"/>
  </si>
  <si>
    <r>
      <rPr>
        <sz val="10"/>
        <rFont val="標楷體"/>
        <family val="4"/>
        <charset val="136"/>
      </rPr>
      <t>國民健康署</t>
    </r>
    <phoneticPr fontId="19" type="noConversion"/>
  </si>
  <si>
    <r>
      <t>衛生福利部</t>
    </r>
    <r>
      <rPr>
        <sz val="10"/>
        <rFont val="Times New Roman"/>
        <family val="1"/>
      </rPr>
      <t/>
    </r>
  </si>
  <si>
    <r>
      <t>社會及家庭署</t>
    </r>
    <r>
      <rPr>
        <sz val="10"/>
        <rFont val="Times New Roman"/>
        <family val="1"/>
      </rPr>
      <t/>
    </r>
  </si>
  <si>
    <t>環境保護署主管合計</t>
    <phoneticPr fontId="19" type="noConversion"/>
  </si>
  <si>
    <t>環境保護署</t>
    <phoneticPr fontId="19" type="noConversion"/>
  </si>
  <si>
    <t>加強水庫集水區保育治理計畫</t>
    <phoneticPr fontId="19" type="noConversion"/>
  </si>
  <si>
    <t>全國水環境改善計畫</t>
    <phoneticPr fontId="19" type="noConversion"/>
  </si>
  <si>
    <t>文化部主管合計</t>
    <phoneticPr fontId="19" type="noConversion"/>
  </si>
  <si>
    <t>5.7.2</t>
    <phoneticPr fontId="19" type="noConversion"/>
  </si>
  <si>
    <t>5.7.1</t>
    <phoneticPr fontId="19" type="noConversion"/>
  </si>
  <si>
    <r>
      <t>9.</t>
    </r>
    <r>
      <rPr>
        <sz val="12"/>
        <rFont val="標楷體"/>
        <family val="4"/>
        <charset val="136"/>
      </rPr>
      <t>補助及其他支出</t>
    </r>
    <phoneticPr fontId="5" type="noConversion"/>
  </si>
  <si>
    <r>
      <rPr>
        <sz val="10"/>
        <color indexed="10"/>
        <rFont val="標楷體"/>
        <family val="4"/>
        <charset val="136"/>
      </rPr>
      <t>文化部主管</t>
    </r>
    <phoneticPr fontId="19" type="noConversion"/>
  </si>
  <si>
    <r>
      <rPr>
        <sz val="10"/>
        <color indexed="10"/>
        <rFont val="標楷體"/>
        <family val="4"/>
        <charset val="136"/>
      </rPr>
      <t>文化部</t>
    </r>
    <phoneticPr fontId="19" type="noConversion"/>
  </si>
  <si>
    <r>
      <rPr>
        <sz val="10"/>
        <color indexed="10"/>
        <rFont val="標楷體"/>
        <family val="4"/>
        <charset val="136"/>
      </rPr>
      <t>文化發展之評估與推動</t>
    </r>
    <phoneticPr fontId="19" type="noConversion"/>
  </si>
  <si>
    <r>
      <rPr>
        <sz val="10"/>
        <rFont val="標楷體"/>
        <family val="4"/>
        <charset val="136"/>
      </rPr>
      <t>文化部主管</t>
    </r>
    <phoneticPr fontId="19" type="noConversion"/>
  </si>
  <si>
    <r>
      <rPr>
        <sz val="10"/>
        <rFont val="標楷體"/>
        <family val="4"/>
        <charset val="136"/>
      </rPr>
      <t>文化部</t>
    </r>
    <phoneticPr fontId="19" type="noConversion"/>
  </si>
  <si>
    <r>
      <rPr>
        <sz val="10"/>
        <rFont val="標楷體"/>
        <family val="4"/>
        <charset val="136"/>
      </rPr>
      <t>辦理文化平權理念宣導</t>
    </r>
    <phoneticPr fontId="19" type="noConversion"/>
  </si>
  <si>
    <r>
      <rPr>
        <sz val="10"/>
        <rFont val="標楷體"/>
        <family val="4"/>
        <charset val="136"/>
      </rPr>
      <t>臺南市美術館建設計畫</t>
    </r>
    <phoneticPr fontId="19" type="noConversion"/>
  </si>
  <si>
    <r>
      <rPr>
        <sz val="10"/>
        <rFont val="標楷體"/>
        <family val="4"/>
        <charset val="136"/>
      </rPr>
      <t>社區營造及村落文化發展</t>
    </r>
    <phoneticPr fontId="19" type="noConversion"/>
  </si>
  <si>
    <r>
      <rPr>
        <sz val="10"/>
        <rFont val="標楷體"/>
        <family val="4"/>
        <charset val="136"/>
      </rPr>
      <t>博物館事業推展</t>
    </r>
    <phoneticPr fontId="19" type="noConversion"/>
  </si>
  <si>
    <r>
      <rPr>
        <sz val="10"/>
        <rFont val="標楷體"/>
        <family val="4"/>
        <charset val="136"/>
      </rPr>
      <t>文化創意產業推動與輔導</t>
    </r>
    <phoneticPr fontId="19" type="noConversion"/>
  </si>
  <si>
    <t>人文推廣業務</t>
    <phoneticPr fontId="19" type="noConversion"/>
  </si>
  <si>
    <t>文學發展及閱讀推廣</t>
    <phoneticPr fontId="19" type="noConversion"/>
  </si>
  <si>
    <r>
      <rPr>
        <sz val="10"/>
        <color indexed="10"/>
        <rFont val="標楷體"/>
        <family val="4"/>
        <charset val="136"/>
      </rPr>
      <t>表演暨視覺藝術政策之研議與推動</t>
    </r>
    <phoneticPr fontId="19" type="noConversion"/>
  </si>
  <si>
    <r>
      <rPr>
        <sz val="10"/>
        <rFont val="標楷體"/>
        <family val="4"/>
        <charset val="136"/>
      </rPr>
      <t>表演藝術之輔導與推動</t>
    </r>
    <phoneticPr fontId="19" type="noConversion"/>
  </si>
  <si>
    <r>
      <rPr>
        <sz val="10"/>
        <rFont val="標楷體"/>
        <family val="4"/>
        <charset val="136"/>
      </rPr>
      <t>視覺藝術之輔導與推動</t>
    </r>
    <phoneticPr fontId="19" type="noConversion"/>
  </si>
  <si>
    <r>
      <rPr>
        <sz val="10"/>
        <rFont val="標楷體"/>
        <family val="4"/>
        <charset val="136"/>
      </rPr>
      <t>全球布局策略推展計畫</t>
    </r>
    <phoneticPr fontId="19" type="noConversion"/>
  </si>
  <si>
    <r>
      <rPr>
        <sz val="10"/>
        <rFont val="標楷體"/>
        <family val="4"/>
        <charset val="136"/>
      </rPr>
      <t>國家人權博物館籌備處</t>
    </r>
    <phoneticPr fontId="19" type="noConversion"/>
  </si>
  <si>
    <r>
      <rPr>
        <sz val="10"/>
        <rFont val="標楷體"/>
        <family val="4"/>
        <charset val="136"/>
      </rPr>
      <t>博物館業務之推展</t>
    </r>
    <phoneticPr fontId="19" type="noConversion"/>
  </si>
  <si>
    <r>
      <rPr>
        <sz val="10"/>
        <rFont val="標楷體"/>
        <family val="4"/>
        <charset val="136"/>
      </rPr>
      <t>國家人權博物館中程計畫</t>
    </r>
    <phoneticPr fontId="19" type="noConversion"/>
  </si>
  <si>
    <r>
      <rPr>
        <sz val="10"/>
        <rFont val="標楷體"/>
        <family val="4"/>
        <charset val="136"/>
      </rPr>
      <t>文化資產局</t>
    </r>
    <phoneticPr fontId="19" type="noConversion"/>
  </si>
  <si>
    <r>
      <rPr>
        <sz val="10"/>
        <rFont val="標楷體"/>
        <family val="4"/>
        <charset val="136"/>
      </rPr>
      <t>文化資產維護管理及再利用計畫</t>
    </r>
    <phoneticPr fontId="19" type="noConversion"/>
  </si>
  <si>
    <r>
      <rPr>
        <sz val="10"/>
        <rFont val="標楷體"/>
        <family val="4"/>
        <charset val="136"/>
      </rPr>
      <t>文化資產多元永續發展計畫</t>
    </r>
    <phoneticPr fontId="19" type="noConversion"/>
  </si>
  <si>
    <r>
      <rPr>
        <sz val="10"/>
        <rFont val="標楷體"/>
        <family val="4"/>
        <charset val="136"/>
      </rPr>
      <t>古物遺址及水下資產活化發展計畫</t>
    </r>
    <phoneticPr fontId="19" type="noConversion"/>
  </si>
  <si>
    <r>
      <rPr>
        <sz val="10"/>
        <rFont val="標楷體"/>
        <family val="4"/>
        <charset val="136"/>
      </rPr>
      <t>文化資產跨域發展計畫</t>
    </r>
    <phoneticPr fontId="19" type="noConversion"/>
  </si>
  <si>
    <t>法務部主管</t>
    <phoneticPr fontId="19" type="noConversion"/>
  </si>
  <si>
    <t>臺灣苗栗地方法院檢察署</t>
    <phoneticPr fontId="19" type="noConversion"/>
  </si>
  <si>
    <t>緩起訴處分金及認罪協商金提撥補助款補助地方自治團體經費</t>
    <phoneticPr fontId="19" type="noConversion"/>
  </si>
  <si>
    <t>臺灣臺中地方法院檢察署</t>
    <phoneticPr fontId="19" type="noConversion"/>
  </si>
  <si>
    <t>臺灣南投地方法院檢察署</t>
    <phoneticPr fontId="19" type="noConversion"/>
  </si>
  <si>
    <t>臺灣雲林地方法院檢察署</t>
    <phoneticPr fontId="19" type="noConversion"/>
  </si>
  <si>
    <t>臺灣嘉義地方法院檢察署</t>
    <phoneticPr fontId="19" type="noConversion"/>
  </si>
  <si>
    <t>臺灣臺南地方法院檢察署</t>
    <phoneticPr fontId="19" type="noConversion"/>
  </si>
  <si>
    <t>臺灣橋頭地方法院檢察署</t>
    <phoneticPr fontId="19" type="noConversion"/>
  </si>
  <si>
    <t>臺灣高雄地方法院檢察署</t>
    <phoneticPr fontId="19" type="noConversion"/>
  </si>
  <si>
    <t>緩起訴處分金及認罪協商金提撥補助款補助地方自治團體經費</t>
    <phoneticPr fontId="19" type="noConversion"/>
  </si>
  <si>
    <t>臺灣屏東地方法院檢察署</t>
    <phoneticPr fontId="19" type="noConversion"/>
  </si>
  <si>
    <t>臺灣花蓮地方法院檢察署</t>
    <phoneticPr fontId="19" type="noConversion"/>
  </si>
  <si>
    <t>行政院主管</t>
    <phoneticPr fontId="19" type="noConversion"/>
  </si>
  <si>
    <t>客委會</t>
    <phoneticPr fontId="19" type="noConversion"/>
  </si>
  <si>
    <t>獎勵及補助客家研究出版</t>
    <phoneticPr fontId="19" type="noConversion"/>
  </si>
  <si>
    <t>補助海內外客家事務交流合作活動</t>
    <phoneticPr fontId="19" type="noConversion"/>
  </si>
  <si>
    <t>獎勵地方政府推動客家語言及文化整體發展</t>
    <phoneticPr fontId="19" type="noConversion"/>
  </si>
  <si>
    <r>
      <t>補助客家節慶</t>
    </r>
    <r>
      <rPr>
        <sz val="10"/>
        <rFont val="新細明體"/>
        <family val="1"/>
        <charset val="136"/>
      </rPr>
      <t>、</t>
    </r>
    <r>
      <rPr>
        <sz val="10"/>
        <rFont val="標楷體"/>
        <family val="4"/>
        <charset val="136"/>
      </rPr>
      <t>客家文化及藝術活動</t>
    </r>
    <phoneticPr fontId="19" type="noConversion"/>
  </si>
  <si>
    <t>補助辦理客語教育相關計畫</t>
    <phoneticPr fontId="19" type="noConversion"/>
  </si>
  <si>
    <t>補助辦理友善客語生活學校計畫</t>
    <phoneticPr fontId="19" type="noConversion"/>
  </si>
  <si>
    <t>補助推動公共領域客語友善環境計畫</t>
    <phoneticPr fontId="19" type="noConversion"/>
  </si>
  <si>
    <t>補助推動客語沉浸計畫</t>
    <phoneticPr fontId="19" type="noConversion"/>
  </si>
  <si>
    <t>原民會</t>
    <phoneticPr fontId="19" type="noConversion"/>
  </si>
  <si>
    <t>辦理民族教育</t>
    <phoneticPr fontId="19" type="noConversion"/>
  </si>
  <si>
    <t>培育原住民人才</t>
    <phoneticPr fontId="19" type="noConversion"/>
  </si>
  <si>
    <t>推廣原住民族社會教育及終身學習</t>
    <phoneticPr fontId="19" type="noConversion"/>
  </si>
  <si>
    <t>振興原住民族語言</t>
    <phoneticPr fontId="19" type="noConversion"/>
  </si>
  <si>
    <t>數位部落啟航4年(105至108年)計畫</t>
    <phoneticPr fontId="19" type="noConversion"/>
  </si>
  <si>
    <t>辦理平埔族群語言及文化振興計畫</t>
    <phoneticPr fontId="19" type="noConversion"/>
  </si>
  <si>
    <t>辦理傳統祭典(儀)、文化活動及參與國際文化藝術交流活動</t>
    <phoneticPr fontId="19" type="noConversion"/>
  </si>
  <si>
    <t>原住民族部落活力計畫</t>
    <phoneticPr fontId="19" type="noConversion"/>
  </si>
  <si>
    <t>花蓮縣綜合發展實施方案-原住民族造形藝術豐羽計畫及山海劇場破浪計畫</t>
    <phoneticPr fontId="19" type="noConversion"/>
  </si>
  <si>
    <t>推動原住民社會福利服務</t>
    <phoneticPr fontId="19" type="noConversion"/>
  </si>
  <si>
    <t>原住民族經濟產業發展4年(107至110年)</t>
    <phoneticPr fontId="19" type="noConversion"/>
  </si>
  <si>
    <t>原住民族產業活動計畫</t>
    <phoneticPr fontId="19" type="noConversion"/>
  </si>
  <si>
    <t>花東地區發展條例補助花蓮縣及臺東縣綜合發展實施方案計畫</t>
    <phoneticPr fontId="19" type="noConversion"/>
  </si>
  <si>
    <t>補辦增劃編原住民保留地暨複丈分割實施計畫</t>
    <phoneticPr fontId="19" type="noConversion"/>
  </si>
  <si>
    <t>原住民保留地權利回復計畫</t>
    <phoneticPr fontId="19" type="noConversion"/>
  </si>
  <si>
    <t>辦理馬蘭會館土地有償撥用</t>
    <phoneticPr fontId="19" type="noConversion"/>
  </si>
  <si>
    <t>原住民族土地利用計畫</t>
    <phoneticPr fontId="19" type="noConversion"/>
  </si>
  <si>
    <t>原住民族土地或部落範圍土地調查及劃設作業計畫</t>
    <phoneticPr fontId="19" type="noConversion"/>
  </si>
  <si>
    <t>原住民族建購、修繕住宅及遷住計畫</t>
    <phoneticPr fontId="19" type="noConversion"/>
  </si>
  <si>
    <t>原住民族部落特色道路改善計畫(107至110年)</t>
    <phoneticPr fontId="19" type="noConversion"/>
  </si>
  <si>
    <t>原住民族部落永續發展造景計畫</t>
    <phoneticPr fontId="19" type="noConversion"/>
  </si>
  <si>
    <t>辦理都會區原住民族基本權利宣導活動</t>
    <phoneticPr fontId="19" type="noConversion"/>
  </si>
  <si>
    <r>
      <t>辦理都市原住民族發展計畫</t>
    </r>
    <r>
      <rPr>
        <sz val="10"/>
        <color indexed="10"/>
        <rFont val="標楷體"/>
        <family val="4"/>
        <charset val="136"/>
      </rPr>
      <t>-各項教育補助及推廣、文化傳承</t>
    </r>
    <phoneticPr fontId="19" type="noConversion"/>
  </si>
  <si>
    <t>行政院主管</t>
    <phoneticPr fontId="19" type="noConversion"/>
  </si>
  <si>
    <t>原民會</t>
    <phoneticPr fontId="19" type="noConversion"/>
  </si>
  <si>
    <r>
      <t>辦理都市原住民族發展計畫</t>
    </r>
    <r>
      <rPr>
        <sz val="10"/>
        <color indexed="10"/>
        <rFont val="標楷體"/>
        <family val="4"/>
        <charset val="136"/>
      </rPr>
      <t>-落實在地化支持福利服務、提升就業競爭力</t>
    </r>
    <phoneticPr fontId="19" type="noConversion"/>
  </si>
  <si>
    <t>補助原住民鄉鎮市</t>
    <phoneticPr fontId="19" type="noConversion"/>
  </si>
  <si>
    <t>原住民族文化發展中心</t>
    <phoneticPr fontId="19" type="noConversion"/>
  </si>
  <si>
    <t>地方文化館改善計畫</t>
    <phoneticPr fontId="19" type="noConversion"/>
  </si>
  <si>
    <t>財政部主管</t>
    <phoneticPr fontId="19" type="noConversion"/>
  </si>
  <si>
    <t>財政部</t>
    <phoneticPr fontId="19" type="noConversion"/>
  </si>
  <si>
    <t>促參案件前置作業補助</t>
    <phoneticPr fontId="19" type="noConversion"/>
  </si>
  <si>
    <t>國庫署小計</t>
    <phoneticPr fontId="19" type="noConversion"/>
  </si>
  <si>
    <t>國庫署</t>
    <phoneticPr fontId="19" type="noConversion"/>
  </si>
  <si>
    <t>菸品健康福利捐分配給地方政府辦理私劣菸品查緝相關業務</t>
    <phoneticPr fontId="19" type="noConversion"/>
  </si>
  <si>
    <t>賦稅署小計</t>
    <phoneticPr fontId="19" type="noConversion"/>
  </si>
  <si>
    <t>賦稅署</t>
    <phoneticPr fontId="19" type="noConversion"/>
  </si>
  <si>
    <t>地方政府遺產及贈與稅款短少補助</t>
    <phoneticPr fontId="19" type="noConversion"/>
  </si>
  <si>
    <t>地方政府土地增值稅款短少補助</t>
    <phoneticPr fontId="19" type="noConversion"/>
  </si>
  <si>
    <t>國發會</t>
    <phoneticPr fontId="19" type="noConversion"/>
  </si>
  <si>
    <t>臺東國際友善環境營造</t>
    <phoneticPr fontId="19" type="noConversion"/>
  </si>
  <si>
    <t>ICT無線寬頻智慧城市</t>
    <phoneticPr fontId="19" type="noConversion"/>
  </si>
  <si>
    <t>「樂活花蓮」智慧城鄉播種計畫</t>
    <phoneticPr fontId="19" type="noConversion"/>
  </si>
  <si>
    <t>補助提升連江縣無線網路服務行動加值計畫</t>
    <phoneticPr fontId="19" type="noConversion"/>
  </si>
  <si>
    <t>澎湖縣政府電子化暨行動資訊服務推展計畫</t>
    <phoneticPr fontId="19" type="noConversion"/>
  </si>
  <si>
    <t>澎湖縣政府雲端應用發展及資料中心建置計畫</t>
    <phoneticPr fontId="19" type="noConversion"/>
  </si>
  <si>
    <t>教育部主管</t>
    <phoneticPr fontId="19" type="noConversion"/>
  </si>
  <si>
    <t>教育部</t>
    <phoneticPr fontId="19" type="noConversion"/>
  </si>
  <si>
    <t>推展一般教育及編印文教書刊</t>
    <phoneticPr fontId="19" type="noConversion"/>
  </si>
  <si>
    <t>強化技職教育學制及特色</t>
    <phoneticPr fontId="19" type="noConversion"/>
  </si>
  <si>
    <t>推行藝術教育</t>
    <phoneticPr fontId="19" type="noConversion"/>
  </si>
  <si>
    <t>健全師資培育</t>
    <phoneticPr fontId="19" type="noConversion"/>
  </si>
  <si>
    <t>教師專業發展</t>
    <phoneticPr fontId="19" type="noConversion"/>
  </si>
  <si>
    <t>推動終身教育及學習網絡</t>
    <phoneticPr fontId="19" type="noConversion"/>
  </si>
  <si>
    <t>推動社區教育</t>
    <phoneticPr fontId="19" type="noConversion"/>
  </si>
  <si>
    <t>推行家庭教育</t>
    <phoneticPr fontId="19" type="noConversion"/>
  </si>
  <si>
    <t>推動高齡教育</t>
    <phoneticPr fontId="19" type="noConversion"/>
  </si>
  <si>
    <t>本國語言文字標準訂定與推廣</t>
    <phoneticPr fontId="19" type="noConversion"/>
  </si>
  <si>
    <t>建立終身學習推動組織</t>
    <phoneticPr fontId="19" type="noConversion"/>
  </si>
  <si>
    <t>國立及公共圖書館之輔導與充實</t>
    <phoneticPr fontId="19" type="noConversion"/>
  </si>
  <si>
    <t>學生事務行政及督導</t>
    <phoneticPr fontId="19" type="noConversion"/>
  </si>
  <si>
    <t>學生輔導及性別平等教育</t>
    <phoneticPr fontId="19" type="noConversion"/>
  </si>
  <si>
    <t>校園安全維護與防制學生藥物濫用</t>
    <phoneticPr fontId="19" type="noConversion"/>
  </si>
  <si>
    <t>學生全民國防教育推展</t>
    <phoneticPr fontId="19" type="noConversion"/>
  </si>
  <si>
    <t>發展與改進大專校院特殊教育</t>
    <phoneticPr fontId="19" type="noConversion"/>
  </si>
  <si>
    <t>校園安全衛生管理及環境教育推動計畫</t>
    <phoneticPr fontId="19" type="noConversion"/>
  </si>
  <si>
    <t>網路學習發展計畫</t>
    <phoneticPr fontId="19" type="noConversion"/>
  </si>
  <si>
    <t>全國學術電腦資訊服務及建構大學電腦網路</t>
    <phoneticPr fontId="19" type="noConversion"/>
  </si>
  <si>
    <t>資訊科技融入教學</t>
    <phoneticPr fontId="19" type="noConversion"/>
  </si>
  <si>
    <t>偏鄉數位應用推動計畫</t>
    <phoneticPr fontId="19" type="noConversion"/>
  </si>
  <si>
    <t>科技教育計畫</t>
    <phoneticPr fontId="19" type="noConversion"/>
  </si>
  <si>
    <t>氣候變遷調適與防災教育及永續校園計畫</t>
    <phoneticPr fontId="19" type="noConversion"/>
  </si>
  <si>
    <t>辦理國際華語文教育</t>
    <phoneticPr fontId="19" type="noConversion"/>
  </si>
  <si>
    <t>吸引國際學生來臺就學</t>
    <phoneticPr fontId="19" type="noConversion"/>
  </si>
  <si>
    <t>辦理港澳及兩岸學術交流相關事務</t>
    <phoneticPr fontId="19" type="noConversion"/>
  </si>
  <si>
    <t>推動國立社教機構之創新與發展</t>
    <phoneticPr fontId="19" type="noConversion"/>
  </si>
  <si>
    <t>國教署</t>
    <phoneticPr fontId="19" type="noConversion"/>
  </si>
  <si>
    <t>高級中等學校教育</t>
    <phoneticPr fontId="19" type="noConversion"/>
  </si>
  <si>
    <t>國民中小學教育</t>
    <phoneticPr fontId="19" type="noConversion"/>
  </si>
  <si>
    <t>學前教育</t>
    <phoneticPr fontId="19" type="noConversion"/>
  </si>
  <si>
    <t>原住民族教育</t>
    <phoneticPr fontId="19" type="noConversion"/>
  </si>
  <si>
    <t>少數族群教育</t>
    <phoneticPr fontId="19" type="noConversion"/>
  </si>
  <si>
    <t>特殊教育</t>
    <phoneticPr fontId="19" type="noConversion"/>
  </si>
  <si>
    <t>學生事務與校園安全及衛生教育</t>
    <phoneticPr fontId="19" type="noConversion"/>
  </si>
  <si>
    <t>一般教育推展</t>
    <phoneticPr fontId="19" type="noConversion"/>
  </si>
  <si>
    <t>高級中等學校改隸直轄市專案補助</t>
    <phoneticPr fontId="19" type="noConversion"/>
  </si>
  <si>
    <t>體育署</t>
    <phoneticPr fontId="19" type="noConversion"/>
  </si>
  <si>
    <t>加強學校體育活動及教學發展</t>
    <phoneticPr fontId="19" type="noConversion"/>
  </si>
  <si>
    <t>學校特殊體育活動及教學發展</t>
    <phoneticPr fontId="19" type="noConversion"/>
  </si>
  <si>
    <t>辦理原住民族體育教育</t>
    <phoneticPr fontId="19" type="noConversion"/>
  </si>
  <si>
    <t>推展全民運動</t>
    <phoneticPr fontId="19" type="noConversion"/>
  </si>
  <si>
    <t>推展競技運動</t>
    <phoneticPr fontId="19" type="noConversion"/>
  </si>
  <si>
    <t>推展國際體育</t>
    <phoneticPr fontId="19" type="noConversion"/>
  </si>
  <si>
    <t>青年署</t>
    <phoneticPr fontId="19" type="noConversion"/>
  </si>
  <si>
    <t>辦理青年生涯輔導業務</t>
    <phoneticPr fontId="19" type="noConversion"/>
  </si>
  <si>
    <t>辦理青年公共參與業務</t>
    <phoneticPr fontId="19" type="noConversion"/>
  </si>
  <si>
    <t>辦理青年國際及體驗學習業務</t>
    <phoneticPr fontId="19" type="noConversion"/>
  </si>
  <si>
    <t>勞動部主管</t>
    <phoneticPr fontId="19" type="noConversion"/>
  </si>
  <si>
    <t>勞動部</t>
    <phoneticPr fontId="19" type="noConversion"/>
  </si>
  <si>
    <t>直轄市勞保欠費繳款專案補助</t>
    <phoneticPr fontId="19" type="noConversion"/>
  </si>
  <si>
    <t>補助縣市勞工育樂中心設備汰舊換新、加強消防安全設施、設備維修</t>
    <phoneticPr fontId="19" type="noConversion"/>
  </si>
  <si>
    <t>推展勞動志願服務</t>
    <phoneticPr fontId="19" type="noConversion"/>
  </si>
  <si>
    <t>經濟部主管</t>
    <phoneticPr fontId="19" type="noConversion"/>
  </si>
  <si>
    <t>國營會</t>
    <phoneticPr fontId="19" type="noConversion"/>
  </si>
  <si>
    <t>中石化安順廠污染案附近居民生活照顧及健康照護第3階段計畫</t>
    <phoneticPr fontId="19" type="noConversion"/>
  </si>
  <si>
    <t>工業局</t>
    <phoneticPr fontId="19" type="noConversion"/>
  </si>
  <si>
    <t>水利署小計</t>
    <phoneticPr fontId="19" type="noConversion"/>
  </si>
  <si>
    <r>
      <rPr>
        <sz val="10"/>
        <rFont val="標楷體"/>
        <family val="4"/>
        <charset val="136"/>
      </rPr>
      <t>經濟部主管</t>
    </r>
    <phoneticPr fontId="19" type="noConversion"/>
  </si>
  <si>
    <r>
      <rPr>
        <sz val="10"/>
        <rFont val="標楷體"/>
        <family val="4"/>
        <charset val="136"/>
      </rPr>
      <t>水利署</t>
    </r>
    <phoneticPr fontId="19" type="noConversion"/>
  </si>
  <si>
    <r>
      <rPr>
        <sz val="10"/>
        <rFont val="標楷體"/>
        <family val="4"/>
        <charset val="136"/>
      </rPr>
      <t>離島地區用水差價補貼</t>
    </r>
    <phoneticPr fontId="19" type="noConversion"/>
  </si>
  <si>
    <r>
      <rPr>
        <sz val="10"/>
        <rFont val="標楷體"/>
        <family val="4"/>
        <charset val="136"/>
      </rPr>
      <t>水利會事業區外農田水利設施更新改善計畫</t>
    </r>
    <phoneticPr fontId="19" type="noConversion"/>
  </si>
  <si>
    <r>
      <rPr>
        <sz val="10"/>
        <rFont val="標楷體"/>
        <family val="4"/>
        <charset val="136"/>
      </rPr>
      <t>離島地區供水改善計畫</t>
    </r>
    <phoneticPr fontId="19" type="noConversion"/>
  </si>
  <si>
    <r>
      <rPr>
        <sz val="10"/>
        <color indexed="8"/>
        <rFont val="標楷體"/>
        <family val="4"/>
        <charset val="136"/>
      </rPr>
      <t>蓄水建造物更新及改善計畫第</t>
    </r>
    <r>
      <rPr>
        <sz val="10"/>
        <color indexed="8"/>
        <rFont val="Arial"/>
        <family val="2"/>
      </rPr>
      <t>3</t>
    </r>
    <r>
      <rPr>
        <sz val="10"/>
        <color indexed="8"/>
        <rFont val="標楷體"/>
        <family val="4"/>
        <charset val="136"/>
      </rPr>
      <t>期</t>
    </r>
    <r>
      <rPr>
        <sz val="10"/>
        <color indexed="8"/>
        <rFont val="Arial"/>
        <family val="2"/>
      </rPr>
      <t>(106-110</t>
    </r>
    <r>
      <rPr>
        <sz val="10"/>
        <color indexed="8"/>
        <rFont val="標楷體"/>
        <family val="4"/>
        <charset val="136"/>
      </rPr>
      <t>年</t>
    </r>
    <r>
      <rPr>
        <sz val="10"/>
        <color indexed="8"/>
        <rFont val="Arial"/>
        <family val="2"/>
      </rPr>
      <t>)</t>
    </r>
    <phoneticPr fontId="19" type="noConversion"/>
  </si>
  <si>
    <t>澎湖地區公共給水改善工程計畫</t>
    <phoneticPr fontId="19" type="noConversion"/>
  </si>
  <si>
    <t>重要河川環境營造計畫(104-109年)</t>
    <phoneticPr fontId="19" type="noConversion"/>
  </si>
  <si>
    <t>區域排水整治及環境營造計畫(104-109年)</t>
    <phoneticPr fontId="19" type="noConversion"/>
  </si>
  <si>
    <t>地下水保育管理暨地層下陷防治計畫(104-109年)</t>
    <phoneticPr fontId="19" type="noConversion"/>
  </si>
  <si>
    <t>中小企業處</t>
    <phoneticPr fontId="19" type="noConversion"/>
  </si>
  <si>
    <t>農業委員會主管</t>
    <phoneticPr fontId="19" type="noConversion"/>
  </si>
  <si>
    <t>農委會</t>
    <phoneticPr fontId="19" type="noConversion"/>
  </si>
  <si>
    <t>提昇芻料品質與產量計畫</t>
  </si>
  <si>
    <t>禽畜糞管理與資源化輔導計畫</t>
  </si>
  <si>
    <t>強化家畜產業鏈及生產力計畫</t>
  </si>
  <si>
    <t>農林畜水溯源安全管理及行銷輔導計畫</t>
  </si>
  <si>
    <t>提升農會組織服務功能計畫-強化農會主管機關輔導功能</t>
  </si>
  <si>
    <t>林務局</t>
    <phoneticPr fontId="19" type="noConversion"/>
  </si>
  <si>
    <t>排雷區復育造林</t>
    <phoneticPr fontId="19" type="noConversion"/>
  </si>
  <si>
    <t>公私有林經營輔導</t>
    <phoneticPr fontId="19" type="noConversion"/>
  </si>
  <si>
    <t>林產產銷輔導</t>
    <phoneticPr fontId="19" type="noConversion"/>
  </si>
  <si>
    <t>漂流木清運計畫</t>
    <phoneticPr fontId="19" type="noConversion"/>
  </si>
  <si>
    <t>更新核發林產物許可證作業</t>
    <phoneticPr fontId="19" type="noConversion"/>
  </si>
  <si>
    <r>
      <t>樹木健康</t>
    </r>
    <r>
      <rPr>
        <sz val="11"/>
        <rFont val="Times New Roman"/>
        <family val="1"/>
      </rPr>
      <t>-</t>
    </r>
    <r>
      <rPr>
        <sz val="11"/>
        <rFont val="標楷體"/>
        <family val="4"/>
        <charset val="136"/>
      </rPr>
      <t>入侵植物防治計畫</t>
    </r>
    <phoneticPr fontId="19" type="noConversion"/>
  </si>
  <si>
    <r>
      <t>樹木健康</t>
    </r>
    <r>
      <rPr>
        <sz val="11"/>
        <rFont val="Times New Roman"/>
        <family val="1"/>
      </rPr>
      <t>-</t>
    </r>
    <r>
      <rPr>
        <sz val="11"/>
        <rFont val="標楷體"/>
        <family val="4"/>
        <charset val="136"/>
      </rPr>
      <t>褐根病防治計畫</t>
    </r>
    <phoneticPr fontId="19" type="noConversion"/>
  </si>
  <si>
    <r>
      <t>樹木保護</t>
    </r>
    <r>
      <rPr>
        <sz val="11"/>
        <rFont val="Times New Roman"/>
        <family val="1"/>
      </rPr>
      <t>-</t>
    </r>
    <r>
      <rPr>
        <sz val="11"/>
        <rFont val="標楷體"/>
        <family val="4"/>
        <charset val="136"/>
      </rPr>
      <t>珍貴老樹保護</t>
    </r>
    <phoneticPr fontId="19" type="noConversion"/>
  </si>
  <si>
    <r>
      <t>樹木保護</t>
    </r>
    <r>
      <rPr>
        <sz val="11"/>
        <rFont val="Times New Roman"/>
        <family val="1"/>
      </rPr>
      <t>-</t>
    </r>
    <r>
      <rPr>
        <sz val="11"/>
        <rFont val="標楷體"/>
        <family val="4"/>
        <charset val="136"/>
      </rPr>
      <t>宣導</t>
    </r>
    <phoneticPr fontId="19" type="noConversion"/>
  </si>
  <si>
    <t>平地造林</t>
    <phoneticPr fontId="19" type="noConversion"/>
  </si>
  <si>
    <t>友善環境生態造林</t>
    <phoneticPr fontId="19" type="noConversion"/>
  </si>
  <si>
    <t>推動野生動植物合理利用之管理計畫</t>
    <phoneticPr fontId="19" type="noConversion"/>
  </si>
  <si>
    <t>生物多樣性保育及入侵種管理計畫</t>
    <phoneticPr fontId="19" type="noConversion"/>
  </si>
  <si>
    <t>保護區及自然地景經營管理計畫</t>
    <phoneticPr fontId="19" type="noConversion"/>
  </si>
  <si>
    <t>濕地型保護區經營管理計畫</t>
    <phoneticPr fontId="19" type="noConversion"/>
  </si>
  <si>
    <t>野生動物危害農林作物補助計畫</t>
    <phoneticPr fontId="19" type="noConversion"/>
  </si>
  <si>
    <t>國土生態保育綠色網絡建置計畫</t>
    <phoneticPr fontId="19" type="noConversion"/>
  </si>
  <si>
    <t>水土保持局</t>
    <phoneticPr fontId="19" type="noConversion"/>
  </si>
  <si>
    <t>特定水土保持劃定</t>
    <phoneticPr fontId="19" type="noConversion"/>
  </si>
  <si>
    <t>水土保持管理</t>
    <phoneticPr fontId="19" type="noConversion"/>
  </si>
  <si>
    <t>教育宣導</t>
    <phoneticPr fontId="19" type="noConversion"/>
  </si>
  <si>
    <t>山坡地環境資源調查</t>
    <phoneticPr fontId="19" type="noConversion"/>
  </si>
  <si>
    <t>土石流防災與監測</t>
    <phoneticPr fontId="19" type="noConversion"/>
  </si>
  <si>
    <t>漁業署</t>
    <phoneticPr fontId="19" type="noConversion"/>
  </si>
  <si>
    <t>強化沿近海漁業作業管理及資源培育與宣導教育</t>
    <phoneticPr fontId="19" type="noConversion"/>
  </si>
  <si>
    <t>水產飼料管理</t>
    <phoneticPr fontId="19" type="noConversion"/>
  </si>
  <si>
    <t>試辦養殖漁業天然災害保險</t>
    <phoneticPr fontId="19" type="noConversion"/>
  </si>
  <si>
    <t>漁產品溯源安全管理及行銷輔導計畫</t>
    <phoneticPr fontId="19" type="noConversion"/>
  </si>
  <si>
    <t>沿近海漁業資源復育</t>
    <phoneticPr fontId="19" type="noConversion"/>
  </si>
  <si>
    <t>穩定養殖區生產環境計畫</t>
    <phoneticPr fontId="19" type="noConversion"/>
  </si>
  <si>
    <t>漁港機能維護計畫</t>
    <phoneticPr fontId="19" type="noConversion"/>
  </si>
  <si>
    <t>魚市場、漁民活動中心及直銷中心等設施興修建及改善</t>
    <phoneticPr fontId="19" type="noConversion"/>
  </si>
  <si>
    <t>養殖漁業放養量調查</t>
    <phoneticPr fontId="19" type="noConversion"/>
  </si>
  <si>
    <r>
      <t>彰化漁港開發案近程</t>
    </r>
    <r>
      <rPr>
        <sz val="10"/>
        <rFont val="Times New Roman"/>
        <family val="1"/>
      </rPr>
      <t>(</t>
    </r>
    <r>
      <rPr>
        <sz val="10"/>
        <rFont val="標楷體"/>
        <family val="4"/>
        <charset val="136"/>
      </rPr>
      <t>可開港營運</t>
    </r>
    <r>
      <rPr>
        <sz val="10"/>
        <rFont val="Times New Roman"/>
        <family val="1"/>
      </rPr>
      <t>)</t>
    </r>
    <r>
      <rPr>
        <sz val="10"/>
        <rFont val="標楷體"/>
        <family val="4"/>
        <charset val="136"/>
      </rPr>
      <t>計畫</t>
    </r>
    <phoneticPr fontId="19" type="noConversion"/>
  </si>
  <si>
    <t>封溪護魚河段保育暨巡守隊巡護及宣導計畫</t>
    <phoneticPr fontId="19" type="noConversion"/>
  </si>
  <si>
    <t>防檢局</t>
    <phoneticPr fontId="19" type="noConversion"/>
  </si>
  <si>
    <t>畜禽水產動物疾病防治</t>
    <phoneticPr fontId="19" type="noConversion"/>
  </si>
  <si>
    <t>寵物及野生動物疾病防治</t>
    <phoneticPr fontId="19" type="noConversion"/>
  </si>
  <si>
    <r>
      <t>獸醫師管理與功能強化</t>
    </r>
    <r>
      <rPr>
        <sz val="10"/>
        <rFont val="Times New Roman"/>
        <family val="1"/>
      </rPr>
      <t xml:space="preserve">        </t>
    </r>
    <phoneticPr fontId="19" type="noConversion"/>
  </si>
  <si>
    <t>動物用藥抽查取締及宣導</t>
    <phoneticPr fontId="19" type="noConversion"/>
  </si>
  <si>
    <t>豬瘟及口蹄疫撲滅計畫</t>
    <phoneticPr fontId="19" type="noConversion"/>
  </si>
  <si>
    <t>植物有害生物防疫計畫</t>
    <phoneticPr fontId="19" type="noConversion"/>
  </si>
  <si>
    <t>強化健康農業之農藥使用管理</t>
    <phoneticPr fontId="19" type="noConversion"/>
  </si>
  <si>
    <t>死廢畜禽化製管理查核計畫</t>
    <phoneticPr fontId="19" type="noConversion"/>
  </si>
  <si>
    <t>違法屠宰行為查緝計畫</t>
    <phoneticPr fontId="19" type="noConversion"/>
  </si>
  <si>
    <t>口蹄疫防疫階段策略之強化工作</t>
    <phoneticPr fontId="19" type="noConversion"/>
  </si>
  <si>
    <t>防檢局</t>
    <phoneticPr fontId="19" type="noConversion"/>
  </si>
  <si>
    <t>人畜共通之動物傳染病防治計畫</t>
    <phoneticPr fontId="19" type="noConversion"/>
  </si>
  <si>
    <t>農糧署</t>
    <phoneticPr fontId="19" type="noConversion"/>
  </si>
  <si>
    <t>農作物天然災害保險試辦計畫</t>
    <phoneticPr fontId="19" type="noConversion"/>
  </si>
  <si>
    <t>強化農業基礎生產資訊調查、蒐集與預警計畫及其相關資訊系統功能擴充與維護</t>
    <phoneticPr fontId="19" type="noConversion"/>
  </si>
  <si>
    <t>農業產銷班組織及登記農場輔導計畫</t>
    <phoneticPr fontId="19" type="noConversion"/>
  </si>
  <si>
    <t>建構種苗產業價值鏈</t>
    <phoneticPr fontId="19" type="noConversion"/>
  </si>
  <si>
    <t>臺灣蘭花品種商業服務中心後續計畫</t>
    <phoneticPr fontId="19" type="noConversion"/>
  </si>
  <si>
    <t>加強農機管理暨服務農民資訊化計畫</t>
    <phoneticPr fontId="19" type="noConversion"/>
  </si>
  <si>
    <t>發展有機農業計畫</t>
    <phoneticPr fontId="19" type="noConversion"/>
  </si>
  <si>
    <t>2018臺灣國際蘭展</t>
    <phoneticPr fontId="19" type="noConversion"/>
  </si>
  <si>
    <r>
      <t>建構農產品產銷體系</t>
    </r>
    <r>
      <rPr>
        <sz val="10"/>
        <rFont val="Times New Roman"/>
        <family val="1"/>
      </rPr>
      <t>-</t>
    </r>
    <r>
      <rPr>
        <sz val="10"/>
        <rFont val="標楷體"/>
        <family val="4"/>
        <charset val="136"/>
      </rPr>
      <t>含倍數查驗</t>
    </r>
    <phoneticPr fontId="19" type="noConversion"/>
  </si>
  <si>
    <t>農糧產品溯源安全管理及行銷輔導計畫</t>
    <phoneticPr fontId="19" type="noConversion"/>
  </si>
  <si>
    <r>
      <t>臺中市翡翠區域農業加值推動計畫</t>
    </r>
    <r>
      <rPr>
        <sz val="10"/>
        <rFont val="Times New Roman"/>
        <family val="1"/>
      </rPr>
      <t>(</t>
    </r>
    <r>
      <rPr>
        <sz val="10"/>
        <rFont val="標楷體"/>
        <family val="4"/>
        <charset val="136"/>
      </rPr>
      <t>含</t>
    </r>
    <r>
      <rPr>
        <sz val="10"/>
        <rFont val="Times New Roman"/>
        <family val="1"/>
      </rPr>
      <t xml:space="preserve"> 2018 </t>
    </r>
    <r>
      <rPr>
        <sz val="10"/>
        <rFont val="標楷體"/>
        <family val="4"/>
        <charset val="136"/>
      </rPr>
      <t>臺中世界花卉博覽會推動計畫</t>
    </r>
    <r>
      <rPr>
        <sz val="10"/>
        <rFont val="Times New Roman"/>
        <family val="1"/>
      </rPr>
      <t>)</t>
    </r>
    <phoneticPr fontId="19" type="noConversion"/>
  </si>
  <si>
    <t>大型農產品物流中心計畫</t>
    <phoneticPr fontId="19" type="noConversion"/>
  </si>
  <si>
    <t>花東地區有機農業發展計畫</t>
    <phoneticPr fontId="19" type="noConversion"/>
  </si>
  <si>
    <t>補助金門、連江縣辦理文化、社教、藝文、體育等活動。</t>
    <phoneticPr fontId="19" type="noConversion"/>
  </si>
  <si>
    <t>省市地方政府</t>
    <phoneticPr fontId="19" type="noConversion"/>
  </si>
  <si>
    <t>衛生福利部主管</t>
    <phoneticPr fontId="19" type="noConversion"/>
  </si>
  <si>
    <t>衛生福利部</t>
    <phoneticPr fontId="19" type="noConversion"/>
  </si>
  <si>
    <t>整合型心理健康工作計畫</t>
    <phoneticPr fontId="19" type="noConversion"/>
  </si>
  <si>
    <t>強化社會安全網計畫(兒少保護性社工人力)</t>
    <phoneticPr fontId="19" type="noConversion"/>
  </si>
  <si>
    <t>低收入戶家庭生活、就學生活費、低收入戶病患住院膳食費、低收及中低收入醫療補助及住院看護</t>
    <phoneticPr fontId="19" type="noConversion"/>
  </si>
  <si>
    <t>補助直轄市及縣市政府進用社工人力</t>
    <phoneticPr fontId="19" type="noConversion"/>
  </si>
  <si>
    <t>補助直轄市及縣(市)政府辦理社工人身安全教育訓練、安全防護設施設備、執行風險工作補助費</t>
    <phoneticPr fontId="19" type="noConversion"/>
  </si>
  <si>
    <t>補助直轄市政府設置627燒燙傷專案管理中心業務所需各項費用</t>
    <phoneticPr fontId="19" type="noConversion"/>
  </si>
  <si>
    <t>強化社會安全網計畫(急難救助紓困專案)（代收代付，不通知納入預算）</t>
    <phoneticPr fontId="19" type="noConversion"/>
  </si>
  <si>
    <t>補助縣市政府辦理「107年福利服務行動躍升計畫」</t>
    <phoneticPr fontId="19" type="noConversion"/>
  </si>
  <si>
    <t>建立優質之緊急醫療救護體系</t>
    <phoneticPr fontId="19" type="noConversion"/>
  </si>
  <si>
    <t>原住民族及離島地區醫療保健行政工作</t>
    <phoneticPr fontId="19" type="noConversion"/>
  </si>
  <si>
    <t>加強原住民族及離島地區醫療保健服務</t>
    <phoneticPr fontId="19" type="noConversion"/>
  </si>
  <si>
    <t>補助毒品危害防制中心辦理強化藥癮者輔導處遇計畫</t>
    <phoneticPr fontId="19" type="noConversion"/>
  </si>
  <si>
    <t>直轄市健保欠費繳款專案補助</t>
    <phoneticPr fontId="19" type="noConversion"/>
  </si>
  <si>
    <t>強化社會安全網計畫(脫貧方案家庭服務人力)</t>
    <phoneticPr fontId="19" type="noConversion"/>
  </si>
  <si>
    <t>強化社會安全網計畫(補助加害人合併精神疾病服務及加害人處遇協調服務)</t>
    <phoneticPr fontId="19" type="noConversion"/>
  </si>
  <si>
    <t>衛生福利部主管</t>
    <phoneticPr fontId="19" type="noConversion"/>
  </si>
  <si>
    <t>中央健康保險署</t>
    <phoneticPr fontId="3" type="noConversion"/>
  </si>
  <si>
    <t>補助各鄉鎮市區公所辦理健保業務經費</t>
    <phoneticPr fontId="3" type="noConversion"/>
  </si>
  <si>
    <t>社會及家庭署</t>
    <phoneticPr fontId="19" type="noConversion"/>
  </si>
  <si>
    <t>中低收入老人補助裝置假牙實施計畫</t>
    <phoneticPr fontId="19" type="noConversion"/>
  </si>
  <si>
    <t>中低收入老人生活津貼</t>
    <phoneticPr fontId="19" type="noConversion"/>
  </si>
  <si>
    <t>中低收入身心障礙者生活、日間及住宿式照顧、輔具補助經費</t>
    <phoneticPr fontId="19" type="noConversion"/>
  </si>
  <si>
    <t>身心障礙者個人照顧及家庭支持服務</t>
    <phoneticPr fontId="19" type="noConversion"/>
  </si>
  <si>
    <t>補助興設購置或整建各類身心障礙福利機構</t>
    <phoneticPr fontId="19" type="noConversion"/>
  </si>
  <si>
    <t>八仙樂園粉塵暴燃個案重建服務</t>
    <phoneticPr fontId="19" type="noConversion"/>
  </si>
  <si>
    <t>父母未就業家庭育兒津貼實施計畫</t>
    <phoneticPr fontId="19" type="noConversion"/>
  </si>
  <si>
    <t>建構托育管理制度實施計畫</t>
    <phoneticPr fontId="19" type="noConversion"/>
  </si>
  <si>
    <t>發展遲緩兒童早期療育費用補助</t>
    <phoneticPr fontId="19" type="noConversion"/>
  </si>
  <si>
    <t>辦理特殊境遇家庭扶助服務</t>
    <phoneticPr fontId="19" type="noConversion"/>
  </si>
  <si>
    <r>
      <t>強化社會安全網計畫(</t>
    </r>
    <r>
      <rPr>
        <sz val="10"/>
        <color indexed="8"/>
        <rFont val="標楷體"/>
        <family val="4"/>
        <charset val="136"/>
      </rPr>
      <t>家庭社會福利服務中心人力及方案服務</t>
    </r>
    <r>
      <rPr>
        <sz val="10"/>
        <color indexed="8"/>
        <rFont val="新細明體"/>
        <family val="1"/>
        <charset val="136"/>
      </rPr>
      <t>）</t>
    </r>
    <phoneticPr fontId="19" type="noConversion"/>
  </si>
  <si>
    <t>食品藥物管理署</t>
    <phoneticPr fontId="3" type="noConversion"/>
  </si>
  <si>
    <t>加強監控違規廣告及查處非法管道賣藥計畫</t>
    <phoneticPr fontId="3" type="noConversion"/>
  </si>
  <si>
    <t>疾病管制署</t>
    <phoneticPr fontId="3" type="noConversion"/>
  </si>
  <si>
    <t>傳染病防治計畫</t>
    <phoneticPr fontId="3" type="noConversion"/>
  </si>
  <si>
    <r>
      <t>強化社會安全網計畫(</t>
    </r>
    <r>
      <rPr>
        <strike/>
        <sz val="10"/>
        <color indexed="8"/>
        <rFont val="標楷體"/>
        <family val="4"/>
        <charset val="136"/>
      </rPr>
      <t>少年偏差行為及虞犯輔導人力)(內政部業務)</t>
    </r>
    <phoneticPr fontId="19" type="noConversion"/>
  </si>
  <si>
    <t>環境保護署主管</t>
    <phoneticPr fontId="19" type="noConversion"/>
  </si>
  <si>
    <t>環保署</t>
    <phoneticPr fontId="19" type="noConversion"/>
  </si>
  <si>
    <t>水污染防治及流域整體性環境保護計畫</t>
    <phoneticPr fontId="19" type="noConversion"/>
  </si>
  <si>
    <t>垃圾全分類零廢棄及廢棄物緊急應變計畫</t>
    <phoneticPr fontId="19" type="noConversion"/>
  </si>
  <si>
    <t>建構寧適家園計畫</t>
    <phoneticPr fontId="19" type="noConversion"/>
  </si>
  <si>
    <t>內政部主管</t>
    <phoneticPr fontId="19" type="noConversion"/>
  </si>
  <si>
    <t>內政部</t>
    <phoneticPr fontId="19" type="noConversion"/>
  </si>
  <si>
    <t>健全地方發展均衡基礎建設計畫</t>
    <phoneticPr fontId="19" type="noConversion"/>
  </si>
  <si>
    <t>公共造產補助金計畫</t>
    <phoneticPr fontId="19" type="noConversion"/>
  </si>
  <si>
    <t>原住民及花東離島地區殯葬設施改善計畫</t>
    <phoneticPr fontId="19" type="noConversion"/>
  </si>
  <si>
    <t>地籍清理第2期實施計畫</t>
    <phoneticPr fontId="19" type="noConversion"/>
  </si>
  <si>
    <t>落實智慧國土-國土測繪圖資更新及維運計畫(地政司)</t>
    <phoneticPr fontId="19" type="noConversion"/>
  </si>
  <si>
    <t>開放地政跨域服務整合計畫</t>
    <phoneticPr fontId="19" type="noConversion"/>
  </si>
  <si>
    <t>補助臺東縣政府辦理蘭嶼鄉、綠島鄉民生物資平價營運計畫</t>
    <phoneticPr fontId="19" type="noConversion"/>
  </si>
  <si>
    <t>內政圖資整合應用計畫</t>
    <phoneticPr fontId="19" type="noConversion"/>
  </si>
  <si>
    <t>地籍圖重測後續計畫</t>
    <phoneticPr fontId="19" type="noConversion"/>
  </si>
  <si>
    <t>落實智慧國土-國土測繪圖資更新及維運計畫(國土測繪中心)</t>
    <phoneticPr fontId="19" type="noConversion"/>
  </si>
  <si>
    <t>營建署</t>
    <phoneticPr fontId="19" type="noConversion"/>
  </si>
  <si>
    <t>補助地方政府辦理土資場規劃設置</t>
    <phoneticPr fontId="19" type="noConversion"/>
  </si>
  <si>
    <t>永續智慧城市－智慧綠建築與社區推動方案</t>
    <phoneticPr fontId="19" type="noConversion"/>
  </si>
  <si>
    <t>執行建築物耐震能力補強方案</t>
    <phoneticPr fontId="19" type="noConversion"/>
  </si>
  <si>
    <t>辦理公共設施管線資料庫暨管理應用系統建置計畫</t>
    <phoneticPr fontId="19" type="noConversion"/>
  </si>
  <si>
    <t>城鎮風貌型塑整體計畫-城鎮風貌型塑計畫-補助「城鎮風貌型塑整體計畫」、「環境景觀總顧問」</t>
    <phoneticPr fontId="19" type="noConversion"/>
  </si>
  <si>
    <t>生活圈道路系統建設計畫</t>
    <phoneticPr fontId="19" type="noConversion"/>
  </si>
  <si>
    <t>污水下水道建設計畫</t>
    <phoneticPr fontId="19" type="noConversion"/>
  </si>
  <si>
    <t>城鄉發展分署</t>
    <phoneticPr fontId="19" type="noConversion"/>
  </si>
  <si>
    <t>花東地區養生休閒及人才東移推動計畫</t>
    <phoneticPr fontId="19" type="noConversion"/>
  </si>
  <si>
    <t>國家濕地保育（107-108年）實施計畫</t>
    <phoneticPr fontId="19" type="noConversion"/>
  </si>
  <si>
    <t>都市計畫書圖重製暨整合應用計畫</t>
    <phoneticPr fontId="19" type="noConversion"/>
  </si>
  <si>
    <t>內政部主管</t>
    <phoneticPr fontId="19" type="noConversion"/>
  </si>
  <si>
    <t>警政署及所屬</t>
    <phoneticPr fontId="19" type="noConversion"/>
  </si>
  <si>
    <t>精實警察制服方案</t>
    <phoneticPr fontId="19" type="noConversion"/>
  </si>
  <si>
    <t>消防署</t>
    <phoneticPr fontId="19" type="noConversion"/>
  </si>
  <si>
    <t>補助地方政府辦理災害防救演習</t>
    <phoneticPr fontId="19" type="noConversion"/>
  </si>
  <si>
    <t>災害防救深耕第3期計畫</t>
    <phoneticPr fontId="19" type="noConversion"/>
  </si>
  <si>
    <t>補助地方政府辦理居家燃氣熱水器具一氧化碳發生潛勢遷移更換等經費</t>
    <phoneticPr fontId="19" type="noConversion"/>
  </si>
  <si>
    <t>補助地方政府辦理推動設置住宅用火災警報器等經費</t>
    <phoneticPr fontId="19" type="noConversion"/>
  </si>
  <si>
    <t>精進消防救災裝備器材計畫</t>
    <phoneticPr fontId="19" type="noConversion"/>
  </si>
  <si>
    <t>補助澎湖縣充實離島消防救災能力等經費</t>
    <phoneticPr fontId="19" type="noConversion"/>
  </si>
  <si>
    <t>補助臺東縣提升救護專業及高級救護品質計畫</t>
    <phoneticPr fontId="19" type="noConversion"/>
  </si>
  <si>
    <t>補助澎湖縣充實緊急救災救護資訊設備經費</t>
    <phoneticPr fontId="19" type="noConversion"/>
  </si>
  <si>
    <t>補助花蓮縣防救災專用資通訊系統提升計畫</t>
    <phoneticPr fontId="19" type="noConversion"/>
  </si>
  <si>
    <t>義消組織充實人力與裝備器材計畫</t>
    <phoneticPr fontId="19" type="noConversion"/>
  </si>
  <si>
    <t>補助地方政府災害防救團體裝備器材等經費</t>
    <phoneticPr fontId="19" type="noConversion"/>
  </si>
  <si>
    <t>補助連江縣辦理義消救災技能人才培育訓練等經費</t>
    <phoneticPr fontId="19" type="noConversion"/>
  </si>
  <si>
    <t>提升119勤務指揮派遣系統功能2年中程計畫</t>
    <phoneticPr fontId="19" type="noConversion"/>
  </si>
  <si>
    <t>役政署</t>
    <phoneticPr fontId="19" type="noConversion"/>
  </si>
  <si>
    <t>役男新制體複檢</t>
    <phoneticPr fontId="19" type="noConversion"/>
  </si>
  <si>
    <t>軍人公墓管理維護及整修建工程</t>
    <phoneticPr fontId="19" type="noConversion"/>
  </si>
  <si>
    <t>在營軍人權益及其家屬生活扶慰助</t>
    <phoneticPr fontId="19" type="noConversion"/>
  </si>
  <si>
    <t>替代役役男入營輸送作業費及其家屬生活扶慰助</t>
    <phoneticPr fontId="19" type="noConversion"/>
  </si>
  <si>
    <t>補助地方政府辦理外籍與大陸配偶生活適應輔導實施計畫</t>
    <phoneticPr fontId="19" type="noConversion"/>
  </si>
  <si>
    <t>交通部主管</t>
    <phoneticPr fontId="19" type="noConversion"/>
  </si>
  <si>
    <t>交通部</t>
    <phoneticPr fontId="19" type="noConversion"/>
  </si>
  <si>
    <t>智慧運輸系統發展建設計畫</t>
    <phoneticPr fontId="19" type="noConversion"/>
  </si>
  <si>
    <t>道路交通安全</t>
    <phoneticPr fontId="19" type="noConversion"/>
  </si>
  <si>
    <t>地方政府汽車燃料使用費分配短少補助</t>
    <phoneticPr fontId="19" type="noConversion"/>
  </si>
  <si>
    <t>臺北都會區大眾捷運系統後續路網新莊及蘆洲支線建設計畫</t>
    <phoneticPr fontId="19" type="noConversion"/>
  </si>
  <si>
    <t>臺北捷運系統環狀線建設計畫(第一階段路線)</t>
    <phoneticPr fontId="19" type="noConversion"/>
  </si>
  <si>
    <t>臺北捷運系統信義線向東延伸規劃報告書暨周邊土地發展計畫</t>
    <phoneticPr fontId="19" type="noConversion"/>
  </si>
  <si>
    <t>臺北捷運系統萬大-中和-樹林線規劃報告書暨周邊土地發展計畫</t>
    <phoneticPr fontId="19" type="noConversion"/>
  </si>
  <si>
    <t>高雄都會區輕軌運輸系統高雄環狀輕軌捷運建設計畫</t>
    <phoneticPr fontId="19" type="noConversion"/>
  </si>
  <si>
    <t>交通運輸系統規劃作業計畫</t>
    <phoneticPr fontId="19" type="noConversion"/>
  </si>
  <si>
    <t>交通部(交管小組)</t>
    <phoneticPr fontId="19" type="noConversion"/>
  </si>
  <si>
    <t>補助縣市政府辦理交通船碼頭規劃設計、設施改善及疏浚工程</t>
    <phoneticPr fontId="19" type="noConversion"/>
  </si>
  <si>
    <t>臺東市富岡港交通船碼頭改善工程計畫</t>
    <phoneticPr fontId="19" type="noConversion"/>
  </si>
  <si>
    <t>鐵路改建工程局</t>
    <phoneticPr fontId="19" type="noConversion"/>
  </si>
  <si>
    <t>臺中都會區鐵路高架捷運化計畫</t>
    <phoneticPr fontId="19" type="noConversion"/>
  </si>
  <si>
    <t>高雄市區鐵路地下化計畫</t>
    <phoneticPr fontId="19" type="noConversion"/>
  </si>
  <si>
    <t>高雄鐵路地下化延伸鳯山計畫</t>
    <phoneticPr fontId="19" type="noConversion"/>
  </si>
  <si>
    <t>高雄鐵路地下化延伸左營計畫</t>
    <phoneticPr fontId="19" type="noConversion"/>
  </si>
  <si>
    <t>高速鐵路工程局</t>
    <phoneticPr fontId="19" type="noConversion"/>
  </si>
  <si>
    <t>臺中都會區大眾捷運系統烏日文心北屯線建設計畫</t>
    <phoneticPr fontId="19" type="noConversion"/>
  </si>
  <si>
    <t>航港局</t>
    <phoneticPr fontId="19" type="noConversion"/>
  </si>
  <si>
    <t>國內商港未來發展及建設計畫(106-110)-金門港埠建設計畫</t>
    <phoneticPr fontId="19" type="noConversion"/>
  </si>
  <si>
    <t>國內商港未來發展及建設計畫(106-110)-馬祖港埠建設計畫</t>
    <phoneticPr fontId="19" type="noConversion"/>
  </si>
  <si>
    <t>補助馬祖港埠拖船租賃及委外操作等經費</t>
    <phoneticPr fontId="19" type="noConversion"/>
  </si>
  <si>
    <t>離島綜合建設實施方案基本航次補貼、船舶維修、海運票價補貼等</t>
    <phoneticPr fontId="19" type="noConversion"/>
  </si>
  <si>
    <t>公路總局小計</t>
    <phoneticPr fontId="19" type="noConversion"/>
  </si>
  <si>
    <t>公路總局</t>
    <phoneticPr fontId="19" type="noConversion"/>
  </si>
  <si>
    <t>公路公共運輸多元推升計畫</t>
    <phoneticPr fontId="19" type="noConversion"/>
  </si>
  <si>
    <t>台9線蘇花公路山區路段改善計畫</t>
    <phoneticPr fontId="19" type="noConversion"/>
  </si>
  <si>
    <t>生活圈道路交通系統建設計畫(公路系統)4年(104-107)計畫</t>
    <phoneticPr fontId="19" type="noConversion"/>
  </si>
  <si>
    <t>金門大橋建設計畫</t>
    <phoneticPr fontId="19" type="noConversion"/>
  </si>
  <si>
    <r>
      <t>107年度</t>
    </r>
    <r>
      <rPr>
        <b/>
        <sz val="22"/>
        <rFont val="華康POP1體W7(P)"/>
        <family val="1"/>
        <charset val="136"/>
      </rPr>
      <t>中央對地方政府補助經費分配表(法定預算)(續一)</t>
    </r>
    <phoneticPr fontId="19" type="noConversion"/>
  </si>
  <si>
    <t>107年度中央對地方政府補助經費分配表(法定預算)(續完)</t>
    <phoneticPr fontId="19" type="noConversion"/>
  </si>
  <si>
    <t>地方政府統籌分配稅款短少補助</t>
    <phoneticPr fontId="19" type="noConversion"/>
  </si>
  <si>
    <t>V</t>
    <phoneticPr fontId="3" type="noConversion"/>
  </si>
  <si>
    <t>三、歲入歲出餘絀</t>
    <phoneticPr fontId="5" type="noConversion"/>
  </si>
  <si>
    <r>
      <t>9.</t>
    </r>
    <r>
      <rPr>
        <sz val="12"/>
        <rFont val="標楷體"/>
        <family val="4"/>
        <charset val="136"/>
      </rPr>
      <t>補助及其他支出</t>
    </r>
    <phoneticPr fontId="5" type="noConversion"/>
  </si>
  <si>
    <r>
      <t>8.</t>
    </r>
    <r>
      <rPr>
        <sz val="12"/>
        <rFont val="標楷體"/>
        <family val="4"/>
        <charset val="136"/>
      </rPr>
      <t>債務支出</t>
    </r>
    <phoneticPr fontId="5" type="noConversion"/>
  </si>
  <si>
    <r>
      <t>7.</t>
    </r>
    <r>
      <rPr>
        <sz val="12"/>
        <rFont val="標楷體"/>
        <family val="4"/>
        <charset val="136"/>
      </rPr>
      <t>退休撫卹支出</t>
    </r>
    <phoneticPr fontId="5" type="noConversion"/>
  </si>
  <si>
    <r>
      <t>6.</t>
    </r>
    <r>
      <rPr>
        <sz val="12"/>
        <rFont val="標楷體"/>
        <family val="4"/>
        <charset val="136"/>
      </rPr>
      <t>社區發展及環境保護支出</t>
    </r>
    <phoneticPr fontId="5" type="noConversion"/>
  </si>
  <si>
    <r>
      <t>5.</t>
    </r>
    <r>
      <rPr>
        <sz val="12"/>
        <rFont val="標楷體"/>
        <family val="4"/>
        <charset val="136"/>
      </rPr>
      <t>社會福利支出</t>
    </r>
    <phoneticPr fontId="5" type="noConversion"/>
  </si>
  <si>
    <r>
      <t>4.</t>
    </r>
    <r>
      <rPr>
        <sz val="12"/>
        <rFont val="標楷體"/>
        <family val="4"/>
        <charset val="136"/>
      </rPr>
      <t>經濟發展支出</t>
    </r>
    <phoneticPr fontId="5" type="noConversion"/>
  </si>
  <si>
    <r>
      <t>3.</t>
    </r>
    <r>
      <rPr>
        <sz val="12"/>
        <rFont val="標楷體"/>
        <family val="4"/>
        <charset val="136"/>
      </rPr>
      <t>教育科學文化支出</t>
    </r>
    <phoneticPr fontId="5" type="noConversion"/>
  </si>
  <si>
    <r>
      <t>2.</t>
    </r>
    <r>
      <rPr>
        <sz val="12"/>
        <rFont val="標楷體"/>
        <family val="4"/>
        <charset val="136"/>
      </rPr>
      <t>國防支出</t>
    </r>
    <phoneticPr fontId="5" type="noConversion"/>
  </si>
  <si>
    <r>
      <t>1.</t>
    </r>
    <r>
      <rPr>
        <sz val="12"/>
        <rFont val="標楷體"/>
        <family val="4"/>
        <charset val="136"/>
      </rPr>
      <t>一般政務支出</t>
    </r>
    <phoneticPr fontId="3" type="noConversion"/>
  </si>
  <si>
    <t>二、歲出合計</t>
    <phoneticPr fontId="3" type="noConversion"/>
  </si>
  <si>
    <r>
      <t>5.</t>
    </r>
    <r>
      <rPr>
        <sz val="12"/>
        <rFont val="標楷體"/>
        <family val="4"/>
        <charset val="136"/>
      </rPr>
      <t>其他收入</t>
    </r>
    <phoneticPr fontId="4" type="noConversion"/>
  </si>
  <si>
    <r>
      <t>4.</t>
    </r>
    <r>
      <rPr>
        <sz val="12"/>
        <rFont val="標楷體"/>
        <family val="4"/>
        <charset val="136"/>
      </rPr>
      <t>財產收入</t>
    </r>
    <phoneticPr fontId="5" type="noConversion"/>
  </si>
  <si>
    <r>
      <t>3.</t>
    </r>
    <r>
      <rPr>
        <sz val="12"/>
        <rFont val="標楷體"/>
        <family val="4"/>
        <charset val="136"/>
      </rPr>
      <t>規費及罰鍰收入</t>
    </r>
    <phoneticPr fontId="4" type="noConversion"/>
  </si>
  <si>
    <r>
      <t>2.</t>
    </r>
    <r>
      <rPr>
        <sz val="12"/>
        <rFont val="標楷體"/>
        <family val="4"/>
        <charset val="136"/>
      </rPr>
      <t>營業盈餘及事業收入</t>
    </r>
    <phoneticPr fontId="4" type="noConversion"/>
  </si>
  <si>
    <r>
      <t>1.</t>
    </r>
    <r>
      <rPr>
        <sz val="12"/>
        <rFont val="標楷體"/>
        <family val="4"/>
        <charset val="136"/>
      </rPr>
      <t>稅課及專賣收入</t>
    </r>
    <phoneticPr fontId="5" type="noConversion"/>
  </si>
  <si>
    <t>一、歲入合計</t>
    <phoneticPr fontId="5" type="noConversion"/>
  </si>
  <si>
    <t>與GBA勾稽</t>
    <phoneticPr fontId="3" type="noConversion"/>
  </si>
  <si>
    <t>與一科勾稽</t>
    <phoneticPr fontId="3" type="noConversion"/>
  </si>
  <si>
    <t>106-105差異(法)</t>
    <phoneticPr fontId="5" type="noConversion"/>
  </si>
  <si>
    <t>105年總預算(法)</t>
    <phoneticPr fontId="5" type="noConversion"/>
  </si>
  <si>
    <t>105年合計(法)</t>
    <phoneticPr fontId="5" type="noConversion"/>
  </si>
  <si>
    <t>減前瞻基礎建設特別預算計畫型補助款</t>
    <phoneticPr fontId="5" type="noConversion"/>
  </si>
  <si>
    <t>減流域治理特別預算計畫型補助款</t>
    <phoneticPr fontId="5" type="noConversion"/>
  </si>
  <si>
    <t>減營業稅調降及土增稅</t>
    <phoneticPr fontId="5" type="noConversion"/>
  </si>
  <si>
    <t>減計畫型補助款</t>
    <phoneticPr fontId="5" type="noConversion"/>
  </si>
  <si>
    <t>地方原應負擔之健勞保保費改由中央負擔</t>
    <phoneticPr fontId="5" type="noConversion"/>
  </si>
  <si>
    <r>
      <t>減一般性及專案補助款</t>
    </r>
    <r>
      <rPr>
        <sz val="12"/>
        <rFont val="Times New Roman"/>
        <family val="1"/>
      </rPr>
      <t/>
    </r>
    <phoneticPr fontId="5" type="noConversion"/>
  </si>
  <si>
    <r>
      <t>106</t>
    </r>
    <r>
      <rPr>
        <sz val="12"/>
        <rFont val="標楷體"/>
        <family val="4"/>
        <charset val="136"/>
      </rPr>
      <t>年前瞻基礎建設特別預算</t>
    </r>
    <phoneticPr fontId="5" type="noConversion"/>
  </si>
  <si>
    <r>
      <t>106</t>
    </r>
    <r>
      <rPr>
        <sz val="12"/>
        <rFont val="標楷體"/>
        <family val="4"/>
        <charset val="136"/>
      </rPr>
      <t>年流域治理特別預算</t>
    </r>
    <phoneticPr fontId="5" type="noConversion"/>
  </si>
  <si>
    <r>
      <t>106</t>
    </r>
    <r>
      <rPr>
        <sz val="12"/>
        <rFont val="標楷體"/>
        <family val="4"/>
        <charset val="136"/>
      </rPr>
      <t>年總預算</t>
    </r>
    <phoneticPr fontId="3" type="noConversion"/>
  </si>
  <si>
    <t>合計</t>
    <phoneticPr fontId="5" type="noConversion"/>
  </si>
  <si>
    <t>項目</t>
    <phoneticPr fontId="3" type="noConversion"/>
  </si>
  <si>
    <t>淨收支之計算，中央支出扣除補助支出。地方收入扣除補助及協助收入。</t>
    <phoneticPr fontId="5" type="noConversion"/>
  </si>
  <si>
    <t>單位：新台幣百萬元</t>
    <phoneticPr fontId="5" type="noConversion"/>
  </si>
  <si>
    <r>
      <t>中央底稿</t>
    </r>
    <r>
      <rPr>
        <b/>
        <sz val="18"/>
        <rFont val="Times New Roman"/>
        <family val="1"/>
      </rPr>
      <t>(106</t>
    </r>
    <r>
      <rPr>
        <b/>
        <sz val="18"/>
        <rFont val="Times New Roman"/>
        <family val="1"/>
      </rPr>
      <t>)</t>
    </r>
    <phoneticPr fontId="3" type="noConversion"/>
  </si>
  <si>
    <t xml:space="preserve">            2.</t>
    <phoneticPr fontId="5" type="noConversion"/>
  </si>
  <si>
    <r>
      <t>本表包括總預算、追加</t>
    </r>
    <r>
      <rPr>
        <sz val="12"/>
        <rFont val="新細明體"/>
        <family val="1"/>
        <charset val="136"/>
      </rPr>
      <t>(減)預算及特別預算，並扣除各級政府彼此間補助及協助等重複收支數。　　　</t>
    </r>
    <phoneticPr fontId="5" type="noConversion"/>
  </si>
  <si>
    <r>
      <t>說明：</t>
    </r>
    <r>
      <rPr>
        <sz val="12"/>
        <rFont val="Times New Roman"/>
        <family val="1"/>
      </rPr>
      <t>1.</t>
    </r>
    <phoneticPr fontId="5" type="noConversion"/>
  </si>
  <si>
    <r>
      <t xml:space="preserve">    </t>
    </r>
    <r>
      <rPr>
        <sz val="12"/>
        <rFont val="新細明體"/>
        <family val="1"/>
        <charset val="136"/>
      </rPr>
      <t>9.</t>
    </r>
    <r>
      <rPr>
        <sz val="12"/>
        <rFont val="新細明體"/>
        <family val="1"/>
        <charset val="136"/>
      </rPr>
      <t>補助及其他支出</t>
    </r>
    <phoneticPr fontId="5" type="noConversion"/>
  </si>
  <si>
    <r>
      <t xml:space="preserve">    </t>
    </r>
    <r>
      <rPr>
        <sz val="12"/>
        <rFont val="新細明體"/>
        <family val="1"/>
        <charset val="136"/>
      </rPr>
      <t>8.</t>
    </r>
    <r>
      <rPr>
        <sz val="12"/>
        <rFont val="新細明體"/>
        <family val="1"/>
        <charset val="136"/>
      </rPr>
      <t>債務支出</t>
    </r>
    <phoneticPr fontId="5" type="noConversion"/>
  </si>
  <si>
    <r>
      <t xml:space="preserve">    </t>
    </r>
    <r>
      <rPr>
        <sz val="12"/>
        <rFont val="新細明體"/>
        <family val="1"/>
        <charset val="136"/>
      </rPr>
      <t>7.</t>
    </r>
    <r>
      <rPr>
        <sz val="12"/>
        <rFont val="新細明體"/>
        <family val="1"/>
        <charset val="136"/>
      </rPr>
      <t>退休撫卹支出</t>
    </r>
    <phoneticPr fontId="5" type="noConversion"/>
  </si>
  <si>
    <r>
      <t xml:space="preserve">    </t>
    </r>
    <r>
      <rPr>
        <sz val="12"/>
        <rFont val="新細明體"/>
        <family val="1"/>
        <charset val="136"/>
      </rPr>
      <t>6.</t>
    </r>
    <r>
      <rPr>
        <sz val="12"/>
        <rFont val="新細明體"/>
        <family val="1"/>
        <charset val="136"/>
      </rPr>
      <t>社區發展及環境保護支出</t>
    </r>
    <phoneticPr fontId="5" type="noConversion"/>
  </si>
  <si>
    <r>
      <t xml:space="preserve">    </t>
    </r>
    <r>
      <rPr>
        <sz val="12"/>
        <rFont val="新細明體"/>
        <family val="1"/>
        <charset val="136"/>
      </rPr>
      <t>5.</t>
    </r>
    <r>
      <rPr>
        <sz val="12"/>
        <rFont val="新細明體"/>
        <family val="1"/>
        <charset val="136"/>
      </rPr>
      <t>社會福利支出</t>
    </r>
    <phoneticPr fontId="5" type="noConversion"/>
  </si>
  <si>
    <r>
      <t xml:space="preserve">    </t>
    </r>
    <r>
      <rPr>
        <sz val="12"/>
        <rFont val="新細明體"/>
        <family val="1"/>
        <charset val="136"/>
      </rPr>
      <t>4.</t>
    </r>
    <r>
      <rPr>
        <sz val="12"/>
        <rFont val="新細明體"/>
        <family val="1"/>
        <charset val="136"/>
      </rPr>
      <t>經濟發展支出</t>
    </r>
    <phoneticPr fontId="5" type="noConversion"/>
  </si>
  <si>
    <r>
      <t xml:space="preserve">    </t>
    </r>
    <r>
      <rPr>
        <sz val="12"/>
        <rFont val="新細明體"/>
        <family val="1"/>
        <charset val="136"/>
      </rPr>
      <t>3.</t>
    </r>
    <r>
      <rPr>
        <sz val="12"/>
        <rFont val="新細明體"/>
        <family val="1"/>
        <charset val="136"/>
      </rPr>
      <t>教育科學文化支出</t>
    </r>
    <phoneticPr fontId="5" type="noConversion"/>
  </si>
  <si>
    <r>
      <t xml:space="preserve">    </t>
    </r>
    <r>
      <rPr>
        <sz val="12"/>
        <rFont val="新細明體"/>
        <family val="1"/>
        <charset val="136"/>
      </rPr>
      <t>2.</t>
    </r>
    <r>
      <rPr>
        <sz val="12"/>
        <rFont val="新細明體"/>
        <family val="1"/>
        <charset val="136"/>
      </rPr>
      <t>國防支出</t>
    </r>
    <phoneticPr fontId="5" type="noConversion"/>
  </si>
  <si>
    <r>
      <t xml:space="preserve">    </t>
    </r>
    <r>
      <rPr>
        <sz val="12"/>
        <rFont val="新細明體"/>
        <family val="1"/>
        <charset val="136"/>
      </rPr>
      <t>1.</t>
    </r>
    <r>
      <rPr>
        <sz val="12"/>
        <rFont val="新細明體"/>
        <family val="1"/>
        <charset val="136"/>
      </rPr>
      <t>一般政務支出</t>
    </r>
    <phoneticPr fontId="3" type="noConversion"/>
  </si>
  <si>
    <r>
      <t xml:space="preserve">    </t>
    </r>
    <r>
      <rPr>
        <sz val="12"/>
        <rFont val="新細明體"/>
        <family val="1"/>
        <charset val="136"/>
      </rPr>
      <t>5.</t>
    </r>
    <r>
      <rPr>
        <sz val="12"/>
        <rFont val="新細明體"/>
        <family val="1"/>
        <charset val="136"/>
      </rPr>
      <t>其他收入</t>
    </r>
    <phoneticPr fontId="4" type="noConversion"/>
  </si>
  <si>
    <r>
      <t xml:space="preserve">    </t>
    </r>
    <r>
      <rPr>
        <sz val="12"/>
        <rFont val="新細明體"/>
        <family val="1"/>
        <charset val="136"/>
      </rPr>
      <t>4.</t>
    </r>
    <r>
      <rPr>
        <sz val="12"/>
        <rFont val="新細明體"/>
        <family val="1"/>
        <charset val="136"/>
      </rPr>
      <t>財產收入</t>
    </r>
    <phoneticPr fontId="5" type="noConversion"/>
  </si>
  <si>
    <r>
      <t xml:space="preserve">    </t>
    </r>
    <r>
      <rPr>
        <sz val="12"/>
        <rFont val="新細明體"/>
        <family val="1"/>
        <charset val="136"/>
      </rPr>
      <t>3.</t>
    </r>
    <r>
      <rPr>
        <sz val="12"/>
        <rFont val="新細明體"/>
        <family val="1"/>
        <charset val="136"/>
      </rPr>
      <t>規費及罰鍰收入</t>
    </r>
    <phoneticPr fontId="4" type="noConversion"/>
  </si>
  <si>
    <r>
      <t xml:space="preserve">    </t>
    </r>
    <r>
      <rPr>
        <sz val="12"/>
        <rFont val="新細明體"/>
        <family val="1"/>
        <charset val="136"/>
      </rPr>
      <t>2.</t>
    </r>
    <r>
      <rPr>
        <sz val="12"/>
        <rFont val="新細明體"/>
        <family val="1"/>
        <charset val="136"/>
      </rPr>
      <t>營業盈餘及事業收入</t>
    </r>
    <phoneticPr fontId="4" type="noConversion"/>
  </si>
  <si>
    <r>
      <t xml:space="preserve">    </t>
    </r>
    <r>
      <rPr>
        <sz val="12"/>
        <rFont val="新細明體"/>
        <family val="1"/>
        <charset val="136"/>
      </rPr>
      <t>1.</t>
    </r>
    <r>
      <rPr>
        <sz val="12"/>
        <rFont val="新細明體"/>
        <family val="1"/>
        <charset val="136"/>
      </rPr>
      <t>稅課及專賣收入</t>
    </r>
    <phoneticPr fontId="5" type="noConversion"/>
  </si>
  <si>
    <t>比　　較</t>
    <phoneticPr fontId="5" type="noConversion"/>
  </si>
  <si>
    <t>上年度預算數</t>
    <phoneticPr fontId="3" type="noConversion"/>
  </si>
  <si>
    <t>本年度預算數</t>
    <phoneticPr fontId="3" type="noConversion"/>
  </si>
  <si>
    <t>項                    目</t>
    <phoneticPr fontId="3" type="noConversion"/>
  </si>
  <si>
    <t>各級政府淨收支比較總表</t>
    <phoneticPr fontId="3" type="noConversion"/>
  </si>
  <si>
    <t xml:space="preserve">     中央政府總預算</t>
    <phoneticPr fontId="5" type="noConversion"/>
  </si>
  <si>
    <t>參考表11</t>
    <phoneticPr fontId="5" type="noConversion"/>
  </si>
  <si>
    <t xml:space="preserve">        中華民國111年度</t>
    <phoneticPr fontId="3" type="noConversion"/>
  </si>
  <si>
    <t>本表中央政府部分，110年度包括總預算、新式戰機採購特別預算、前瞻基礎建設計畫第3期特別預算與嚴重特殊傳染性肺炎防治及紓困振興特別預算(含第1次至第4次追加預算)，111年度包括總預算、新式戰機採購特別預算、前瞻基礎建設計畫第3期特別預算、嚴重特殊傳染性肺炎防治及紓困振興特別預算第3次及第4次追加預算以及海空戰力提升計畫採購特別預算。</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</si>
</sst>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1" formatCode="_-* #,##0_-;\-* #,##0_-;_-* &quot;-&quot;_-;_-@_-"/>
    <numFmt numFmtId="43" formatCode="_-* #,##0.00_-;\-* #,##0.00_-;_-* &quot;-&quot;??_-;_-@_-"/>
    <numFmt numFmtId="176" formatCode="0.00_ "/>
    <numFmt numFmtId="177" formatCode="#,##0.00_ "/>
    <numFmt numFmtId="178" formatCode="#,##0.0_ "/>
    <numFmt numFmtId="179" formatCode="#,##0_ "/>
    <numFmt numFmtId="180" formatCode="_-* #,##0_-;\-* #,##0_-;_-* &quot;-&quot;??_-;_-@_-"/>
    <numFmt numFmtId="181" formatCode="0.0_ "/>
    <numFmt numFmtId="182" formatCode="#,##0;[Red]#,##0"/>
    <numFmt numFmtId="183" formatCode="General_)"/>
    <numFmt numFmtId="184" formatCode="0.00_)"/>
    <numFmt numFmtId="185" formatCode="0.0_);[Red]\(0.0\)"/>
    <numFmt numFmtId="186" formatCode="_-* #,##0.00_-;\-* #,##0.00_-;_-* &quot;-&quot;_-;_-@_-"/>
    <numFmt numFmtId="187" formatCode="m&quot;月&quot;d&quot;日&quot;"/>
    <numFmt numFmtId="188" formatCode="#,##0;\-#,##0;&quot;-&quot;"/>
    <numFmt numFmtId="189" formatCode="m/d/yyyy"/>
    <numFmt numFmtId="190" formatCode="#\ ##0_-;\-#\ ##0_-;_-0_-;_-@_ "/>
    <numFmt numFmtId="191" formatCode="#\ ##0.0_-;\-#\ ##0.0_-;_-0.0_-;_-@_ "/>
    <numFmt numFmtId="192" formatCode="_(&quot;$&quot;* #,##0_);_(&quot;$&quot;* \(#,##0\);_(&quot;$&quot;* &quot;-&quot;_);_(@_)"/>
    <numFmt numFmtId="193" formatCode="_-* ###\ ###\ ##0_-;_-* \-###\ ###\ ##0_-;_-* &quot;－&quot;_-;_-@_-"/>
    <numFmt numFmtId="194" formatCode="_-* ###\ ##0_-;_-* \-###\ ##0_-;_-* &quot;－&quot;_-;_-@_-"/>
    <numFmt numFmtId="195" formatCode="_-* ###\ ##0.0_-;_-* \-###\ ##0.0_-;_-* &quot;－&quot;_-;_-@_-"/>
    <numFmt numFmtId="196" formatCode="#,##0\ "/>
    <numFmt numFmtId="197" formatCode="#,##0_);[Red]\(#,##0\)"/>
    <numFmt numFmtId="198" formatCode="0_);[Red]\(0\)"/>
    <numFmt numFmtId="199" formatCode="#,##0.00&quot; &quot;;&quot;-&quot;#,##0.00&quot; &quot;;&quot; -&quot;00&quot; &quot;;@&quot; &quot;"/>
  </numFmts>
  <fonts count="132">
    <font>
      <sz val="12"/>
      <name val="新細明體"/>
      <family val="1"/>
      <charset val="136"/>
    </font>
    <font>
      <sz val="12"/>
      <name val="新細明體"/>
      <family val="1"/>
      <charset val="136"/>
    </font>
    <font>
      <sz val="12"/>
      <name val="Times New Roman"/>
      <family val="1"/>
    </font>
    <font>
      <sz val="9"/>
      <name val="新細明體"/>
      <family val="1"/>
      <charset val="136"/>
    </font>
    <font>
      <sz val="9"/>
      <name val="細明體"/>
      <family val="3"/>
      <charset val="136"/>
    </font>
    <font>
      <b/>
      <sz val="14"/>
      <name val="新細明體"/>
      <family val="1"/>
      <charset val="136"/>
    </font>
    <font>
      <sz val="16"/>
      <name val="標楷體"/>
      <family val="4"/>
      <charset val="136"/>
    </font>
    <font>
      <sz val="12"/>
      <name val="標楷體"/>
      <family val="4"/>
      <charset val="136"/>
    </font>
    <font>
      <sz val="16"/>
      <name val="Times New Roman"/>
      <family val="1"/>
    </font>
    <font>
      <sz val="10"/>
      <name val="Times New Roman"/>
      <family val="1"/>
    </font>
    <font>
      <sz val="12"/>
      <name val="新細明體"/>
      <family val="1"/>
      <charset val="136"/>
    </font>
    <font>
      <sz val="14"/>
      <color indexed="8"/>
      <name val="新細明體"/>
      <family val="1"/>
      <charset val="136"/>
    </font>
    <font>
      <b/>
      <sz val="18"/>
      <name val="新細明體"/>
      <family val="1"/>
      <charset val="136"/>
    </font>
    <font>
      <sz val="16"/>
      <name val="新細明體"/>
      <family val="1"/>
      <charset val="136"/>
    </font>
    <font>
      <sz val="10"/>
      <name val="新細明體"/>
      <family val="1"/>
      <charset val="136"/>
    </font>
    <font>
      <sz val="11"/>
      <name val="Times New Roman"/>
      <family val="1"/>
    </font>
    <font>
      <sz val="12"/>
      <name val="Courier"/>
      <family val="3"/>
    </font>
    <font>
      <b/>
      <i/>
      <sz val="16"/>
      <name val="Helv"/>
      <family val="2"/>
    </font>
    <font>
      <sz val="10"/>
      <name val="Arial"/>
      <family val="2"/>
    </font>
    <font>
      <b/>
      <sz val="12"/>
      <name val="標楷體"/>
      <family val="4"/>
      <charset val="136"/>
    </font>
    <font>
      <b/>
      <sz val="10"/>
      <name val="標楷體"/>
      <family val="4"/>
      <charset val="136"/>
    </font>
    <font>
      <sz val="10"/>
      <name val="標楷體"/>
      <family val="4"/>
      <charset val="136"/>
    </font>
    <font>
      <sz val="9"/>
      <name val="標楷體"/>
      <family val="4"/>
      <charset val="136"/>
    </font>
    <font>
      <b/>
      <sz val="10"/>
      <name val="Times New Roman"/>
      <family val="1"/>
    </font>
    <font>
      <sz val="12"/>
      <color indexed="8"/>
      <name val="新細明體"/>
      <family val="1"/>
      <charset val="136"/>
    </font>
    <font>
      <sz val="9"/>
      <color indexed="81"/>
      <name val="新細明體"/>
      <family val="1"/>
      <charset val="136"/>
    </font>
    <font>
      <b/>
      <sz val="9"/>
      <color indexed="81"/>
      <name val="新細明體"/>
      <family val="1"/>
      <charset val="136"/>
    </font>
    <font>
      <b/>
      <sz val="22"/>
      <name val="華康POP1體W7(P)"/>
      <family val="1"/>
      <charset val="136"/>
    </font>
    <font>
      <sz val="10"/>
      <color indexed="10"/>
      <name val="Times New Roman"/>
      <family val="1"/>
    </font>
    <font>
      <sz val="22"/>
      <name val="華康POP1體W7(P)"/>
      <family val="1"/>
      <charset val="136"/>
    </font>
    <font>
      <sz val="10"/>
      <color indexed="10"/>
      <name val="標楷體"/>
      <family val="4"/>
      <charset val="136"/>
    </font>
    <font>
      <sz val="12"/>
      <color indexed="10"/>
      <name val="標楷體"/>
      <family val="4"/>
      <charset val="136"/>
    </font>
    <font>
      <sz val="12"/>
      <color indexed="42"/>
      <name val="新細明體"/>
      <family val="1"/>
      <charset val="136"/>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62"/>
      <name val="新細明體"/>
      <family val="1"/>
      <charset val="136"/>
    </font>
    <font>
      <b/>
      <sz val="15"/>
      <color indexed="62"/>
      <name val="新細明體"/>
      <family val="1"/>
      <charset val="136"/>
    </font>
    <font>
      <b/>
      <sz val="13"/>
      <color indexed="62"/>
      <name val="新細明體"/>
      <family val="1"/>
      <charset val="136"/>
    </font>
    <font>
      <b/>
      <sz val="11"/>
      <color indexed="62"/>
      <name val="新細明體"/>
      <family val="1"/>
      <charset val="136"/>
    </font>
    <font>
      <sz val="12"/>
      <color indexed="62"/>
      <name val="新細明體"/>
      <family val="1"/>
      <charset val="136"/>
    </font>
    <font>
      <b/>
      <sz val="12"/>
      <color indexed="63"/>
      <name val="新細明體"/>
      <family val="1"/>
      <charset val="136"/>
    </font>
    <font>
      <b/>
      <sz val="12"/>
      <color indexed="42"/>
      <name val="新細明體"/>
      <family val="1"/>
      <charset val="136"/>
    </font>
    <font>
      <sz val="12"/>
      <color indexed="20"/>
      <name val="新細明體"/>
      <family val="1"/>
      <charset val="136"/>
    </font>
    <font>
      <sz val="12"/>
      <color indexed="10"/>
      <name val="新細明體"/>
      <family val="1"/>
      <charset val="136"/>
    </font>
    <font>
      <b/>
      <sz val="10"/>
      <color indexed="8"/>
      <name val="Times New Roman"/>
      <family val="1"/>
    </font>
    <font>
      <sz val="10"/>
      <name val="Helv"/>
      <family val="2"/>
    </font>
    <font>
      <sz val="16"/>
      <color indexed="10"/>
      <name val="標楷體"/>
      <family val="4"/>
      <charset val="136"/>
    </font>
    <font>
      <sz val="16"/>
      <color indexed="10"/>
      <name val="Times New Roman"/>
      <family val="1"/>
    </font>
    <font>
      <sz val="10"/>
      <color indexed="12"/>
      <name val="Times New Roman"/>
      <family val="1"/>
    </font>
    <font>
      <sz val="12"/>
      <color indexed="12"/>
      <name val="Times New Roman"/>
      <family val="1"/>
    </font>
    <font>
      <sz val="12"/>
      <color indexed="12"/>
      <name val="標楷體"/>
      <family val="4"/>
      <charset val="136"/>
    </font>
    <font>
      <b/>
      <sz val="22"/>
      <color indexed="10"/>
      <name val="華康POP1體W7(P)"/>
      <family val="1"/>
      <charset val="136"/>
    </font>
    <font>
      <sz val="12"/>
      <color indexed="57"/>
      <name val="標楷體"/>
      <family val="4"/>
      <charset val="136"/>
    </font>
    <font>
      <sz val="10"/>
      <color indexed="12"/>
      <name val="標楷體"/>
      <family val="4"/>
      <charset val="136"/>
    </font>
    <font>
      <sz val="10"/>
      <color indexed="14"/>
      <name val="Times New Roman"/>
      <family val="1"/>
    </font>
    <font>
      <b/>
      <sz val="10"/>
      <color indexed="14"/>
      <name val="Times New Roman"/>
      <family val="1"/>
    </font>
    <font>
      <sz val="10"/>
      <color indexed="8"/>
      <name val="Times New Roman"/>
      <family val="1"/>
    </font>
    <font>
      <b/>
      <sz val="10"/>
      <color indexed="12"/>
      <name val="Times New Roman"/>
      <family val="1"/>
    </font>
    <font>
      <b/>
      <sz val="10"/>
      <color indexed="10"/>
      <name val="Times New Roman"/>
      <family val="1"/>
    </font>
    <font>
      <b/>
      <sz val="12"/>
      <color indexed="10"/>
      <name val="Times New Roman"/>
      <family val="1"/>
    </font>
    <font>
      <b/>
      <sz val="10"/>
      <color indexed="10"/>
      <name val="標楷體"/>
      <family val="4"/>
      <charset val="136"/>
    </font>
    <font>
      <sz val="10"/>
      <color indexed="14"/>
      <name val="標楷體"/>
      <family val="4"/>
      <charset val="136"/>
    </font>
    <font>
      <sz val="10"/>
      <color indexed="17"/>
      <name val="Times New Roman"/>
      <family val="1"/>
    </font>
    <font>
      <b/>
      <sz val="20"/>
      <name val="華康POP1體W7(P)"/>
      <family val="1"/>
      <charset val="136"/>
    </font>
    <font>
      <sz val="10"/>
      <color indexed="57"/>
      <name val="Times New Roman"/>
      <family val="1"/>
    </font>
    <font>
      <b/>
      <sz val="20"/>
      <color indexed="10"/>
      <name val="華康POP1體W7(P)"/>
      <family val="1"/>
      <charset val="136"/>
    </font>
    <font>
      <b/>
      <sz val="11"/>
      <name val="Times New Roman"/>
      <family val="1"/>
    </font>
    <font>
      <b/>
      <sz val="16"/>
      <color indexed="10"/>
      <name val="細明體"/>
      <family val="3"/>
      <charset val="136"/>
    </font>
    <font>
      <b/>
      <sz val="16"/>
      <color indexed="10"/>
      <name val="Times New Roman"/>
      <family val="1"/>
    </font>
    <font>
      <b/>
      <sz val="18"/>
      <name val="標楷體"/>
      <family val="4"/>
      <charset val="136"/>
    </font>
    <font>
      <b/>
      <sz val="18"/>
      <name val="Times New Roman"/>
      <family val="1"/>
    </font>
    <font>
      <b/>
      <sz val="12"/>
      <name val="Times New Roman"/>
      <family val="1"/>
    </font>
    <font>
      <b/>
      <sz val="12"/>
      <color indexed="10"/>
      <name val="標楷體"/>
      <family val="4"/>
      <charset val="136"/>
    </font>
    <font>
      <b/>
      <sz val="12"/>
      <color indexed="10"/>
      <name val="細明體"/>
      <family val="3"/>
      <charset val="136"/>
    </font>
    <font>
      <b/>
      <sz val="12"/>
      <color indexed="81"/>
      <name val="新細明體"/>
      <family val="1"/>
      <charset val="136"/>
    </font>
    <font>
      <sz val="12"/>
      <color indexed="81"/>
      <name val="新細明體"/>
      <family val="1"/>
      <charset val="136"/>
    </font>
    <font>
      <sz val="12"/>
      <color indexed="10"/>
      <name val="Times New Roman"/>
      <family val="1"/>
    </font>
    <font>
      <sz val="9"/>
      <name val="華康細明體"/>
      <family val="3"/>
      <charset val="136"/>
    </font>
    <font>
      <sz val="7.5"/>
      <name val="Century Schoolbook"/>
      <family val="1"/>
    </font>
    <font>
      <sz val="10"/>
      <color indexed="63"/>
      <name val="Verdana"/>
      <family val="2"/>
    </font>
    <font>
      <sz val="10"/>
      <color indexed="8"/>
      <name val="Verdana"/>
      <family val="2"/>
    </font>
    <font>
      <b/>
      <sz val="10"/>
      <color indexed="9"/>
      <name val="Verdana"/>
      <family val="2"/>
    </font>
    <font>
      <b/>
      <sz val="10"/>
      <color indexed="63"/>
      <name val="Verdana"/>
      <family val="2"/>
    </font>
    <font>
      <sz val="10"/>
      <color indexed="9"/>
      <name val="Arial"/>
      <family val="2"/>
    </font>
    <font>
      <sz val="10"/>
      <color indexed="9"/>
      <name val="Verdana"/>
      <family val="2"/>
    </font>
    <font>
      <sz val="10"/>
      <color indexed="8"/>
      <name val="Arial"/>
      <family val="2"/>
    </font>
    <font>
      <sz val="14"/>
      <color indexed="17"/>
      <name val="標楷體"/>
      <family val="4"/>
      <charset val="136"/>
    </font>
    <font>
      <sz val="12"/>
      <name val="圖龍細楷"/>
      <family val="3"/>
      <charset val="136"/>
    </font>
    <font>
      <sz val="14"/>
      <color indexed="20"/>
      <name val="標楷體"/>
      <family val="4"/>
      <charset val="136"/>
    </font>
    <font>
      <b/>
      <sz val="12"/>
      <color indexed="10"/>
      <name val="新細明體"/>
      <family val="1"/>
      <charset val="136"/>
    </font>
    <font>
      <b/>
      <sz val="9"/>
      <color indexed="10"/>
      <name val="Arial"/>
      <family val="2"/>
    </font>
    <font>
      <sz val="12"/>
      <name val="細明體"/>
      <family val="3"/>
      <charset val="136"/>
    </font>
    <font>
      <sz val="12"/>
      <color indexed="8"/>
      <name val="Arial"/>
      <family val="2"/>
    </font>
    <font>
      <sz val="10"/>
      <color indexed="8"/>
      <name val="標楷體"/>
      <family val="4"/>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
      <b/>
      <sz val="10"/>
      <name val="細明體"/>
      <family val="3"/>
      <charset val="136"/>
    </font>
    <font>
      <sz val="10"/>
      <color indexed="8"/>
      <name val="新細明體"/>
      <family val="1"/>
      <charset val="136"/>
    </font>
    <font>
      <sz val="14"/>
      <color indexed="8"/>
      <name val="標楷體"/>
      <family val="4"/>
      <charset val="136"/>
    </font>
    <font>
      <b/>
      <sz val="16"/>
      <name val="標楷體"/>
      <family val="4"/>
      <charset val="136"/>
    </font>
    <font>
      <sz val="14"/>
      <name val="標楷體"/>
      <family val="4"/>
      <charset val="136"/>
    </font>
    <font>
      <sz val="13"/>
      <name val="Arial"/>
      <family val="2"/>
    </font>
    <font>
      <sz val="14"/>
      <color indexed="81"/>
      <name val="細明體"/>
      <family val="3"/>
      <charset val="136"/>
    </font>
    <font>
      <sz val="11"/>
      <name val="標楷體"/>
      <family val="4"/>
      <charset val="136"/>
    </font>
    <font>
      <sz val="10"/>
      <name val="細明體"/>
      <family val="3"/>
      <charset val="136"/>
    </font>
    <font>
      <sz val="22"/>
      <name val="Times New Roman"/>
      <family val="1"/>
    </font>
    <font>
      <b/>
      <sz val="10"/>
      <name val="華康POP1體W7(P)"/>
      <family val="1"/>
      <charset val="136"/>
    </font>
    <font>
      <b/>
      <sz val="11"/>
      <name val="標楷體"/>
      <family val="4"/>
      <charset val="136"/>
    </font>
    <font>
      <sz val="8"/>
      <color indexed="10"/>
      <name val="標楷體"/>
      <family val="4"/>
      <charset val="136"/>
    </font>
    <font>
      <sz val="10"/>
      <name val="微軟正黑體"/>
      <family val="2"/>
      <charset val="136"/>
    </font>
    <font>
      <b/>
      <sz val="12"/>
      <name val="新細明體"/>
      <family val="1"/>
      <charset val="136"/>
    </font>
    <font>
      <b/>
      <sz val="22"/>
      <name val="標楷體"/>
      <family val="4"/>
      <charset val="136"/>
    </font>
    <font>
      <sz val="12"/>
      <name val="微軟正黑體"/>
      <family val="2"/>
      <charset val="136"/>
    </font>
    <font>
      <strike/>
      <sz val="10"/>
      <name val="標楷體"/>
      <family val="4"/>
      <charset val="136"/>
    </font>
    <font>
      <strike/>
      <sz val="10"/>
      <color indexed="8"/>
      <name val="標楷體"/>
      <family val="4"/>
      <charset val="136"/>
    </font>
    <font>
      <sz val="12"/>
      <color rgb="FFFF0000"/>
      <name val="Times New Roman"/>
      <family val="1"/>
    </font>
    <font>
      <b/>
      <sz val="10"/>
      <color rgb="FFFF0000"/>
      <name val="Times New Roman"/>
      <family val="1"/>
    </font>
    <font>
      <sz val="10"/>
      <color rgb="FFFF0000"/>
      <name val="細明體"/>
      <family val="3"/>
      <charset val="136"/>
    </font>
    <font>
      <sz val="10"/>
      <color rgb="FFFF0000"/>
      <name val="Times New Roman"/>
      <family val="1"/>
    </font>
    <font>
      <b/>
      <sz val="10"/>
      <color rgb="FFFF0000"/>
      <name val="標楷體"/>
      <family val="4"/>
      <charset val="136"/>
    </font>
    <font>
      <sz val="10"/>
      <color theme="1"/>
      <name val="Times New Roman"/>
      <family val="1"/>
    </font>
    <font>
      <b/>
      <sz val="10"/>
      <color theme="1"/>
      <name val="標楷體"/>
      <family val="4"/>
      <charset val="136"/>
    </font>
    <font>
      <b/>
      <sz val="10"/>
      <color theme="1"/>
      <name val="Times New Roman"/>
      <family val="1"/>
    </font>
    <font>
      <sz val="12"/>
      <color rgb="FF000000"/>
      <name val="標楷體"/>
      <family val="4"/>
      <charset val="136"/>
    </font>
    <font>
      <b/>
      <i/>
      <sz val="16"/>
      <color rgb="FF000000"/>
      <name val="標楷體"/>
      <family val="4"/>
      <charset val="136"/>
    </font>
    <font>
      <b/>
      <i/>
      <u/>
      <sz val="12"/>
      <color rgb="FF000000"/>
      <name val="標楷體"/>
      <family val="4"/>
      <charset val="136"/>
    </font>
  </fonts>
  <fills count="49">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9"/>
        <bgColor indexed="64"/>
      </patternFill>
    </fill>
    <fill>
      <patternFill patternType="solid">
        <fgColor indexed="62"/>
        <bgColor indexed="64"/>
      </patternFill>
    </fill>
    <fill>
      <patternFill patternType="solid">
        <fgColor indexed="61"/>
        <bgColor indexed="64"/>
      </patternFill>
    </fill>
    <fill>
      <patternFill patternType="solid">
        <fgColor indexed="60"/>
        <bgColor indexed="64"/>
      </patternFill>
    </fill>
    <fill>
      <patternFill patternType="solid">
        <fgColor indexed="59"/>
        <bgColor indexed="64"/>
      </patternFill>
    </fill>
    <fill>
      <patternFill patternType="solid">
        <fgColor indexed="63"/>
        <bgColor indexed="64"/>
      </patternFill>
    </fill>
    <fill>
      <patternFill patternType="solid">
        <fgColor indexed="4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15"/>
        <bgColor indexed="64"/>
      </patternFill>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40"/>
        <bgColor indexed="64"/>
      </patternFill>
    </fill>
    <fill>
      <patternFill patternType="solid">
        <fgColor indexed="47"/>
        <bgColor indexed="64"/>
      </patternFill>
    </fill>
    <fill>
      <patternFill patternType="solid">
        <fgColor theme="5"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rgb="FFCCFFFF"/>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thin">
        <color indexed="9"/>
      </left>
      <right style="thin">
        <color indexed="9"/>
      </right>
      <top style="thin">
        <color indexed="9"/>
      </top>
      <bottom style="thin">
        <color indexed="9"/>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130">
    <xf numFmtId="0" fontId="0" fillId="0" borderId="0"/>
    <xf numFmtId="0" fontId="2" fillId="0" borderId="0"/>
    <xf numFmtId="0" fontId="2" fillId="0" borderId="0"/>
    <xf numFmtId="0" fontId="49" fillId="0" borderId="0"/>
    <xf numFmtId="0" fontId="7" fillId="0" borderId="0"/>
    <xf numFmtId="0" fontId="49" fillId="0" borderId="0"/>
    <xf numFmtId="0" fontId="49" fillId="0" borderId="0"/>
    <xf numFmtId="0" fontId="49" fillId="0" borderId="0"/>
    <xf numFmtId="0" fontId="2" fillId="0" borderId="0"/>
    <xf numFmtId="0" fontId="2" fillId="0" borderId="0"/>
    <xf numFmtId="0" fontId="7" fillId="0" borderId="0"/>
    <xf numFmtId="0" fontId="49" fillId="0" borderId="0"/>
    <xf numFmtId="0" fontId="49" fillId="0" borderId="0"/>
    <xf numFmtId="0" fontId="49" fillId="0" borderId="0"/>
    <xf numFmtId="0" fontId="49" fillId="0" borderId="0"/>
    <xf numFmtId="0" fontId="7" fillId="0" borderId="0"/>
    <xf numFmtId="0" fontId="7"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2" borderId="0" applyNumberFormat="0" applyBorder="0" applyAlignment="0" applyProtection="0">
      <alignment vertical="center"/>
    </xf>
    <xf numFmtId="0" fontId="24" fillId="5" borderId="0" applyNumberFormat="0" applyBorder="0" applyAlignment="0" applyProtection="0">
      <alignment vertical="center"/>
    </xf>
    <xf numFmtId="0" fontId="24" fillId="3"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6"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2" fillId="10" borderId="0" applyNumberFormat="0" applyBorder="0" applyAlignment="0" applyProtection="0">
      <alignment vertical="center"/>
    </xf>
    <xf numFmtId="0" fontId="32" fillId="7"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38" fontId="15" fillId="0" borderId="0" applyBorder="0" applyAlignment="0"/>
    <xf numFmtId="183" fontId="16" fillId="11" borderId="1" applyNumberFormat="0" applyFont="0" applyFill="0" applyBorder="0">
      <alignment horizontal="center" vertical="center"/>
    </xf>
    <xf numFmtId="193" fontId="81" fillId="0" borderId="0"/>
    <xf numFmtId="194" fontId="81" fillId="0" borderId="0"/>
    <xf numFmtId="195" fontId="81" fillId="0" borderId="0" applyBorder="0">
      <alignment vertical="center"/>
    </xf>
    <xf numFmtId="190" fontId="82" fillId="0" borderId="2" applyFill="0" applyBorder="0" applyProtection="0">
      <alignment horizontal="right" vertical="center"/>
    </xf>
    <xf numFmtId="191" fontId="82" fillId="0" borderId="0" applyFill="0" applyBorder="0" applyProtection="0">
      <alignment horizontal="right" vertical="center"/>
    </xf>
    <xf numFmtId="184" fontId="17" fillId="0" borderId="0"/>
    <xf numFmtId="0" fontId="18" fillId="0" borderId="0"/>
    <xf numFmtId="0" fontId="83" fillId="12" borderId="3" applyNumberFormat="0" applyAlignment="0" applyProtection="0"/>
    <xf numFmtId="2" fontId="83" fillId="13" borderId="3" applyProtection="0">
      <alignment horizontal="right"/>
    </xf>
    <xf numFmtId="2" fontId="84" fillId="14" borderId="3" applyProtection="0">
      <alignment horizontal="right"/>
    </xf>
    <xf numFmtId="189" fontId="85" fillId="15" borderId="3" applyProtection="0">
      <alignment horizontal="right"/>
    </xf>
    <xf numFmtId="189" fontId="85" fillId="15" borderId="3" applyProtection="0">
      <alignment horizontal="left"/>
    </xf>
    <xf numFmtId="0" fontId="86" fillId="12" borderId="3" applyNumberFormat="0" applyProtection="0">
      <alignment horizontal="left"/>
    </xf>
    <xf numFmtId="2" fontId="85" fillId="12" borderId="3" applyProtection="0"/>
    <xf numFmtId="2" fontId="85" fillId="12" borderId="3" applyProtection="0"/>
    <xf numFmtId="2" fontId="87" fillId="0" borderId="0" applyFill="0" applyBorder="0" applyProtection="0"/>
    <xf numFmtId="2" fontId="84" fillId="0" borderId="0" applyFill="0" applyBorder="0" applyProtection="0"/>
    <xf numFmtId="2" fontId="84" fillId="13" borderId="3" applyProtection="0"/>
    <xf numFmtId="2" fontId="84" fillId="16" borderId="3" applyProtection="0"/>
    <xf numFmtId="2" fontId="88" fillId="14" borderId="3" applyProtection="0"/>
    <xf numFmtId="2" fontId="88" fillId="14" borderId="3" applyProtection="0">
      <alignment horizontal="center"/>
    </xf>
    <xf numFmtId="2" fontId="84" fillId="16" borderId="3" applyProtection="0">
      <alignment horizontal="center"/>
    </xf>
    <xf numFmtId="0" fontId="10" fillId="0" borderId="0"/>
    <xf numFmtId="0" fontId="7" fillId="0" borderId="0"/>
    <xf numFmtId="0" fontId="24" fillId="0" borderId="0">
      <alignment vertical="center"/>
    </xf>
    <xf numFmtId="0" fontId="7" fillId="0" borderId="0"/>
    <xf numFmtId="0" fontId="7" fillId="0" borderId="0"/>
    <xf numFmtId="0" fontId="7" fillId="0" borderId="0"/>
    <xf numFmtId="0" fontId="7" fillId="0" borderId="0"/>
    <xf numFmtId="0" fontId="7" fillId="0" borderId="0"/>
    <xf numFmtId="0" fontId="10" fillId="0" borderId="0">
      <alignment vertical="center"/>
    </xf>
    <xf numFmtId="0" fontId="10" fillId="0" borderId="0">
      <alignment vertical="center"/>
    </xf>
    <xf numFmtId="0" fontId="10" fillId="0" borderId="0"/>
    <xf numFmtId="0" fontId="10" fillId="0" borderId="0"/>
    <xf numFmtId="0" fontId="10" fillId="0" borderId="0"/>
    <xf numFmtId="0" fontId="2" fillId="0" borderId="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3" fillId="8" borderId="0" applyNumberFormat="0" applyBorder="0" applyAlignment="0" applyProtection="0">
      <alignment vertical="center"/>
    </xf>
    <xf numFmtId="0" fontId="34" fillId="0" borderId="4" applyNumberFormat="0" applyFill="0" applyAlignment="0" applyProtection="0">
      <alignment vertical="center"/>
    </xf>
    <xf numFmtId="0" fontId="35" fillId="17" borderId="0" applyNumberFormat="0" applyBorder="0" applyAlignment="0" applyProtection="0">
      <alignment vertical="center"/>
    </xf>
    <xf numFmtId="0" fontId="90" fillId="17" borderId="0" applyNumberFormat="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xf numFmtId="0" fontId="36" fillId="2" borderId="5" applyNumberFormat="0" applyAlignment="0" applyProtection="0">
      <alignment vertical="center"/>
    </xf>
    <xf numFmtId="192" fontId="2" fillId="0" borderId="0" applyFont="0" applyFill="0" applyBorder="0" applyAlignment="0" applyProtection="0"/>
    <xf numFmtId="0" fontId="37" fillId="0" borderId="6" applyNumberFormat="0" applyFill="0" applyAlignment="0" applyProtection="0">
      <alignment vertical="center"/>
    </xf>
    <xf numFmtId="0" fontId="7" fillId="4" borderId="7" applyNumberFormat="0" applyFont="0" applyAlignment="0" applyProtection="0">
      <alignment vertical="center"/>
    </xf>
    <xf numFmtId="37" fontId="91" fillId="0" borderId="1">
      <alignment horizontal="justify" vertical="center" wrapText="1"/>
    </xf>
    <xf numFmtId="0" fontId="38"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10" borderId="0" applyNumberFormat="0" applyBorder="0" applyAlignment="0" applyProtection="0">
      <alignment vertical="center"/>
    </xf>
    <xf numFmtId="0" fontId="32" fillId="21"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0" borderId="9" applyNumberFormat="0" applyFill="0" applyAlignment="0" applyProtection="0">
      <alignment vertical="center"/>
    </xf>
    <xf numFmtId="0" fontId="42" fillId="0" borderId="10" applyNumberFormat="0" applyFill="0" applyAlignment="0" applyProtection="0">
      <alignment vertical="center"/>
    </xf>
    <xf numFmtId="0" fontId="42" fillId="0" borderId="0" applyNumberFormat="0" applyFill="0" applyBorder="0" applyAlignment="0" applyProtection="0">
      <alignment vertical="center"/>
    </xf>
    <xf numFmtId="0" fontId="49" fillId="0" borderId="0"/>
    <xf numFmtId="0" fontId="43" fillId="3" borderId="5" applyNumberFormat="0" applyAlignment="0" applyProtection="0">
      <alignment vertical="center"/>
    </xf>
    <xf numFmtId="0" fontId="44" fillId="2" borderId="11" applyNumberFormat="0" applyAlignment="0" applyProtection="0">
      <alignment vertical="center"/>
    </xf>
    <xf numFmtId="0" fontId="45" fillId="22" borderId="12" applyNumberFormat="0" applyAlignment="0" applyProtection="0">
      <alignment vertical="center"/>
    </xf>
    <xf numFmtId="0" fontId="46" fillId="23" borderId="0" applyNumberFormat="0" applyBorder="0" applyAlignment="0" applyProtection="0">
      <alignment vertical="center"/>
    </xf>
    <xf numFmtId="0" fontId="92" fillId="23" borderId="0" applyNumberFormat="0" applyBorder="0" applyAlignment="0" applyProtection="0">
      <alignment vertical="center"/>
    </xf>
    <xf numFmtId="0" fontId="47" fillId="0" borderId="0" applyNumberFormat="0" applyFill="0" applyBorder="0" applyAlignment="0" applyProtection="0">
      <alignment vertical="center"/>
    </xf>
    <xf numFmtId="43" fontId="1" fillId="0" borderId="0" applyFont="0" applyFill="0" applyBorder="0" applyAlignment="0" applyProtection="0"/>
    <xf numFmtId="0" fontId="129" fillId="0" borderId="0">
      <alignment vertical="center"/>
    </xf>
    <xf numFmtId="0" fontId="130" fillId="0" borderId="0">
      <alignment horizontal="center" vertical="center"/>
    </xf>
    <xf numFmtId="0" fontId="130" fillId="0" borderId="0">
      <alignment horizontal="center" vertical="center" textRotation="90"/>
    </xf>
    <xf numFmtId="0" fontId="131" fillId="0" borderId="0">
      <alignment vertical="center"/>
    </xf>
    <xf numFmtId="0" fontId="131" fillId="0" borderId="0">
      <alignment vertical="center"/>
    </xf>
    <xf numFmtId="199" fontId="129" fillId="0" borderId="0">
      <alignment vertical="center"/>
    </xf>
    <xf numFmtId="14" fontId="85" fillId="15" borderId="3" applyProtection="0">
      <alignment horizontal="right"/>
    </xf>
    <xf numFmtId="14" fontId="85" fillId="15" borderId="3" applyProtection="0">
      <alignment horizontal="left"/>
    </xf>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xf numFmtId="43" fontId="1" fillId="0" borderId="0" applyFont="0" applyFill="0" applyBorder="0" applyAlignment="0" applyProtection="0"/>
  </cellStyleXfs>
  <cellXfs count="1104">
    <xf numFmtId="0" fontId="0" fillId="0" borderId="0" xfId="0"/>
    <xf numFmtId="0" fontId="6" fillId="0" borderId="0" xfId="72" applyNumberFormat="1" applyFont="1" applyAlignment="1">
      <alignment horizontal="centerContinuous" vertical="center"/>
    </xf>
    <xf numFmtId="0" fontId="7" fillId="0" borderId="0" xfId="72" applyNumberFormat="1" applyFont="1" applyAlignment="1">
      <alignment horizontal="centerContinuous" vertical="center"/>
    </xf>
    <xf numFmtId="0" fontId="7" fillId="0" borderId="1" xfId="72" applyNumberFormat="1" applyFont="1" applyBorder="1" applyAlignment="1">
      <alignment vertical="center"/>
    </xf>
    <xf numFmtId="0" fontId="7" fillId="0" borderId="0" xfId="72" applyNumberFormat="1" applyFont="1" applyAlignment="1">
      <alignment vertical="center"/>
    </xf>
    <xf numFmtId="0" fontId="7" fillId="0" borderId="0" xfId="72" applyNumberFormat="1" applyFont="1" applyAlignment="1">
      <alignment horizontal="left" vertical="center"/>
    </xf>
    <xf numFmtId="0" fontId="7" fillId="0" borderId="0" xfId="72" applyNumberFormat="1" applyFont="1" applyAlignment="1">
      <alignment horizontal="right" vertical="center"/>
    </xf>
    <xf numFmtId="0" fontId="7" fillId="0" borderId="1" xfId="72" applyNumberFormat="1" applyFont="1" applyBorder="1" applyAlignment="1">
      <alignment horizontal="center" vertical="center"/>
    </xf>
    <xf numFmtId="0" fontId="7" fillId="0" borderId="1" xfId="72" applyNumberFormat="1" applyFont="1" applyBorder="1" applyAlignment="1">
      <alignment horizontal="left" vertical="center"/>
    </xf>
    <xf numFmtId="0" fontId="2" fillId="0" borderId="1" xfId="72" applyNumberFormat="1" applyFont="1" applyBorder="1" applyAlignment="1">
      <alignment horizontal="left" vertical="center" wrapText="1"/>
    </xf>
    <xf numFmtId="0" fontId="2" fillId="0" borderId="1" xfId="72" applyNumberFormat="1" applyFont="1" applyBorder="1" applyAlignment="1">
      <alignment horizontal="left" vertical="center"/>
    </xf>
    <xf numFmtId="0" fontId="2" fillId="0" borderId="1" xfId="72" applyNumberFormat="1" applyFont="1" applyBorder="1" applyAlignment="1">
      <alignment horizontal="left" vertical="center" shrinkToFit="1"/>
    </xf>
    <xf numFmtId="0" fontId="2" fillId="0" borderId="1" xfId="72" applyNumberFormat="1" applyFont="1" applyBorder="1" applyAlignment="1">
      <alignment vertical="center"/>
    </xf>
    <xf numFmtId="0" fontId="7" fillId="0" borderId="1" xfId="72" applyNumberFormat="1" applyFont="1" applyBorder="1" applyAlignment="1">
      <alignment horizontal="center" vertical="center" wrapText="1"/>
    </xf>
    <xf numFmtId="0" fontId="11" fillId="11" borderId="0" xfId="69" applyFont="1" applyFill="1" applyAlignment="1">
      <alignment vertical="center"/>
    </xf>
    <xf numFmtId="0" fontId="12" fillId="0" borderId="0" xfId="72" applyNumberFormat="1" applyFont="1" applyAlignment="1">
      <alignment horizontal="left" vertical="center"/>
    </xf>
    <xf numFmtId="0" fontId="13" fillId="0" borderId="0" xfId="72" applyNumberFormat="1" applyFont="1" applyAlignment="1">
      <alignment horizontal="centerContinuous" vertical="center"/>
    </xf>
    <xf numFmtId="0" fontId="14" fillId="0" borderId="1" xfId="72" applyNumberFormat="1" applyFont="1" applyBorder="1" applyAlignment="1">
      <alignment horizontal="centerContinuous" vertical="center"/>
    </xf>
    <xf numFmtId="0" fontId="14" fillId="0" borderId="13" xfId="72" applyNumberFormat="1" applyFont="1" applyBorder="1" applyAlignment="1">
      <alignment horizontal="centerContinuous" vertical="center"/>
    </xf>
    <xf numFmtId="0" fontId="14" fillId="0" borderId="1" xfId="72" applyNumberFormat="1" applyFont="1" applyBorder="1" applyAlignment="1">
      <alignment horizontal="center" vertical="center"/>
    </xf>
    <xf numFmtId="41" fontId="14" fillId="0" borderId="14" xfId="72" applyNumberFormat="1" applyFont="1" applyBorder="1" applyAlignment="1">
      <alignment horizontal="right" vertical="center"/>
    </xf>
    <xf numFmtId="178" fontId="14" fillId="0" borderId="14" xfId="72" applyNumberFormat="1" applyFont="1" applyBorder="1" applyAlignment="1">
      <alignment horizontal="right" vertical="center"/>
    </xf>
    <xf numFmtId="178" fontId="14" fillId="0" borderId="15" xfId="72" applyNumberFormat="1" applyFont="1" applyBorder="1" applyAlignment="1">
      <alignment horizontal="right" vertical="center"/>
    </xf>
    <xf numFmtId="181" fontId="14" fillId="0" borderId="14" xfId="72" applyNumberFormat="1" applyFont="1" applyBorder="1" applyAlignment="1">
      <alignment horizontal="right" vertical="center"/>
    </xf>
    <xf numFmtId="181" fontId="14" fillId="0" borderId="14" xfId="72" applyNumberFormat="1" applyFont="1" applyBorder="1" applyAlignment="1">
      <alignment vertical="center"/>
    </xf>
    <xf numFmtId="176" fontId="14" fillId="0" borderId="15" xfId="72" applyNumberFormat="1" applyFont="1" applyBorder="1" applyAlignment="1">
      <alignment horizontal="right" vertical="center"/>
    </xf>
    <xf numFmtId="41" fontId="14" fillId="0" borderId="14" xfId="72" applyNumberFormat="1" applyFont="1" applyBorder="1" applyAlignment="1">
      <alignment vertical="center"/>
    </xf>
    <xf numFmtId="180" fontId="14" fillId="0" borderId="14" xfId="73" applyNumberFormat="1" applyFont="1" applyBorder="1" applyAlignment="1">
      <alignment horizontal="right" vertical="center"/>
    </xf>
    <xf numFmtId="176" fontId="14" fillId="0" borderId="14" xfId="72" applyNumberFormat="1" applyFont="1" applyBorder="1" applyAlignment="1">
      <alignment horizontal="right" vertical="center"/>
    </xf>
    <xf numFmtId="177" fontId="14" fillId="0" borderId="16" xfId="72" applyNumberFormat="1" applyFont="1" applyBorder="1" applyAlignment="1">
      <alignment vertical="center"/>
    </xf>
    <xf numFmtId="0" fontId="14" fillId="0" borderId="17" xfId="72" applyNumberFormat="1" applyFont="1" applyBorder="1" applyAlignment="1">
      <alignment horizontal="centerContinuous" vertical="center"/>
    </xf>
    <xf numFmtId="0" fontId="14" fillId="0" borderId="18" xfId="72" applyNumberFormat="1" applyFont="1" applyBorder="1" applyAlignment="1">
      <alignment horizontal="center" vertical="center"/>
    </xf>
    <xf numFmtId="179" fontId="9" fillId="0" borderId="1" xfId="72" applyNumberFormat="1" applyFont="1" applyBorder="1" applyAlignment="1">
      <alignment horizontal="right" vertical="center"/>
    </xf>
    <xf numFmtId="0" fontId="14" fillId="0" borderId="19" xfId="72" applyNumberFormat="1" applyFont="1" applyBorder="1" applyAlignment="1">
      <alignment horizontal="left" vertical="center"/>
    </xf>
    <xf numFmtId="0" fontId="14" fillId="0" borderId="20" xfId="72" applyNumberFormat="1" applyFont="1" applyBorder="1" applyAlignment="1">
      <alignment vertical="center"/>
    </xf>
    <xf numFmtId="0" fontId="14" fillId="0" borderId="0" xfId="72" applyNumberFormat="1" applyFont="1" applyBorder="1" applyAlignment="1">
      <alignment horizontal="right" vertical="center"/>
    </xf>
    <xf numFmtId="0" fontId="14" fillId="0" borderId="0" xfId="72" applyNumberFormat="1" applyFont="1" applyBorder="1" applyAlignment="1">
      <alignment horizontal="left" vertical="center"/>
    </xf>
    <xf numFmtId="0" fontId="14" fillId="0" borderId="0" xfId="72" applyNumberFormat="1" applyFont="1" applyBorder="1" applyAlignment="1">
      <alignment vertical="center"/>
    </xf>
    <xf numFmtId="0" fontId="2" fillId="0" borderId="0" xfId="72" applyNumberFormat="1" applyFont="1" applyBorder="1" applyAlignment="1">
      <alignment horizontal="left" vertical="center"/>
    </xf>
    <xf numFmtId="0" fontId="2" fillId="0" borderId="0" xfId="72" applyNumberFormat="1" applyFont="1" applyBorder="1" applyAlignment="1">
      <alignment vertical="center"/>
    </xf>
    <xf numFmtId="179" fontId="14" fillId="0" borderId="21" xfId="72" applyNumberFormat="1" applyFont="1" applyBorder="1" applyAlignment="1">
      <alignment horizontal="right" vertical="center"/>
    </xf>
    <xf numFmtId="49" fontId="10" fillId="0" borderId="0" xfId="72" applyNumberFormat="1" applyFont="1" applyAlignment="1">
      <alignment horizontal="left" vertical="top"/>
    </xf>
    <xf numFmtId="185" fontId="14" fillId="0" borderId="15" xfId="72" applyNumberFormat="1" applyFont="1" applyBorder="1" applyAlignment="1">
      <alignment horizontal="right" vertical="center"/>
    </xf>
    <xf numFmtId="0" fontId="7" fillId="0" borderId="0" xfId="72" applyNumberFormat="1" applyFont="1" applyFill="1" applyAlignment="1">
      <alignment horizontal="centerContinuous" vertical="center"/>
    </xf>
    <xf numFmtId="0" fontId="7" fillId="0" borderId="0" xfId="72" applyNumberFormat="1" applyFont="1" applyFill="1" applyAlignment="1">
      <alignment vertical="center"/>
    </xf>
    <xf numFmtId="0" fontId="7" fillId="0" borderId="0" xfId="72" applyNumberFormat="1" applyFont="1" applyFill="1" applyAlignment="1">
      <alignment horizontal="left" vertical="center"/>
    </xf>
    <xf numFmtId="0" fontId="7" fillId="0" borderId="1" xfId="72" applyNumberFormat="1" applyFont="1" applyFill="1" applyBorder="1" applyAlignment="1">
      <alignment vertical="center" wrapText="1"/>
    </xf>
    <xf numFmtId="179" fontId="9" fillId="0" borderId="1" xfId="72" applyNumberFormat="1" applyFont="1" applyFill="1" applyBorder="1" applyAlignment="1">
      <alignment horizontal="right" vertical="center"/>
    </xf>
    <xf numFmtId="179" fontId="9" fillId="0" borderId="1" xfId="72" applyNumberFormat="1" applyFont="1" applyFill="1" applyBorder="1" applyAlignment="1">
      <alignment vertical="center"/>
    </xf>
    <xf numFmtId="0" fontId="7" fillId="0" borderId="1" xfId="72" applyNumberFormat="1" applyFont="1" applyFill="1" applyBorder="1" applyAlignment="1">
      <alignment horizontal="center" vertical="center"/>
    </xf>
    <xf numFmtId="41" fontId="9" fillId="0" borderId="1" xfId="72" applyNumberFormat="1" applyFont="1" applyFill="1" applyBorder="1" applyAlignment="1">
      <alignment horizontal="right" vertical="center"/>
    </xf>
    <xf numFmtId="0" fontId="7" fillId="0" borderId="0" xfId="72" applyNumberFormat="1" applyFont="1" applyFill="1" applyAlignment="1">
      <alignment horizontal="right" vertical="center"/>
    </xf>
    <xf numFmtId="0" fontId="24" fillId="0" borderId="0" xfId="72" applyNumberFormat="1" applyFont="1" applyFill="1" applyAlignment="1">
      <alignment vertical="center"/>
    </xf>
    <xf numFmtId="0" fontId="2" fillId="0" borderId="0" xfId="72" applyNumberFormat="1" applyFont="1" applyFill="1" applyBorder="1" applyAlignment="1">
      <alignment vertical="center"/>
    </xf>
    <xf numFmtId="0" fontId="14" fillId="0" borderId="0" xfId="72" applyNumberFormat="1" applyFont="1" applyFill="1" applyBorder="1" applyAlignment="1">
      <alignment vertical="center"/>
    </xf>
    <xf numFmtId="178" fontId="14" fillId="0" borderId="14" xfId="72" applyNumberFormat="1" applyFont="1" applyFill="1" applyBorder="1" applyAlignment="1">
      <alignment horizontal="right" vertical="center"/>
    </xf>
    <xf numFmtId="0" fontId="7" fillId="24" borderId="0" xfId="72" applyNumberFormat="1" applyFont="1" applyFill="1" applyAlignment="1">
      <alignment horizontal="left" vertical="center"/>
    </xf>
    <xf numFmtId="49" fontId="2" fillId="0" borderId="0" xfId="72" applyNumberFormat="1" applyFont="1" applyFill="1" applyAlignment="1">
      <alignment horizontal="left" vertical="top"/>
    </xf>
    <xf numFmtId="0" fontId="10" fillId="0" borderId="0" xfId="72" applyNumberFormat="1" applyFont="1" applyAlignment="1">
      <alignment vertical="center"/>
    </xf>
    <xf numFmtId="0" fontId="10" fillId="0" borderId="0" xfId="72" applyNumberFormat="1" applyFont="1" applyAlignment="1">
      <alignment horizontal="centerContinuous" vertical="center"/>
    </xf>
    <xf numFmtId="0" fontId="10" fillId="0" borderId="0" xfId="72" applyNumberFormat="1" applyFont="1" applyAlignment="1">
      <alignment horizontal="left" vertical="center"/>
    </xf>
    <xf numFmtId="0" fontId="10" fillId="0" borderId="0" xfId="72" applyNumberFormat="1" applyFont="1" applyAlignment="1">
      <alignment horizontal="right" vertical="center"/>
    </xf>
    <xf numFmtId="0" fontId="10" fillId="0" borderId="0" xfId="72" applyNumberFormat="1" applyFont="1" applyFill="1" applyAlignment="1">
      <alignment vertical="center"/>
    </xf>
    <xf numFmtId="0" fontId="10" fillId="0" borderId="0" xfId="72" applyNumberFormat="1" applyFont="1" applyAlignment="1">
      <alignment vertical="top"/>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7" fillId="0" borderId="1" xfId="72" applyNumberFormat="1" applyFont="1" applyFill="1" applyBorder="1" applyAlignment="1">
      <alignment vertical="center"/>
    </xf>
    <xf numFmtId="0" fontId="29" fillId="0" borderId="0" xfId="62" applyFont="1" applyAlignment="1">
      <alignment vertical="center"/>
    </xf>
    <xf numFmtId="0" fontId="29" fillId="0" borderId="0" xfId="62" applyFont="1" applyAlignment="1">
      <alignment horizontal="centerContinuous" vertical="center"/>
    </xf>
    <xf numFmtId="0" fontId="27" fillId="0" borderId="0" xfId="62" applyFont="1" applyAlignment="1">
      <alignment horizontal="left" vertical="center"/>
    </xf>
    <xf numFmtId="0" fontId="29" fillId="0" borderId="0" xfId="62" applyFont="1" applyAlignment="1">
      <alignment horizontal="centerContinuous" vertical="center" wrapText="1"/>
    </xf>
    <xf numFmtId="0" fontId="29" fillId="0" borderId="0" xfId="62" applyFont="1" applyBorder="1" applyAlignment="1">
      <alignment horizontal="centerContinuous" vertical="center"/>
    </xf>
    <xf numFmtId="0" fontId="20" fillId="0" borderId="0" xfId="62" applyFont="1" applyAlignment="1">
      <alignment vertical="center"/>
    </xf>
    <xf numFmtId="0" fontId="9" fillId="0" borderId="0" xfId="62" applyFont="1" applyAlignment="1">
      <alignment vertical="center"/>
    </xf>
    <xf numFmtId="0" fontId="9" fillId="0" borderId="0" xfId="62" applyFont="1" applyAlignment="1">
      <alignment horizontal="center" vertical="center"/>
    </xf>
    <xf numFmtId="0" fontId="21" fillId="0" borderId="0" xfId="62" applyFont="1" applyAlignment="1">
      <alignment horizontal="right" vertical="center"/>
    </xf>
    <xf numFmtId="0" fontId="21" fillId="0" borderId="0" xfId="62" applyFont="1" applyAlignment="1">
      <alignment vertical="center"/>
    </xf>
    <xf numFmtId="0" fontId="9" fillId="0" borderId="0" xfId="62" applyFont="1" applyAlignment="1">
      <alignment horizontal="right" vertical="center" wrapText="1"/>
    </xf>
    <xf numFmtId="0" fontId="9" fillId="0" borderId="0" xfId="62" applyFont="1" applyBorder="1" applyAlignment="1">
      <alignment horizontal="right" vertical="center"/>
    </xf>
    <xf numFmtId="0" fontId="7" fillId="0" borderId="1" xfId="62" applyFont="1" applyBorder="1" applyAlignment="1">
      <alignment horizontal="center" vertical="center"/>
    </xf>
    <xf numFmtId="0" fontId="7" fillId="0" borderId="22" xfId="62" applyFont="1" applyBorder="1" applyAlignment="1">
      <alignment horizontal="centerContinuous" vertical="center" wrapText="1"/>
    </xf>
    <xf numFmtId="0" fontId="2" fillId="0" borderId="17" xfId="62" applyFont="1" applyBorder="1" applyAlignment="1">
      <alignment horizontal="centerContinuous" vertical="center"/>
    </xf>
    <xf numFmtId="0" fontId="2" fillId="0" borderId="13" xfId="62" applyFont="1" applyBorder="1" applyAlignment="1">
      <alignment horizontal="centerContinuous" vertical="center"/>
    </xf>
    <xf numFmtId="0" fontId="7" fillId="0" borderId="17" xfId="62" applyFont="1" applyBorder="1" applyAlignment="1">
      <alignment horizontal="centerContinuous" vertical="center"/>
    </xf>
    <xf numFmtId="0" fontId="9" fillId="0" borderId="1" xfId="62" applyFont="1" applyBorder="1" applyAlignment="1">
      <alignment horizontal="center" vertical="center"/>
    </xf>
    <xf numFmtId="0" fontId="2" fillId="0" borderId="21" xfId="62" applyFont="1" applyBorder="1" applyAlignment="1">
      <alignment horizontal="center" vertical="center" wrapText="1"/>
    </xf>
    <xf numFmtId="0" fontId="7" fillId="0" borderId="1" xfId="62" applyFont="1" applyBorder="1" applyAlignment="1">
      <alignment horizontal="center" vertical="center" wrapText="1"/>
    </xf>
    <xf numFmtId="0" fontId="7" fillId="0" borderId="21" xfId="62" applyFont="1" applyBorder="1" applyAlignment="1">
      <alignment horizontal="center" vertical="center" wrapText="1"/>
    </xf>
    <xf numFmtId="0" fontId="7" fillId="0" borderId="21" xfId="62" applyFont="1" applyBorder="1" applyAlignment="1">
      <alignment horizontal="center" vertical="center"/>
    </xf>
    <xf numFmtId="0" fontId="2" fillId="0" borderId="21" xfId="62" applyFont="1" applyBorder="1" applyAlignment="1">
      <alignment horizontal="center" vertical="center"/>
    </xf>
    <xf numFmtId="0" fontId="20" fillId="0" borderId="18" xfId="62" applyFont="1" applyBorder="1" applyAlignment="1">
      <alignment horizontal="left" vertical="center"/>
    </xf>
    <xf numFmtId="0" fontId="23" fillId="0" borderId="17" xfId="62" applyFont="1" applyBorder="1" applyAlignment="1">
      <alignment horizontal="left" vertical="center"/>
    </xf>
    <xf numFmtId="0" fontId="23" fillId="0" borderId="13" xfId="62" applyFont="1" applyBorder="1" applyAlignment="1">
      <alignment horizontal="left" vertical="center"/>
    </xf>
    <xf numFmtId="41" fontId="9" fillId="0" borderId="1" xfId="62" applyNumberFormat="1" applyFont="1" applyBorder="1" applyAlignment="1">
      <alignment horizontal="right" vertical="center" wrapText="1"/>
    </xf>
    <xf numFmtId="182" fontId="15" fillId="0" borderId="0" xfId="62" applyNumberFormat="1" applyFont="1" applyAlignment="1">
      <alignment horizontal="right" vertical="center" wrapText="1"/>
    </xf>
    <xf numFmtId="0" fontId="23" fillId="0" borderId="0" xfId="62" applyFont="1" applyAlignment="1">
      <alignment vertical="center"/>
    </xf>
    <xf numFmtId="0" fontId="9" fillId="0" borderId="0" xfId="62" applyFont="1" applyAlignment="1">
      <alignment horizontal="center" vertical="center" wrapText="1"/>
    </xf>
    <xf numFmtId="179" fontId="7" fillId="0" borderId="0" xfId="72" applyNumberFormat="1" applyFont="1" applyAlignment="1">
      <alignment vertical="center"/>
    </xf>
    <xf numFmtId="186" fontId="14" fillId="0" borderId="14" xfId="72" applyNumberFormat="1" applyFont="1" applyBorder="1" applyAlignment="1">
      <alignment horizontal="right" vertical="center"/>
    </xf>
    <xf numFmtId="0" fontId="21" fillId="0" borderId="1" xfId="0" applyFont="1" applyBorder="1" applyAlignment="1">
      <alignment horizontal="left" vertical="center"/>
    </xf>
    <xf numFmtId="0" fontId="21" fillId="0" borderId="13" xfId="0" applyFont="1" applyBorder="1" applyAlignment="1">
      <alignment horizontal="left" vertical="center" wrapText="1"/>
    </xf>
    <xf numFmtId="0" fontId="21" fillId="0" borderId="13" xfId="0" applyFont="1" applyBorder="1" applyAlignment="1">
      <alignment horizontal="center" vertical="center" wrapText="1"/>
    </xf>
    <xf numFmtId="41" fontId="9" fillId="0" borderId="1" xfId="0" applyNumberFormat="1" applyFont="1" applyBorder="1" applyAlignment="1">
      <alignment horizontal="right" vertical="center" wrapText="1"/>
    </xf>
    <xf numFmtId="41" fontId="9" fillId="0" borderId="21" xfId="0" applyNumberFormat="1" applyFont="1" applyBorder="1" applyAlignment="1">
      <alignment horizontal="right" vertical="center" wrapText="1"/>
    </xf>
    <xf numFmtId="41" fontId="9" fillId="0" borderId="1" xfId="0" applyNumberFormat="1" applyFont="1" applyFill="1" applyBorder="1" applyAlignment="1">
      <alignment horizontal="right" vertical="center" wrapText="1"/>
    </xf>
    <xf numFmtId="0" fontId="23" fillId="0" borderId="0" xfId="0" applyFont="1" applyAlignment="1">
      <alignment vertical="center"/>
    </xf>
    <xf numFmtId="41" fontId="23" fillId="0" borderId="1" xfId="0" applyNumberFormat="1" applyFont="1" applyBorder="1" applyAlignment="1">
      <alignment horizontal="right" vertical="center" wrapText="1"/>
    </xf>
    <xf numFmtId="41" fontId="9" fillId="0" borderId="21" xfId="0" applyNumberFormat="1" applyFont="1" applyFill="1" applyBorder="1" applyAlignment="1">
      <alignment horizontal="right" vertical="center" wrapText="1"/>
    </xf>
    <xf numFmtId="0" fontId="21" fillId="0" borderId="1" xfId="0" applyFont="1" applyFill="1" applyBorder="1" applyAlignment="1">
      <alignment horizontal="left" vertical="center"/>
    </xf>
    <xf numFmtId="0" fontId="21" fillId="0" borderId="13" xfId="0" applyFont="1" applyBorder="1" applyAlignment="1">
      <alignment horizontal="left" vertical="center"/>
    </xf>
    <xf numFmtId="0" fontId="21" fillId="0" borderId="1" xfId="0" applyFont="1" applyBorder="1" applyAlignment="1">
      <alignment horizontal="center" vertical="center" wrapText="1"/>
    </xf>
    <xf numFmtId="41" fontId="3" fillId="0" borderId="1" xfId="0" applyNumberFormat="1" applyFont="1" applyBorder="1" applyAlignment="1">
      <alignment horizontal="right" vertical="center" wrapText="1"/>
    </xf>
    <xf numFmtId="178" fontId="14" fillId="0" borderId="15" xfId="72" applyNumberFormat="1" applyFont="1" applyFill="1" applyBorder="1" applyAlignment="1">
      <alignment horizontal="right" vertical="center"/>
    </xf>
    <xf numFmtId="185" fontId="14" fillId="0" borderId="15" xfId="72" applyNumberFormat="1" applyFont="1" applyFill="1" applyBorder="1" applyAlignment="1">
      <alignment horizontal="right" vertical="center"/>
    </xf>
    <xf numFmtId="41" fontId="7" fillId="0" borderId="0" xfId="72" applyNumberFormat="1" applyFont="1" applyAlignment="1">
      <alignment vertical="center"/>
    </xf>
    <xf numFmtId="41" fontId="23" fillId="0" borderId="1" xfId="62" applyNumberFormat="1" applyFont="1" applyBorder="1" applyAlignment="1">
      <alignment horizontal="right" vertical="center" wrapText="1"/>
    </xf>
    <xf numFmtId="41" fontId="23" fillId="0" borderId="21" xfId="0" applyNumberFormat="1" applyFont="1" applyFill="1" applyBorder="1" applyAlignment="1">
      <alignment horizontal="right" vertical="center" wrapText="1"/>
    </xf>
    <xf numFmtId="41" fontId="23" fillId="0" borderId="1" xfId="0" applyNumberFormat="1" applyFont="1" applyFill="1" applyBorder="1" applyAlignment="1">
      <alignment horizontal="right" vertical="center" wrapText="1"/>
    </xf>
    <xf numFmtId="0" fontId="50" fillId="0" borderId="0" xfId="72" applyNumberFormat="1" applyFont="1" applyAlignment="1">
      <alignment horizontal="centerContinuous" vertical="center"/>
    </xf>
    <xf numFmtId="0" fontId="47" fillId="0" borderId="0" xfId="72" applyNumberFormat="1" applyFont="1" applyAlignment="1">
      <alignment horizontal="center" vertical="center"/>
    </xf>
    <xf numFmtId="179" fontId="52" fillId="0" borderId="1" xfId="72" applyNumberFormat="1" applyFont="1" applyFill="1" applyBorder="1" applyAlignment="1">
      <alignment vertical="center"/>
    </xf>
    <xf numFmtId="41" fontId="9" fillId="25" borderId="1" xfId="72" applyNumberFormat="1" applyFont="1" applyFill="1" applyBorder="1" applyAlignment="1">
      <alignment horizontal="right" vertical="center"/>
    </xf>
    <xf numFmtId="179" fontId="23" fillId="0" borderId="1" xfId="72" applyNumberFormat="1" applyFont="1" applyBorder="1" applyAlignment="1">
      <alignment horizontal="right" vertical="center"/>
    </xf>
    <xf numFmtId="179" fontId="23" fillId="0" borderId="1" xfId="72" applyNumberFormat="1" applyFont="1" applyFill="1" applyBorder="1" applyAlignment="1">
      <alignment horizontal="right" vertical="center"/>
    </xf>
    <xf numFmtId="179" fontId="48" fillId="26" borderId="1" xfId="72" applyNumberFormat="1" applyFont="1" applyFill="1" applyBorder="1" applyAlignment="1">
      <alignment horizontal="right" vertical="center"/>
    </xf>
    <xf numFmtId="0" fontId="53" fillId="0" borderId="1" xfId="72" applyNumberFormat="1" applyFont="1" applyBorder="1" applyAlignment="1">
      <alignment vertical="center"/>
    </xf>
    <xf numFmtId="0" fontId="21" fillId="0" borderId="1" xfId="0" applyFont="1" applyFill="1" applyBorder="1" applyAlignment="1">
      <alignment horizontal="left" vertical="center" wrapText="1"/>
    </xf>
    <xf numFmtId="0" fontId="21" fillId="0" borderId="1" xfId="103" applyFont="1" applyFill="1" applyBorder="1" applyAlignment="1">
      <alignment horizontal="left" vertical="center"/>
    </xf>
    <xf numFmtId="179" fontId="7" fillId="0" borderId="0" xfId="72" applyNumberFormat="1" applyFont="1" applyFill="1" applyAlignment="1">
      <alignment vertical="center"/>
    </xf>
    <xf numFmtId="0" fontId="29" fillId="0" borderId="0" xfId="64" applyFont="1" applyAlignment="1">
      <alignment vertical="center"/>
    </xf>
    <xf numFmtId="0" fontId="29" fillId="0" borderId="0" xfId="64" applyFont="1" applyAlignment="1">
      <alignment horizontal="centerContinuous" vertical="center"/>
    </xf>
    <xf numFmtId="0" fontId="55" fillId="0" borderId="0" xfId="64" applyFont="1" applyAlignment="1">
      <alignment horizontal="left" vertical="center"/>
    </xf>
    <xf numFmtId="0" fontId="27" fillId="0" borderId="0" xfId="64" applyFont="1" applyAlignment="1">
      <alignment horizontal="left" vertical="center"/>
    </xf>
    <xf numFmtId="0" fontId="29" fillId="0" borderId="0" xfId="64" applyFont="1" applyAlignment="1">
      <alignment horizontal="centerContinuous" vertical="center" wrapText="1"/>
    </xf>
    <xf numFmtId="0" fontId="29" fillId="0" borderId="0" xfId="64" applyFont="1" applyBorder="1" applyAlignment="1">
      <alignment horizontal="centerContinuous" vertical="center"/>
    </xf>
    <xf numFmtId="0" fontId="20" fillId="0" borderId="0" xfId="64" applyFont="1" applyAlignment="1">
      <alignment vertical="center"/>
    </xf>
    <xf numFmtId="0" fontId="9" fillId="0" borderId="0" xfId="64" applyFont="1" applyAlignment="1">
      <alignment vertical="center"/>
    </xf>
    <xf numFmtId="0" fontId="21" fillId="0" borderId="0" xfId="64" applyFont="1" applyAlignment="1">
      <alignment horizontal="right" vertical="center"/>
    </xf>
    <xf numFmtId="0" fontId="21" fillId="0" borderId="0" xfId="64" applyFont="1" applyAlignment="1">
      <alignment vertical="center"/>
    </xf>
    <xf numFmtId="0" fontId="9" fillId="0" borderId="0" xfId="64" applyFont="1" applyAlignment="1">
      <alignment horizontal="right" vertical="center" wrapText="1"/>
    </xf>
    <xf numFmtId="0" fontId="9" fillId="0" borderId="0" xfId="64" applyFont="1" applyBorder="1" applyAlignment="1">
      <alignment horizontal="right" vertical="center"/>
    </xf>
    <xf numFmtId="0" fontId="7" fillId="0" borderId="1" xfId="64" applyFont="1" applyBorder="1" applyAlignment="1">
      <alignment horizontal="center" vertical="center"/>
    </xf>
    <xf numFmtId="0" fontId="7" fillId="0" borderId="22" xfId="64" applyFont="1" applyBorder="1" applyAlignment="1">
      <alignment horizontal="centerContinuous" vertical="center" wrapText="1"/>
    </xf>
    <xf numFmtId="0" fontId="2" fillId="0" borderId="17" xfId="64" applyFont="1" applyBorder="1" applyAlignment="1">
      <alignment horizontal="centerContinuous" vertical="center"/>
    </xf>
    <xf numFmtId="0" fontId="2" fillId="0" borderId="13" xfId="64" applyFont="1" applyBorder="1" applyAlignment="1">
      <alignment horizontal="centerContinuous" vertical="center"/>
    </xf>
    <xf numFmtId="0" fontId="7" fillId="0" borderId="17" xfId="64" applyFont="1" applyBorder="1" applyAlignment="1">
      <alignment horizontal="centerContinuous" vertical="center"/>
    </xf>
    <xf numFmtId="0" fontId="9" fillId="0" borderId="0" xfId="64" applyFont="1" applyAlignment="1">
      <alignment horizontal="center" vertical="center"/>
    </xf>
    <xf numFmtId="0" fontId="2" fillId="0" borderId="21" xfId="64" applyFont="1" applyBorder="1" applyAlignment="1">
      <alignment horizontal="center" vertical="center" wrapText="1"/>
    </xf>
    <xf numFmtId="0" fontId="7" fillId="0" borderId="1" xfId="64" applyFont="1" applyBorder="1" applyAlignment="1">
      <alignment horizontal="center" vertical="center" wrapText="1"/>
    </xf>
    <xf numFmtId="0" fontId="7" fillId="0" borderId="21" xfId="64" applyFont="1" applyBorder="1" applyAlignment="1">
      <alignment horizontal="center" vertical="center" wrapText="1"/>
    </xf>
    <xf numFmtId="0" fontId="7" fillId="0" borderId="1" xfId="64" applyFont="1" applyFill="1" applyBorder="1" applyAlignment="1">
      <alignment horizontal="center" vertical="center"/>
    </xf>
    <xf numFmtId="0" fontId="7" fillId="0" borderId="21" xfId="64" applyFont="1" applyBorder="1" applyAlignment="1">
      <alignment horizontal="center" vertical="center"/>
    </xf>
    <xf numFmtId="0" fontId="2" fillId="0" borderId="21" xfId="64" applyFont="1" applyBorder="1" applyAlignment="1">
      <alignment horizontal="center" vertical="center"/>
    </xf>
    <xf numFmtId="41" fontId="9" fillId="0" borderId="21" xfId="64" applyNumberFormat="1" applyFont="1" applyFill="1" applyBorder="1" applyAlignment="1">
      <alignment horizontal="right" vertical="center" wrapText="1"/>
    </xf>
    <xf numFmtId="41" fontId="9" fillId="0" borderId="1" xfId="64" applyNumberFormat="1" applyFont="1" applyFill="1" applyBorder="1" applyAlignment="1">
      <alignment horizontal="right" vertical="center" wrapText="1"/>
    </xf>
    <xf numFmtId="0" fontId="21" fillId="0" borderId="23" xfId="64" applyFont="1" applyBorder="1" applyAlignment="1">
      <alignment vertical="center"/>
    </xf>
    <xf numFmtId="0" fontId="21" fillId="0" borderId="23" xfId="64" applyFont="1" applyBorder="1" applyAlignment="1">
      <alignment horizontal="left" vertical="center"/>
    </xf>
    <xf numFmtId="0" fontId="21" fillId="0" borderId="23" xfId="64" applyFont="1" applyFill="1" applyBorder="1" applyAlignment="1">
      <alignment horizontal="left" vertical="center" wrapText="1"/>
    </xf>
    <xf numFmtId="41" fontId="9" fillId="0" borderId="23" xfId="64" applyNumberFormat="1" applyFont="1" applyBorder="1" applyAlignment="1">
      <alignment horizontal="right" vertical="center" wrapText="1"/>
    </xf>
    <xf numFmtId="41" fontId="9" fillId="0" borderId="0" xfId="64" applyNumberFormat="1" applyFont="1" applyBorder="1" applyAlignment="1">
      <alignment horizontal="right" vertical="center" wrapText="1"/>
    </xf>
    <xf numFmtId="41" fontId="9" fillId="0" borderId="0" xfId="64" applyNumberFormat="1" applyFont="1" applyFill="1" applyBorder="1" applyAlignment="1">
      <alignment horizontal="right" vertical="center" wrapText="1"/>
    </xf>
    <xf numFmtId="41" fontId="9" fillId="0" borderId="23" xfId="64" applyNumberFormat="1" applyFont="1" applyFill="1" applyBorder="1" applyAlignment="1">
      <alignment horizontal="right" vertical="center" wrapText="1"/>
    </xf>
    <xf numFmtId="0" fontId="9" fillId="0" borderId="0" xfId="64" applyFont="1" applyAlignment="1">
      <alignment horizontal="center" vertical="center" wrapText="1"/>
    </xf>
    <xf numFmtId="0" fontId="7" fillId="27" borderId="1" xfId="72" applyNumberFormat="1" applyFont="1" applyFill="1" applyBorder="1" applyAlignment="1">
      <alignment horizontal="center" vertical="center"/>
    </xf>
    <xf numFmtId="0" fontId="31" fillId="0" borderId="0" xfId="72" applyNumberFormat="1" applyFont="1" applyFill="1" applyAlignment="1">
      <alignment horizontal="left" vertical="center"/>
    </xf>
    <xf numFmtId="0" fontId="7" fillId="26" borderId="1" xfId="72" applyNumberFormat="1" applyFont="1" applyFill="1" applyBorder="1" applyAlignment="1">
      <alignment horizontal="center" vertical="center" wrapText="1"/>
    </xf>
    <xf numFmtId="0" fontId="31" fillId="26" borderId="1" xfId="72" applyNumberFormat="1" applyFont="1" applyFill="1" applyBorder="1" applyAlignment="1">
      <alignment vertical="center" wrapText="1"/>
    </xf>
    <xf numFmtId="0" fontId="21" fillId="26" borderId="1" xfId="72" applyNumberFormat="1" applyFont="1" applyFill="1" applyBorder="1" applyAlignment="1">
      <alignment vertical="center" wrapText="1"/>
    </xf>
    <xf numFmtId="0" fontId="7" fillId="26" borderId="1" xfId="72" applyNumberFormat="1" applyFont="1" applyFill="1" applyBorder="1" applyAlignment="1">
      <alignment vertical="center" wrapText="1"/>
    </xf>
    <xf numFmtId="0" fontId="31" fillId="26" borderId="0" xfId="72" applyNumberFormat="1" applyFont="1" applyFill="1" applyAlignment="1">
      <alignment vertical="center"/>
    </xf>
    <xf numFmtId="41" fontId="52" fillId="0" borderId="1" xfId="72" applyNumberFormat="1" applyFont="1" applyFill="1" applyBorder="1" applyAlignment="1">
      <alignment horizontal="right" vertical="center"/>
    </xf>
    <xf numFmtId="179" fontId="9" fillId="25" borderId="1" xfId="72" applyNumberFormat="1" applyFont="1" applyFill="1" applyBorder="1" applyAlignment="1">
      <alignment horizontal="right" vertical="center"/>
    </xf>
    <xf numFmtId="0" fontId="31" fillId="0" borderId="0" xfId="72" applyNumberFormat="1" applyFont="1" applyFill="1" applyAlignment="1">
      <alignment vertical="center"/>
    </xf>
    <xf numFmtId="0" fontId="7" fillId="26" borderId="1" xfId="72" applyNumberFormat="1" applyFont="1" applyFill="1" applyBorder="1" applyAlignment="1">
      <alignment horizontal="center" vertical="center"/>
    </xf>
    <xf numFmtId="0" fontId="7" fillId="28" borderId="1" xfId="72" applyNumberFormat="1" applyFont="1" applyFill="1" applyBorder="1" applyAlignment="1">
      <alignment horizontal="center" vertical="center"/>
    </xf>
    <xf numFmtId="0" fontId="7" fillId="28" borderId="1" xfId="72" applyNumberFormat="1" applyFont="1" applyFill="1" applyBorder="1" applyAlignment="1">
      <alignment horizontal="center" vertical="center" wrapText="1"/>
    </xf>
    <xf numFmtId="0" fontId="7" fillId="28" borderId="1" xfId="72" applyNumberFormat="1" applyFont="1" applyFill="1" applyBorder="1" applyAlignment="1">
      <alignment vertical="center"/>
    </xf>
    <xf numFmtId="0" fontId="7" fillId="28" borderId="1" xfId="72" applyNumberFormat="1" applyFont="1" applyFill="1" applyBorder="1" applyAlignment="1">
      <alignment vertical="center" wrapText="1"/>
    </xf>
    <xf numFmtId="41" fontId="9" fillId="27" borderId="1" xfId="72" applyNumberFormat="1" applyFont="1" applyFill="1" applyBorder="1" applyAlignment="1">
      <alignment horizontal="right" vertical="center"/>
    </xf>
    <xf numFmtId="0" fontId="56" fillId="0" borderId="0" xfId="72" applyNumberFormat="1" applyFont="1" applyFill="1" applyAlignment="1">
      <alignment vertical="center"/>
    </xf>
    <xf numFmtId="0" fontId="56" fillId="0" borderId="0" xfId="72" applyNumberFormat="1" applyFont="1" applyFill="1" applyAlignment="1">
      <alignment horizontal="left" vertical="center"/>
    </xf>
    <xf numFmtId="176" fontId="31" fillId="0" borderId="0" xfId="72" applyNumberFormat="1" applyFont="1" applyFill="1" applyAlignment="1">
      <alignment vertical="center"/>
    </xf>
    <xf numFmtId="176" fontId="7" fillId="0" borderId="0" xfId="72" applyNumberFormat="1" applyFont="1" applyFill="1" applyAlignment="1">
      <alignment vertical="center"/>
    </xf>
    <xf numFmtId="41" fontId="31" fillId="0" borderId="0" xfId="72" applyNumberFormat="1" applyFont="1" applyAlignment="1">
      <alignment vertical="center"/>
    </xf>
    <xf numFmtId="179" fontId="31" fillId="0" borderId="0" xfId="72" applyNumberFormat="1" applyFont="1" applyAlignment="1">
      <alignment vertical="center"/>
    </xf>
    <xf numFmtId="0" fontId="20" fillId="0" borderId="18" xfId="64" applyFont="1" applyFill="1" applyBorder="1" applyAlignment="1">
      <alignment horizontal="left" vertical="center"/>
    </xf>
    <xf numFmtId="0" fontId="23" fillId="0" borderId="17" xfId="64" applyFont="1" applyFill="1" applyBorder="1" applyAlignment="1">
      <alignment horizontal="left" vertical="center"/>
    </xf>
    <xf numFmtId="0" fontId="23" fillId="0" borderId="13" xfId="64" applyFont="1" applyFill="1" applyBorder="1" applyAlignment="1">
      <alignment horizontal="left" vertical="center"/>
    </xf>
    <xf numFmtId="41" fontId="23" fillId="0" borderId="1" xfId="64" applyNumberFormat="1" applyFont="1" applyFill="1" applyBorder="1" applyAlignment="1">
      <alignment horizontal="right" vertical="center" wrapText="1"/>
    </xf>
    <xf numFmtId="0" fontId="23" fillId="0" borderId="0" xfId="64" applyFont="1" applyFill="1" applyAlignment="1">
      <alignment vertical="center"/>
    </xf>
    <xf numFmtId="0" fontId="21" fillId="28" borderId="1" xfId="0" applyFont="1" applyFill="1" applyBorder="1" applyAlignment="1">
      <alignment vertical="center" wrapText="1"/>
    </xf>
    <xf numFmtId="0" fontId="21" fillId="28" borderId="1" xfId="0" applyFont="1" applyFill="1" applyBorder="1" applyAlignment="1">
      <alignment horizontal="left" vertical="center"/>
    </xf>
    <xf numFmtId="0" fontId="21" fillId="28" borderId="1" xfId="103" applyFont="1" applyFill="1" applyBorder="1" applyAlignment="1">
      <alignment horizontal="left" vertical="center"/>
    </xf>
    <xf numFmtId="0" fontId="7" fillId="0" borderId="1" xfId="72" applyNumberFormat="1" applyFont="1" applyFill="1" applyBorder="1" applyAlignment="1">
      <alignment horizontal="center" vertical="center" wrapText="1"/>
    </xf>
    <xf numFmtId="41" fontId="52" fillId="25" borderId="1" xfId="72" applyNumberFormat="1" applyFont="1" applyFill="1" applyBorder="1" applyAlignment="1">
      <alignment horizontal="right" vertical="center"/>
    </xf>
    <xf numFmtId="41" fontId="9" fillId="0" borderId="0" xfId="64" applyNumberFormat="1" applyFont="1" applyAlignment="1">
      <alignment vertical="center"/>
    </xf>
    <xf numFmtId="0" fontId="7" fillId="0" borderId="0" xfId="72" applyNumberFormat="1" applyFont="1" applyAlignment="1">
      <alignment vertical="center" wrapText="1"/>
    </xf>
    <xf numFmtId="182" fontId="15" fillId="0" borderId="0" xfId="64" applyNumberFormat="1" applyFont="1" applyAlignment="1">
      <alignment horizontal="right" vertical="center" wrapText="1"/>
    </xf>
    <xf numFmtId="0" fontId="23" fillId="0" borderId="0" xfId="64" applyFont="1" applyAlignment="1">
      <alignment vertical="center"/>
    </xf>
    <xf numFmtId="0" fontId="57" fillId="0" borderId="1" xfId="0" applyFont="1" applyFill="1" applyBorder="1" applyAlignment="1">
      <alignment vertical="center" wrapText="1"/>
    </xf>
    <xf numFmtId="0" fontId="57" fillId="28" borderId="1" xfId="0" applyFont="1" applyFill="1" applyBorder="1" applyAlignment="1">
      <alignment vertical="center" wrapText="1"/>
    </xf>
    <xf numFmtId="0" fontId="21" fillId="28" borderId="13" xfId="0" applyFont="1" applyFill="1" applyBorder="1" applyAlignment="1">
      <alignment horizontal="left" vertical="center" wrapText="1"/>
    </xf>
    <xf numFmtId="0" fontId="21" fillId="28" borderId="13" xfId="0" applyFont="1" applyFill="1" applyBorder="1" applyAlignment="1">
      <alignment horizontal="center" vertical="center" wrapText="1"/>
    </xf>
    <xf numFmtId="41" fontId="9" fillId="28" borderId="1" xfId="0" applyNumberFormat="1" applyFont="1" applyFill="1" applyBorder="1" applyAlignment="1">
      <alignment horizontal="right" vertical="center" wrapText="1"/>
    </xf>
    <xf numFmtId="41" fontId="23" fillId="28" borderId="1" xfId="0" applyNumberFormat="1" applyFont="1" applyFill="1" applyBorder="1" applyAlignment="1">
      <alignment horizontal="right" vertical="center" wrapText="1"/>
    </xf>
    <xf numFmtId="41" fontId="9" fillId="28" borderId="21" xfId="0" applyNumberFormat="1" applyFont="1" applyFill="1" applyBorder="1" applyAlignment="1">
      <alignment horizontal="right" vertical="center" wrapText="1"/>
    </xf>
    <xf numFmtId="0" fontId="57" fillId="28" borderId="1" xfId="0" applyFont="1" applyFill="1" applyBorder="1" applyAlignment="1">
      <alignment horizontal="left" vertical="center"/>
    </xf>
    <xf numFmtId="41" fontId="59" fillId="28" borderId="1" xfId="0" applyNumberFormat="1" applyFont="1" applyFill="1" applyBorder="1" applyAlignment="1">
      <alignment horizontal="right" vertical="center" wrapText="1"/>
    </xf>
    <xf numFmtId="41" fontId="60" fillId="0" borderId="1" xfId="0" applyNumberFormat="1" applyFont="1" applyBorder="1" applyAlignment="1">
      <alignment horizontal="right" vertical="center" wrapText="1"/>
    </xf>
    <xf numFmtId="41" fontId="9" fillId="0" borderId="0" xfId="62" applyNumberFormat="1" applyFont="1" applyAlignment="1">
      <alignment vertical="center"/>
    </xf>
    <xf numFmtId="0" fontId="54" fillId="0" borderId="0" xfId="72" applyNumberFormat="1" applyFont="1" applyFill="1" applyAlignment="1">
      <alignment horizontal="right" vertical="center"/>
    </xf>
    <xf numFmtId="0" fontId="54" fillId="0" borderId="0" xfId="72" applyNumberFormat="1" applyFont="1" applyFill="1" applyAlignment="1">
      <alignment vertical="center"/>
    </xf>
    <xf numFmtId="0" fontId="54" fillId="0" borderId="0" xfId="72" applyNumberFormat="1" applyFont="1" applyAlignment="1">
      <alignment horizontal="right" vertical="center"/>
    </xf>
    <xf numFmtId="41" fontId="52" fillId="28" borderId="1" xfId="0" applyNumberFormat="1" applyFont="1" applyFill="1" applyBorder="1" applyAlignment="1">
      <alignment horizontal="right" vertical="center" wrapText="1"/>
    </xf>
    <xf numFmtId="41" fontId="61" fillId="28" borderId="1" xfId="0" applyNumberFormat="1" applyFont="1" applyFill="1" applyBorder="1" applyAlignment="1">
      <alignment horizontal="right" vertical="center" wrapText="1"/>
    </xf>
    <xf numFmtId="41" fontId="52" fillId="28" borderId="21" xfId="0" applyNumberFormat="1" applyFont="1" applyFill="1" applyBorder="1" applyAlignment="1">
      <alignment horizontal="right" vertical="center" wrapText="1"/>
    </xf>
    <xf numFmtId="41" fontId="58" fillId="0" borderId="0" xfId="64" applyNumberFormat="1" applyFont="1" applyAlignment="1">
      <alignment vertical="center"/>
    </xf>
    <xf numFmtId="0" fontId="54" fillId="24" borderId="0" xfId="72" applyNumberFormat="1" applyFont="1" applyFill="1" applyAlignment="1">
      <alignment horizontal="left" vertical="center" wrapText="1"/>
    </xf>
    <xf numFmtId="0" fontId="54" fillId="0" borderId="0" xfId="72" applyNumberFormat="1" applyFont="1" applyFill="1" applyAlignment="1">
      <alignment horizontal="left" vertical="center"/>
    </xf>
    <xf numFmtId="178" fontId="14" fillId="26" borderId="14" xfId="72" applyNumberFormat="1" applyFont="1" applyFill="1" applyBorder="1" applyAlignment="1">
      <alignment horizontal="right" vertical="center"/>
    </xf>
    <xf numFmtId="41" fontId="52" fillId="0" borderId="1" xfId="72" applyNumberFormat="1" applyFont="1" applyBorder="1" applyAlignment="1">
      <alignment horizontal="right" vertical="center"/>
    </xf>
    <xf numFmtId="41" fontId="52" fillId="0" borderId="1" xfId="73" applyNumberFormat="1" applyFont="1" applyBorder="1" applyAlignment="1">
      <alignment horizontal="right" vertical="center"/>
    </xf>
    <xf numFmtId="188" fontId="2" fillId="0" borderId="1" xfId="72" applyNumberFormat="1" applyFont="1" applyBorder="1" applyAlignment="1">
      <alignment horizontal="right" vertical="center"/>
    </xf>
    <xf numFmtId="185" fontId="14" fillId="26" borderId="15" xfId="72" applyNumberFormat="1" applyFont="1" applyFill="1" applyBorder="1" applyAlignment="1">
      <alignment horizontal="right" vertical="center"/>
    </xf>
    <xf numFmtId="41" fontId="14" fillId="25" borderId="14" xfId="72" applyNumberFormat="1" applyFont="1" applyFill="1" applyBorder="1" applyAlignment="1">
      <alignment horizontal="right" vertical="center"/>
    </xf>
    <xf numFmtId="41" fontId="9" fillId="0" borderId="0" xfId="72" applyNumberFormat="1" applyFont="1" applyFill="1" applyBorder="1" applyAlignment="1">
      <alignment horizontal="right" vertical="center"/>
    </xf>
    <xf numFmtId="41" fontId="62" fillId="0" borderId="0" xfId="72" applyNumberFormat="1" applyFont="1" applyFill="1" applyBorder="1" applyAlignment="1">
      <alignment horizontal="right" vertical="center"/>
    </xf>
    <xf numFmtId="188" fontId="63" fillId="0" borderId="1" xfId="72" applyNumberFormat="1" applyFont="1" applyBorder="1" applyAlignment="1">
      <alignment horizontal="right" vertical="center"/>
    </xf>
    <xf numFmtId="188" fontId="7" fillId="0" borderId="0" xfId="72" applyNumberFormat="1" applyFont="1" applyAlignment="1">
      <alignment vertical="center"/>
    </xf>
    <xf numFmtId="41" fontId="7" fillId="0" borderId="0" xfId="72" applyNumberFormat="1" applyFont="1" applyAlignment="1">
      <alignment horizontal="left" vertical="center"/>
    </xf>
    <xf numFmtId="0" fontId="21" fillId="28" borderId="13" xfId="64" applyFont="1" applyFill="1" applyBorder="1" applyAlignment="1">
      <alignment horizontal="left" vertical="center" wrapText="1"/>
    </xf>
    <xf numFmtId="0" fontId="21" fillId="28" borderId="13" xfId="64" applyFont="1" applyFill="1" applyBorder="1" applyAlignment="1">
      <alignment horizontal="center" vertical="center" wrapText="1"/>
    </xf>
    <xf numFmtId="41" fontId="59" fillId="28" borderId="1" xfId="64" applyNumberFormat="1" applyFont="1" applyFill="1" applyBorder="1" applyAlignment="1">
      <alignment horizontal="right" vertical="center" wrapText="1"/>
    </xf>
    <xf numFmtId="41" fontId="61" fillId="28" borderId="1" xfId="64" applyNumberFormat="1" applyFont="1" applyFill="1" applyBorder="1" applyAlignment="1">
      <alignment horizontal="right" vertical="center" wrapText="1"/>
    </xf>
    <xf numFmtId="41" fontId="9" fillId="28" borderId="1" xfId="64" applyNumberFormat="1" applyFont="1" applyFill="1" applyBorder="1" applyAlignment="1">
      <alignment horizontal="right" vertical="center" wrapText="1"/>
    </xf>
    <xf numFmtId="41" fontId="9" fillId="28" borderId="21" xfId="64" applyNumberFormat="1" applyFont="1" applyFill="1" applyBorder="1" applyAlignment="1">
      <alignment horizontal="right" vertical="center" wrapText="1"/>
    </xf>
    <xf numFmtId="0" fontId="21" fillId="28" borderId="1" xfId="0" applyFont="1" applyFill="1" applyBorder="1" applyAlignment="1">
      <alignment horizontal="center" vertical="center"/>
    </xf>
    <xf numFmtId="41" fontId="23" fillId="28" borderId="21" xfId="0" applyNumberFormat="1" applyFont="1" applyFill="1" applyBorder="1" applyAlignment="1">
      <alignment horizontal="right" vertical="center" wrapText="1"/>
    </xf>
    <xf numFmtId="0" fontId="21" fillId="28" borderId="13" xfId="0" applyFont="1" applyFill="1" applyBorder="1" applyAlignment="1">
      <alignment horizontal="center" vertical="center"/>
    </xf>
    <xf numFmtId="0" fontId="21" fillId="28" borderId="1" xfId="0" applyFont="1" applyFill="1" applyBorder="1" applyAlignment="1">
      <alignment horizontal="left" vertical="center" wrapText="1"/>
    </xf>
    <xf numFmtId="41" fontId="23" fillId="28" borderId="1" xfId="64" applyNumberFormat="1" applyFont="1" applyFill="1" applyBorder="1" applyAlignment="1">
      <alignment horizontal="right" vertical="center" wrapText="1"/>
    </xf>
    <xf numFmtId="0" fontId="21" fillId="28" borderId="13" xfId="0" applyFont="1" applyFill="1" applyBorder="1" applyAlignment="1">
      <alignment horizontal="left" vertical="center"/>
    </xf>
    <xf numFmtId="0" fontId="57" fillId="28" borderId="1" xfId="103" applyFont="1" applyFill="1" applyBorder="1" applyAlignment="1">
      <alignment horizontal="left" vertical="center"/>
    </xf>
    <xf numFmtId="0" fontId="21" fillId="28" borderId="13" xfId="0" applyFont="1" applyFill="1" applyBorder="1" applyAlignment="1">
      <alignment vertical="center" wrapText="1"/>
    </xf>
    <xf numFmtId="41" fontId="21" fillId="28" borderId="13" xfId="0" applyNumberFormat="1" applyFont="1" applyFill="1" applyBorder="1" applyAlignment="1">
      <alignment vertical="center" wrapText="1"/>
    </xf>
    <xf numFmtId="41" fontId="52" fillId="28" borderId="1" xfId="64" applyNumberFormat="1" applyFont="1" applyFill="1" applyBorder="1" applyAlignment="1">
      <alignment horizontal="right" vertical="center" wrapText="1"/>
    </xf>
    <xf numFmtId="41" fontId="52" fillId="28" borderId="21" xfId="64" applyNumberFormat="1" applyFont="1" applyFill="1" applyBorder="1" applyAlignment="1">
      <alignment horizontal="right" vertical="center" wrapText="1"/>
    </xf>
    <xf numFmtId="0" fontId="30" fillId="28" borderId="1" xfId="0" applyFont="1" applyFill="1" applyBorder="1" applyAlignment="1">
      <alignment vertical="center" wrapText="1"/>
    </xf>
    <xf numFmtId="0" fontId="30" fillId="28" borderId="1" xfId="0" applyFont="1" applyFill="1" applyBorder="1" applyAlignment="1">
      <alignment horizontal="left" vertical="center"/>
    </xf>
    <xf numFmtId="0" fontId="30" fillId="28" borderId="13" xfId="64" applyFont="1" applyFill="1" applyBorder="1" applyAlignment="1">
      <alignment horizontal="left" vertical="center" wrapText="1"/>
    </xf>
    <xf numFmtId="0" fontId="57" fillId="28" borderId="1" xfId="63" applyFont="1" applyFill="1" applyBorder="1" applyAlignment="1">
      <alignment vertical="center" wrapText="1"/>
    </xf>
    <xf numFmtId="0" fontId="21" fillId="28" borderId="1" xfId="63" applyFont="1" applyFill="1" applyBorder="1" applyAlignment="1">
      <alignment vertical="center" wrapText="1"/>
    </xf>
    <xf numFmtId="176" fontId="21" fillId="28" borderId="1" xfId="0" applyNumberFormat="1" applyFont="1" applyFill="1" applyBorder="1" applyAlignment="1">
      <alignment horizontal="left" vertical="center" wrapText="1"/>
    </xf>
    <xf numFmtId="41" fontId="58" fillId="28" borderId="1" xfId="64" applyNumberFormat="1" applyFont="1" applyFill="1" applyBorder="1" applyAlignment="1">
      <alignment horizontal="right" vertical="center" wrapText="1"/>
    </xf>
    <xf numFmtId="41" fontId="59" fillId="28" borderId="21" xfId="64" applyNumberFormat="1" applyFont="1" applyFill="1" applyBorder="1" applyAlignment="1">
      <alignment horizontal="right" vertical="center" wrapText="1"/>
    </xf>
    <xf numFmtId="0" fontId="20" fillId="0" borderId="18" xfId="64" applyFont="1" applyBorder="1" applyAlignment="1">
      <alignment horizontal="left" vertical="center"/>
    </xf>
    <xf numFmtId="0" fontId="23" fillId="0" borderId="17" xfId="64" applyFont="1" applyBorder="1" applyAlignment="1">
      <alignment horizontal="left" vertical="center"/>
    </xf>
    <xf numFmtId="0" fontId="23" fillId="0" borderId="13" xfId="64" applyFont="1" applyBorder="1" applyAlignment="1">
      <alignment horizontal="left" vertical="center"/>
    </xf>
    <xf numFmtId="41" fontId="23" fillId="0" borderId="1" xfId="64" applyNumberFormat="1" applyFont="1" applyBorder="1" applyAlignment="1">
      <alignment horizontal="right" vertical="center" wrapText="1"/>
    </xf>
    <xf numFmtId="0" fontId="64" fillId="0" borderId="18" xfId="64" applyFont="1" applyBorder="1" applyAlignment="1">
      <alignment horizontal="left" vertical="center"/>
    </xf>
    <xf numFmtId="41" fontId="62" fillId="0" borderId="1" xfId="64" applyNumberFormat="1" applyFont="1" applyBorder="1" applyAlignment="1">
      <alignment horizontal="right" vertical="center" wrapText="1"/>
    </xf>
    <xf numFmtId="41" fontId="23" fillId="0" borderId="0" xfId="64" applyNumberFormat="1" applyFont="1" applyAlignment="1">
      <alignment vertical="center"/>
    </xf>
    <xf numFmtId="0" fontId="65" fillId="28" borderId="1" xfId="0" applyFont="1" applyFill="1" applyBorder="1" applyAlignment="1">
      <alignment vertical="center" wrapText="1"/>
    </xf>
    <xf numFmtId="41" fontId="21" fillId="28" borderId="13" xfId="64" applyNumberFormat="1" applyFont="1" applyFill="1" applyBorder="1" applyAlignment="1">
      <alignment horizontal="left" vertical="center" wrapText="1"/>
    </xf>
    <xf numFmtId="0" fontId="65" fillId="28" borderId="1" xfId="0" applyFont="1" applyFill="1" applyBorder="1" applyAlignment="1">
      <alignment horizontal="left" vertical="center"/>
    </xf>
    <xf numFmtId="0" fontId="21" fillId="0" borderId="13" xfId="64" applyFont="1" applyBorder="1" applyAlignment="1">
      <alignment horizontal="left" vertical="center" wrapText="1"/>
    </xf>
    <xf numFmtId="0" fontId="21" fillId="0" borderId="13" xfId="0" applyFont="1" applyBorder="1" applyAlignment="1">
      <alignment horizontal="center" vertical="center"/>
    </xf>
    <xf numFmtId="41" fontId="52" fillId="0" borderId="1" xfId="64" applyNumberFormat="1" applyFont="1" applyBorder="1" applyAlignment="1">
      <alignment horizontal="right" vertical="center" wrapText="1"/>
    </xf>
    <xf numFmtId="41" fontId="9" fillId="0" borderId="1" xfId="64" applyNumberFormat="1" applyFont="1" applyBorder="1" applyAlignment="1">
      <alignment horizontal="right" vertical="center" wrapText="1"/>
    </xf>
    <xf numFmtId="0" fontId="57" fillId="0" borderId="1" xfId="63" applyFont="1" applyBorder="1" applyAlignment="1">
      <alignment vertical="center" wrapText="1"/>
    </xf>
    <xf numFmtId="0" fontId="65" fillId="0" borderId="1" xfId="0" applyFont="1" applyFill="1" applyBorder="1" applyAlignment="1">
      <alignment horizontal="left" vertical="center"/>
    </xf>
    <xf numFmtId="41" fontId="9" fillId="0" borderId="21" xfId="64" applyNumberFormat="1" applyFont="1" applyBorder="1" applyAlignment="1">
      <alignment horizontal="right" vertical="center" wrapText="1"/>
    </xf>
    <xf numFmtId="0" fontId="21" fillId="0" borderId="1" xfId="63" applyFont="1" applyBorder="1" applyAlignment="1">
      <alignment vertical="center" wrapText="1"/>
    </xf>
    <xf numFmtId="176" fontId="65" fillId="0" borderId="1" xfId="0" applyNumberFormat="1" applyFont="1" applyFill="1" applyBorder="1" applyAlignment="1">
      <alignment horizontal="left" vertical="center" wrapText="1"/>
    </xf>
    <xf numFmtId="176" fontId="21" fillId="0" borderId="1" xfId="0" applyNumberFormat="1" applyFont="1" applyFill="1" applyBorder="1" applyAlignment="1">
      <alignment horizontal="left" vertical="center" wrapText="1"/>
    </xf>
    <xf numFmtId="41" fontId="58" fillId="0" borderId="1" xfId="64" applyNumberFormat="1" applyFont="1" applyBorder="1" applyAlignment="1">
      <alignment horizontal="right" vertical="center" wrapText="1"/>
    </xf>
    <xf numFmtId="0" fontId="65" fillId="0" borderId="1" xfId="0" applyFont="1" applyBorder="1" applyAlignment="1">
      <alignment horizontal="left" vertical="center"/>
    </xf>
    <xf numFmtId="41" fontId="58" fillId="28" borderId="1" xfId="0" applyNumberFormat="1" applyFont="1" applyFill="1" applyBorder="1" applyAlignment="1">
      <alignment horizontal="right" vertical="center" wrapText="1"/>
    </xf>
    <xf numFmtId="41" fontId="52" fillId="0" borderId="1" xfId="0" applyNumberFormat="1" applyFont="1" applyBorder="1" applyAlignment="1">
      <alignment horizontal="right" vertical="center" wrapText="1"/>
    </xf>
    <xf numFmtId="179" fontId="66" fillId="0" borderId="1" xfId="72" applyNumberFormat="1" applyFont="1" applyFill="1" applyBorder="1" applyAlignment="1">
      <alignment vertical="center"/>
    </xf>
    <xf numFmtId="41" fontId="66" fillId="0" borderId="1" xfId="72" applyNumberFormat="1" applyFont="1" applyFill="1" applyBorder="1" applyAlignment="1">
      <alignment horizontal="right" vertical="center"/>
    </xf>
    <xf numFmtId="41" fontId="28" fillId="0" borderId="1" xfId="72" applyNumberFormat="1" applyFont="1" applyFill="1" applyBorder="1" applyAlignment="1">
      <alignment horizontal="right" vertical="center"/>
    </xf>
    <xf numFmtId="41" fontId="28" fillId="0" borderId="1" xfId="72" applyNumberFormat="1" applyFont="1" applyBorder="1" applyAlignment="1">
      <alignment horizontal="right" vertical="center"/>
    </xf>
    <xf numFmtId="41" fontId="28" fillId="0" borderId="1" xfId="73" applyNumberFormat="1" applyFont="1" applyBorder="1" applyAlignment="1">
      <alignment horizontal="right" vertical="center"/>
    </xf>
    <xf numFmtId="41" fontId="52" fillId="0" borderId="18" xfId="72" applyNumberFormat="1" applyFont="1" applyFill="1" applyBorder="1" applyAlignment="1">
      <alignment horizontal="right" vertical="center"/>
    </xf>
    <xf numFmtId="41" fontId="58" fillId="0" borderId="1" xfId="72" applyNumberFormat="1" applyFont="1" applyFill="1" applyBorder="1" applyAlignment="1">
      <alignment horizontal="right" vertical="center"/>
    </xf>
    <xf numFmtId="41" fontId="58" fillId="0" borderId="1" xfId="72" applyNumberFormat="1" applyFont="1" applyBorder="1" applyAlignment="1">
      <alignment horizontal="right" vertical="center"/>
    </xf>
    <xf numFmtId="41" fontId="58" fillId="0" borderId="1" xfId="73" applyNumberFormat="1" applyFont="1" applyBorder="1" applyAlignment="1">
      <alignment horizontal="right" vertical="center"/>
    </xf>
    <xf numFmtId="179" fontId="58" fillId="0" borderId="1" xfId="72" applyNumberFormat="1" applyFont="1" applyFill="1" applyBorder="1" applyAlignment="1">
      <alignment vertical="center"/>
    </xf>
    <xf numFmtId="41" fontId="61" fillId="0" borderId="1" xfId="64" applyNumberFormat="1" applyFont="1" applyFill="1" applyBorder="1" applyAlignment="1">
      <alignment horizontal="right" vertical="center" wrapText="1"/>
    </xf>
    <xf numFmtId="0" fontId="29" fillId="0" borderId="0" xfId="66" applyFont="1" applyAlignment="1">
      <alignment vertical="center"/>
    </xf>
    <xf numFmtId="0" fontId="29" fillId="0" borderId="0" xfId="66" applyFont="1" applyAlignment="1">
      <alignment horizontal="centerContinuous" vertical="center"/>
    </xf>
    <xf numFmtId="0" fontId="67" fillId="0" borderId="0" xfId="66" applyFont="1" applyAlignment="1">
      <alignment horizontal="left" vertical="center"/>
    </xf>
    <xf numFmtId="0" fontId="64" fillId="0" borderId="0" xfId="66" applyFont="1" applyAlignment="1">
      <alignment vertical="center"/>
    </xf>
    <xf numFmtId="0" fontId="9" fillId="0" borderId="0" xfId="66" applyFont="1" applyAlignment="1">
      <alignment vertical="center"/>
    </xf>
    <xf numFmtId="0" fontId="21" fillId="0" borderId="0" xfId="66" applyFont="1" applyAlignment="1">
      <alignment horizontal="right" vertical="center"/>
    </xf>
    <xf numFmtId="0" fontId="21" fillId="0" borderId="0" xfId="66" applyFont="1" applyAlignment="1">
      <alignment vertical="center"/>
    </xf>
    <xf numFmtId="0" fontId="9" fillId="0" borderId="0" xfId="66" applyFont="1" applyAlignment="1">
      <alignment horizontal="right" vertical="center" wrapText="1"/>
    </xf>
    <xf numFmtId="0" fontId="9" fillId="0" borderId="0" xfId="66" applyFont="1" applyBorder="1" applyAlignment="1">
      <alignment horizontal="right" vertical="center"/>
    </xf>
    <xf numFmtId="0" fontId="7" fillId="0" borderId="1" xfId="66" applyFont="1" applyBorder="1" applyAlignment="1">
      <alignment horizontal="center" vertical="center"/>
    </xf>
    <xf numFmtId="0" fontId="7" fillId="0" borderId="22" xfId="66" applyFont="1" applyBorder="1" applyAlignment="1">
      <alignment horizontal="centerContinuous" vertical="center" wrapText="1"/>
    </xf>
    <xf numFmtId="0" fontId="2" fillId="0" borderId="17" xfId="66" applyFont="1" applyBorder="1" applyAlignment="1">
      <alignment horizontal="centerContinuous" vertical="center"/>
    </xf>
    <xf numFmtId="0" fontId="2" fillId="0" borderId="13" xfId="66" applyFont="1" applyBorder="1" applyAlignment="1">
      <alignment horizontal="centerContinuous" vertical="center"/>
    </xf>
    <xf numFmtId="0" fontId="7" fillId="0" borderId="17" xfId="66" applyFont="1" applyBorder="1" applyAlignment="1">
      <alignment horizontal="centerContinuous" vertical="center"/>
    </xf>
    <xf numFmtId="0" fontId="9" fillId="0" borderId="0" xfId="66" applyFont="1" applyAlignment="1">
      <alignment horizontal="center" vertical="center"/>
    </xf>
    <xf numFmtId="0" fontId="2" fillId="0" borderId="21" xfId="66" applyFont="1" applyBorder="1" applyAlignment="1">
      <alignment horizontal="center" vertical="center" wrapText="1"/>
    </xf>
    <xf numFmtId="0" fontId="7" fillId="0" borderId="1" xfId="66" applyFont="1" applyBorder="1" applyAlignment="1">
      <alignment horizontal="center" vertical="center" wrapText="1"/>
    </xf>
    <xf numFmtId="0" fontId="7" fillId="0" borderId="21" xfId="66" applyFont="1" applyBorder="1" applyAlignment="1">
      <alignment horizontal="center" vertical="center" wrapText="1"/>
    </xf>
    <xf numFmtId="0" fontId="7" fillId="0" borderId="1" xfId="66" applyFont="1" applyFill="1" applyBorder="1" applyAlignment="1">
      <alignment horizontal="center" vertical="center"/>
    </xf>
    <xf numFmtId="0" fontId="7" fillId="0" borderId="21" xfId="66" applyFont="1" applyBorder="1" applyAlignment="1">
      <alignment horizontal="center" vertical="center"/>
    </xf>
    <xf numFmtId="0" fontId="2" fillId="0" borderId="21" xfId="66" applyFont="1" applyBorder="1" applyAlignment="1">
      <alignment horizontal="center" vertical="center"/>
    </xf>
    <xf numFmtId="41" fontId="23" fillId="0" borderId="1" xfId="66" applyNumberFormat="1" applyFont="1" applyBorder="1" applyAlignment="1">
      <alignment horizontal="right" vertical="center" wrapText="1"/>
    </xf>
    <xf numFmtId="182" fontId="15" fillId="0" borderId="0" xfId="66" applyNumberFormat="1" applyFont="1" applyAlignment="1">
      <alignment horizontal="right" vertical="center" wrapText="1"/>
    </xf>
    <xf numFmtId="0" fontId="23" fillId="0" borderId="0" xfId="66" applyFont="1" applyAlignment="1">
      <alignment vertical="center"/>
    </xf>
    <xf numFmtId="0" fontId="21" fillId="0" borderId="1" xfId="66" applyFont="1" applyBorder="1" applyAlignment="1">
      <alignment vertical="center" wrapText="1"/>
    </xf>
    <xf numFmtId="0" fontId="21" fillId="0" borderId="1" xfId="66" applyFont="1" applyBorder="1" applyAlignment="1">
      <alignment horizontal="left" vertical="center"/>
    </xf>
    <xf numFmtId="0" fontId="21" fillId="0" borderId="13" xfId="66" applyFont="1" applyBorder="1" applyAlignment="1">
      <alignment horizontal="left" vertical="center" wrapText="1"/>
    </xf>
    <xf numFmtId="0" fontId="21" fillId="0" borderId="13" xfId="66" applyFont="1" applyBorder="1" applyAlignment="1">
      <alignment horizontal="center" vertical="center" wrapText="1"/>
    </xf>
    <xf numFmtId="41" fontId="9" fillId="0" borderId="1" xfId="66" applyNumberFormat="1" applyFont="1" applyBorder="1" applyAlignment="1">
      <alignment horizontal="right" vertical="center" wrapText="1"/>
    </xf>
    <xf numFmtId="41" fontId="9" fillId="0" borderId="21" xfId="66" applyNumberFormat="1" applyFont="1" applyBorder="1" applyAlignment="1">
      <alignment horizontal="right" vertical="center" wrapText="1"/>
    </xf>
    <xf numFmtId="41" fontId="9" fillId="0" borderId="21" xfId="66" applyNumberFormat="1" applyFont="1" applyFill="1" applyBorder="1" applyAlignment="1">
      <alignment horizontal="right" vertical="center" wrapText="1"/>
    </xf>
    <xf numFmtId="41" fontId="9" fillId="0" borderId="1" xfId="66" applyNumberFormat="1" applyFont="1" applyFill="1" applyBorder="1" applyAlignment="1">
      <alignment horizontal="right" vertical="center" wrapText="1"/>
    </xf>
    <xf numFmtId="0" fontId="21" fillId="0" borderId="13" xfId="66" applyFont="1" applyBorder="1" applyAlignment="1">
      <alignment vertical="center" wrapText="1"/>
    </xf>
    <xf numFmtId="0" fontId="21" fillId="0" borderId="13" xfId="66" applyFont="1" applyBorder="1" applyAlignment="1">
      <alignment horizontal="left" vertical="center"/>
    </xf>
    <xf numFmtId="41" fontId="23" fillId="0" borderId="21" xfId="66" applyNumberFormat="1" applyFont="1" applyBorder="1" applyAlignment="1">
      <alignment horizontal="right" vertical="center" wrapText="1"/>
    </xf>
    <xf numFmtId="0" fontId="21" fillId="0" borderId="1" xfId="66" applyFont="1" applyBorder="1" applyAlignment="1">
      <alignment horizontal="center" vertical="center" wrapText="1"/>
    </xf>
    <xf numFmtId="0" fontId="21" fillId="0" borderId="23" xfId="66" applyFont="1" applyBorder="1" applyAlignment="1">
      <alignment vertical="center"/>
    </xf>
    <xf numFmtId="0" fontId="21" fillId="0" borderId="23" xfId="66" applyFont="1" applyBorder="1" applyAlignment="1">
      <alignment horizontal="left" vertical="center"/>
    </xf>
    <xf numFmtId="0" fontId="21" fillId="0" borderId="23" xfId="66" applyFont="1" applyFill="1" applyBorder="1" applyAlignment="1">
      <alignment horizontal="left" vertical="center" wrapText="1"/>
    </xf>
    <xf numFmtId="41" fontId="9" fillId="0" borderId="23" xfId="66" applyNumberFormat="1" applyFont="1" applyBorder="1" applyAlignment="1">
      <alignment horizontal="right" vertical="center" wrapText="1"/>
    </xf>
    <xf numFmtId="41" fontId="9" fillId="0" borderId="0" xfId="66" applyNumberFormat="1" applyFont="1" applyBorder="1" applyAlignment="1">
      <alignment horizontal="right" vertical="center" wrapText="1"/>
    </xf>
    <xf numFmtId="41" fontId="9" fillId="0" borderId="0" xfId="66" applyNumberFormat="1" applyFont="1" applyFill="1" applyBorder="1" applyAlignment="1">
      <alignment horizontal="right" vertical="center" wrapText="1"/>
    </xf>
    <xf numFmtId="41" fontId="9" fillId="0" borderId="23" xfId="66" applyNumberFormat="1" applyFont="1" applyFill="1" applyBorder="1" applyAlignment="1">
      <alignment horizontal="right" vertical="center" wrapText="1"/>
    </xf>
    <xf numFmtId="182" fontId="15" fillId="0" borderId="0" xfId="66" applyNumberFormat="1" applyFont="1" applyBorder="1" applyAlignment="1">
      <alignment horizontal="right" vertical="center" wrapText="1"/>
    </xf>
    <xf numFmtId="0" fontId="23" fillId="0" borderId="0" xfId="66" applyFont="1" applyBorder="1" applyAlignment="1">
      <alignment vertical="center"/>
    </xf>
    <xf numFmtId="41" fontId="9" fillId="0" borderId="0" xfId="66" applyNumberFormat="1" applyFont="1" applyAlignment="1">
      <alignment vertical="center"/>
    </xf>
    <xf numFmtId="0" fontId="9" fillId="0" borderId="0" xfId="66" applyFont="1" applyAlignment="1">
      <alignment horizontal="center" vertical="center" wrapText="1"/>
    </xf>
    <xf numFmtId="179" fontId="52" fillId="0" borderId="1" xfId="72" applyNumberFormat="1" applyFont="1" applyFill="1" applyBorder="1" applyAlignment="1">
      <alignment horizontal="right" vertical="center"/>
    </xf>
    <xf numFmtId="179" fontId="68" fillId="0" borderId="1" xfId="72" applyNumberFormat="1" applyFont="1" applyFill="1" applyBorder="1" applyAlignment="1">
      <alignment horizontal="right" vertical="center"/>
    </xf>
    <xf numFmtId="41" fontId="7" fillId="0" borderId="0" xfId="72" applyNumberFormat="1" applyFont="1" applyFill="1" applyAlignment="1">
      <alignment horizontal="left" vertical="center"/>
    </xf>
    <xf numFmtId="41" fontId="28" fillId="25" borderId="1" xfId="66" applyNumberFormat="1" applyFont="1" applyFill="1" applyBorder="1" applyAlignment="1">
      <alignment horizontal="right" vertical="center" wrapText="1"/>
    </xf>
    <xf numFmtId="179" fontId="28" fillId="0" borderId="1" xfId="72" applyNumberFormat="1" applyFont="1" applyFill="1" applyBorder="1" applyAlignment="1">
      <alignment vertical="center"/>
    </xf>
    <xf numFmtId="0" fontId="29" fillId="0" borderId="0" xfId="65" applyFont="1" applyAlignment="1">
      <alignment vertical="center"/>
    </xf>
    <xf numFmtId="0" fontId="29" fillId="0" borderId="0" xfId="65" applyFont="1" applyAlignment="1">
      <alignment horizontal="centerContinuous" vertical="center"/>
    </xf>
    <xf numFmtId="0" fontId="20" fillId="0" borderId="0" xfId="65" applyFont="1" applyAlignment="1">
      <alignment vertical="center"/>
    </xf>
    <xf numFmtId="0" fontId="9" fillId="0" borderId="0" xfId="65" applyFont="1" applyAlignment="1">
      <alignment vertical="center"/>
    </xf>
    <xf numFmtId="0" fontId="21" fillId="0" borderId="0" xfId="65" applyFont="1" applyAlignment="1">
      <alignment horizontal="right" vertical="center"/>
    </xf>
    <xf numFmtId="0" fontId="21" fillId="0" borderId="0" xfId="65" applyFont="1" applyAlignment="1">
      <alignment vertical="center"/>
    </xf>
    <xf numFmtId="0" fontId="9" fillId="0" borderId="0" xfId="65" applyFont="1" applyAlignment="1">
      <alignment horizontal="right" vertical="center" wrapText="1"/>
    </xf>
    <xf numFmtId="0" fontId="9" fillId="0" borderId="0" xfId="65" applyFont="1" applyBorder="1" applyAlignment="1">
      <alignment horizontal="right" vertical="center"/>
    </xf>
    <xf numFmtId="0" fontId="7" fillId="0" borderId="1" xfId="65" applyFont="1" applyBorder="1" applyAlignment="1">
      <alignment horizontal="center" vertical="center"/>
    </xf>
    <xf numFmtId="0" fontId="7" fillId="0" borderId="22" xfId="65" applyFont="1" applyBorder="1" applyAlignment="1">
      <alignment horizontal="centerContinuous" vertical="center" wrapText="1"/>
    </xf>
    <xf numFmtId="0" fontId="2" fillId="0" borderId="17" xfId="65" applyFont="1" applyBorder="1" applyAlignment="1">
      <alignment horizontal="centerContinuous" vertical="center"/>
    </xf>
    <xf numFmtId="0" fontId="2" fillId="0" borderId="13" xfId="65" applyFont="1" applyBorder="1" applyAlignment="1">
      <alignment horizontal="centerContinuous" vertical="center"/>
    </xf>
    <xf numFmtId="0" fontId="2" fillId="0" borderId="0" xfId="65" applyFont="1" applyAlignment="1">
      <alignment horizontal="center" vertical="center"/>
    </xf>
    <xf numFmtId="0" fontId="2" fillId="0" borderId="21" xfId="65" applyFont="1" applyBorder="1" applyAlignment="1">
      <alignment horizontal="center" vertical="center" wrapText="1"/>
    </xf>
    <xf numFmtId="0" fontId="7" fillId="0" borderId="1" xfId="65" applyFont="1" applyBorder="1" applyAlignment="1">
      <alignment horizontal="center" vertical="center" wrapText="1"/>
    </xf>
    <xf numFmtId="0" fontId="7" fillId="0" borderId="21" xfId="65" applyFont="1" applyBorder="1" applyAlignment="1">
      <alignment horizontal="center" vertical="center" wrapText="1"/>
    </xf>
    <xf numFmtId="0" fontId="7" fillId="0" borderId="1" xfId="65" applyFont="1" applyFill="1" applyBorder="1" applyAlignment="1">
      <alignment horizontal="center" vertical="center"/>
    </xf>
    <xf numFmtId="0" fontId="7" fillId="0" borderId="21" xfId="65" applyFont="1" applyBorder="1" applyAlignment="1">
      <alignment horizontal="center" vertical="center"/>
    </xf>
    <xf numFmtId="0" fontId="2" fillId="0" borderId="21" xfId="65" applyFont="1" applyBorder="1" applyAlignment="1">
      <alignment horizontal="center" vertical="center"/>
    </xf>
    <xf numFmtId="41" fontId="23" fillId="0" borderId="1" xfId="65" applyNumberFormat="1" applyFont="1" applyBorder="1" applyAlignment="1">
      <alignment horizontal="right" vertical="center"/>
    </xf>
    <xf numFmtId="182" fontId="15" fillId="0" borderId="0" xfId="65" applyNumberFormat="1" applyFont="1" applyAlignment="1">
      <alignment horizontal="right" vertical="center" wrapText="1"/>
    </xf>
    <xf numFmtId="0" fontId="23" fillId="0" borderId="0" xfId="65" applyFont="1" applyAlignment="1">
      <alignment vertical="center"/>
    </xf>
    <xf numFmtId="0" fontId="21" fillId="0" borderId="1" xfId="65" applyFont="1" applyBorder="1" applyAlignment="1">
      <alignment vertical="center" wrapText="1"/>
    </xf>
    <xf numFmtId="0" fontId="21" fillId="0" borderId="1" xfId="65" applyFont="1" applyBorder="1" applyAlignment="1">
      <alignment horizontal="left" vertical="center"/>
    </xf>
    <xf numFmtId="0" fontId="21" fillId="0" borderId="13" xfId="65" applyFont="1" applyBorder="1" applyAlignment="1">
      <alignment horizontal="left" vertical="center" wrapText="1"/>
    </xf>
    <xf numFmtId="0" fontId="21" fillId="0" borderId="13" xfId="65" applyFont="1" applyBorder="1" applyAlignment="1">
      <alignment horizontal="center" vertical="center" wrapText="1"/>
    </xf>
    <xf numFmtId="41" fontId="9" fillId="0" borderId="1" xfId="65" applyNumberFormat="1" applyFont="1" applyBorder="1" applyAlignment="1">
      <alignment horizontal="right" vertical="center"/>
    </xf>
    <xf numFmtId="41" fontId="9" fillId="0" borderId="21" xfId="65" applyNumberFormat="1" applyFont="1" applyBorder="1" applyAlignment="1">
      <alignment horizontal="right" vertical="center"/>
    </xf>
    <xf numFmtId="41" fontId="9" fillId="0" borderId="21" xfId="65" applyNumberFormat="1" applyFont="1" applyFill="1" applyBorder="1" applyAlignment="1">
      <alignment horizontal="right" vertical="center"/>
    </xf>
    <xf numFmtId="41" fontId="9" fillId="0" borderId="1" xfId="65" applyNumberFormat="1" applyFont="1" applyFill="1" applyBorder="1" applyAlignment="1">
      <alignment horizontal="right" vertical="center"/>
    </xf>
    <xf numFmtId="0" fontId="21" fillId="0" borderId="1" xfId="65" applyFont="1" applyBorder="1" applyAlignment="1">
      <alignment horizontal="center" vertical="center"/>
    </xf>
    <xf numFmtId="41" fontId="23" fillId="0" borderId="21" xfId="65" applyNumberFormat="1" applyFont="1" applyBorder="1" applyAlignment="1">
      <alignment horizontal="right" vertical="center"/>
    </xf>
    <xf numFmtId="0" fontId="7" fillId="0" borderId="23" xfId="65" applyFont="1" applyBorder="1" applyAlignment="1">
      <alignment vertical="center"/>
    </xf>
    <xf numFmtId="0" fontId="21" fillId="0" borderId="23" xfId="65" applyFont="1" applyBorder="1" applyAlignment="1">
      <alignment horizontal="left" vertical="center"/>
    </xf>
    <xf numFmtId="0" fontId="21" fillId="0" borderId="23" xfId="65" applyFont="1" applyFill="1" applyBorder="1" applyAlignment="1">
      <alignment horizontal="left" vertical="center" wrapText="1"/>
    </xf>
    <xf numFmtId="41" fontId="9" fillId="0" borderId="23" xfId="65" applyNumberFormat="1" applyFont="1" applyBorder="1" applyAlignment="1">
      <alignment horizontal="right" vertical="center" wrapText="1"/>
    </xf>
    <xf numFmtId="41" fontId="9" fillId="0" borderId="0" xfId="65" applyNumberFormat="1" applyFont="1" applyBorder="1" applyAlignment="1">
      <alignment horizontal="right" vertical="center" wrapText="1"/>
    </xf>
    <xf numFmtId="41" fontId="9" fillId="0" borderId="0" xfId="65" applyNumberFormat="1" applyFont="1" applyFill="1" applyBorder="1" applyAlignment="1">
      <alignment horizontal="right" vertical="center" wrapText="1"/>
    </xf>
    <xf numFmtId="41" fontId="9" fillId="0" borderId="23" xfId="65" applyNumberFormat="1" applyFont="1" applyFill="1" applyBorder="1" applyAlignment="1">
      <alignment horizontal="right" vertical="center" wrapText="1"/>
    </xf>
    <xf numFmtId="182" fontId="15" fillId="0" borderId="0" xfId="65" applyNumberFormat="1" applyFont="1" applyBorder="1" applyAlignment="1">
      <alignment horizontal="right" vertical="center" wrapText="1"/>
    </xf>
    <xf numFmtId="0" fontId="23" fillId="0" borderId="0" xfId="65" applyFont="1" applyBorder="1" applyAlignment="1">
      <alignment vertical="center"/>
    </xf>
    <xf numFmtId="0" fontId="9" fillId="0" borderId="0" xfId="65" applyFont="1" applyAlignment="1">
      <alignment horizontal="center" vertical="center" wrapText="1"/>
    </xf>
    <xf numFmtId="41" fontId="23" fillId="26" borderId="1" xfId="65" applyNumberFormat="1" applyFont="1" applyFill="1" applyBorder="1" applyAlignment="1">
      <alignment horizontal="right" vertical="center"/>
    </xf>
    <xf numFmtId="41" fontId="9" fillId="26" borderId="1" xfId="65" applyNumberFormat="1" applyFont="1" applyFill="1" applyBorder="1" applyAlignment="1">
      <alignment horizontal="right" vertical="center"/>
    </xf>
    <xf numFmtId="41" fontId="9" fillId="26" borderId="21" xfId="65" applyNumberFormat="1" applyFont="1" applyFill="1" applyBorder="1" applyAlignment="1">
      <alignment horizontal="right" vertical="center"/>
    </xf>
    <xf numFmtId="182" fontId="70" fillId="0" borderId="0" xfId="65" applyNumberFormat="1" applyFont="1" applyAlignment="1">
      <alignment horizontal="right" vertical="center" wrapText="1"/>
    </xf>
    <xf numFmtId="49" fontId="20" fillId="29" borderId="1" xfId="65" applyNumberFormat="1" applyFont="1" applyFill="1" applyBorder="1" applyAlignment="1">
      <alignment vertical="center"/>
    </xf>
    <xf numFmtId="0" fontId="20" fillId="29" borderId="1" xfId="65" applyFont="1" applyFill="1" applyBorder="1" applyAlignment="1">
      <alignment horizontal="left" vertical="center"/>
    </xf>
    <xf numFmtId="0" fontId="20" fillId="29" borderId="13" xfId="65" applyFont="1" applyFill="1" applyBorder="1" applyAlignment="1">
      <alignment horizontal="left" vertical="center" wrapText="1"/>
    </xf>
    <xf numFmtId="0" fontId="20" fillId="29" borderId="13" xfId="65" applyFont="1" applyFill="1" applyBorder="1" applyAlignment="1">
      <alignment horizontal="center" vertical="center" wrapText="1"/>
    </xf>
    <xf numFmtId="41" fontId="23" fillId="29" borderId="1" xfId="65" applyNumberFormat="1" applyFont="1" applyFill="1" applyBorder="1" applyAlignment="1">
      <alignment horizontal="right" vertical="center"/>
    </xf>
    <xf numFmtId="0" fontId="23" fillId="0" borderId="0" xfId="65" applyFont="1" applyFill="1" applyAlignment="1">
      <alignment vertical="center"/>
    </xf>
    <xf numFmtId="0" fontId="21" fillId="0" borderId="1" xfId="65" applyFont="1" applyFill="1" applyBorder="1" applyAlignment="1">
      <alignment horizontal="left" vertical="center"/>
    </xf>
    <xf numFmtId="0" fontId="21" fillId="0" borderId="13" xfId="65" applyFont="1" applyFill="1" applyBorder="1" applyAlignment="1">
      <alignment horizontal="left" vertical="center" wrapText="1"/>
    </xf>
    <xf numFmtId="0" fontId="21" fillId="0" borderId="13" xfId="65" applyFont="1" applyFill="1" applyBorder="1" applyAlignment="1">
      <alignment horizontal="center" vertical="center" wrapText="1"/>
    </xf>
    <xf numFmtId="49" fontId="21" fillId="0" borderId="1" xfId="65" applyNumberFormat="1" applyFont="1" applyFill="1" applyBorder="1" applyAlignment="1">
      <alignment vertical="center"/>
    </xf>
    <xf numFmtId="49" fontId="20" fillId="30" borderId="1" xfId="65" applyNumberFormat="1" applyFont="1" applyFill="1" applyBorder="1" applyAlignment="1">
      <alignment vertical="center"/>
    </xf>
    <xf numFmtId="0" fontId="20" fillId="30" borderId="1" xfId="65" applyFont="1" applyFill="1" applyBorder="1" applyAlignment="1">
      <alignment horizontal="left" vertical="center"/>
    </xf>
    <xf numFmtId="0" fontId="20" fillId="30" borderId="13" xfId="65" applyFont="1" applyFill="1" applyBorder="1" applyAlignment="1">
      <alignment horizontal="left" vertical="center" wrapText="1"/>
    </xf>
    <xf numFmtId="0" fontId="20" fillId="30" borderId="13" xfId="65" applyFont="1" applyFill="1" applyBorder="1" applyAlignment="1">
      <alignment horizontal="center" vertical="center" wrapText="1"/>
    </xf>
    <xf numFmtId="41" fontId="23" fillId="30" borderId="1" xfId="65" applyNumberFormat="1" applyFont="1" applyFill="1" applyBorder="1" applyAlignment="1">
      <alignment horizontal="right" vertical="center"/>
    </xf>
    <xf numFmtId="182" fontId="70" fillId="30" borderId="0" xfId="65" applyNumberFormat="1" applyFont="1" applyFill="1" applyAlignment="1">
      <alignment horizontal="right" vertical="center" wrapText="1"/>
    </xf>
    <xf numFmtId="0" fontId="23" fillId="30" borderId="0" xfId="65" applyFont="1" applyFill="1" applyAlignment="1">
      <alignment vertical="center"/>
    </xf>
    <xf numFmtId="49" fontId="20" fillId="24" borderId="1" xfId="65" applyNumberFormat="1" applyFont="1" applyFill="1" applyBorder="1" applyAlignment="1">
      <alignment vertical="center"/>
    </xf>
    <xf numFmtId="0" fontId="20" fillId="24" borderId="1" xfId="65" applyFont="1" applyFill="1" applyBorder="1" applyAlignment="1">
      <alignment horizontal="left" vertical="center"/>
    </xf>
    <xf numFmtId="0" fontId="20" fillId="24" borderId="13" xfId="65" applyFont="1" applyFill="1" applyBorder="1" applyAlignment="1">
      <alignment horizontal="left" vertical="center" wrapText="1"/>
    </xf>
    <xf numFmtId="0" fontId="20" fillId="24" borderId="13" xfId="65" applyFont="1" applyFill="1" applyBorder="1" applyAlignment="1">
      <alignment horizontal="center" vertical="center" wrapText="1"/>
    </xf>
    <xf numFmtId="41" fontId="23" fillId="24" borderId="1" xfId="65" applyNumberFormat="1" applyFont="1" applyFill="1" applyBorder="1" applyAlignment="1">
      <alignment horizontal="right" vertical="center"/>
    </xf>
    <xf numFmtId="0" fontId="23" fillId="24" borderId="0" xfId="65" applyFont="1" applyFill="1" applyAlignment="1">
      <alignment vertical="center"/>
    </xf>
    <xf numFmtId="49" fontId="21" fillId="24" borderId="1" xfId="65" applyNumberFormat="1" applyFont="1" applyFill="1" applyBorder="1" applyAlignment="1">
      <alignment vertical="center"/>
    </xf>
    <xf numFmtId="0" fontId="21" fillId="24" borderId="1" xfId="65" applyFont="1" applyFill="1" applyBorder="1" applyAlignment="1">
      <alignment horizontal="left" vertical="center"/>
    </xf>
    <xf numFmtId="0" fontId="21" fillId="24" borderId="13" xfId="65" applyFont="1" applyFill="1" applyBorder="1" applyAlignment="1">
      <alignment horizontal="left" vertical="center" wrapText="1"/>
    </xf>
    <xf numFmtId="0" fontId="21" fillId="24" borderId="13" xfId="65" applyFont="1" applyFill="1" applyBorder="1" applyAlignment="1">
      <alignment horizontal="center" vertical="center" wrapText="1"/>
    </xf>
    <xf numFmtId="41" fontId="9" fillId="24" borderId="1" xfId="65" applyNumberFormat="1" applyFont="1" applyFill="1" applyBorder="1" applyAlignment="1">
      <alignment horizontal="right" vertical="center"/>
    </xf>
    <xf numFmtId="41" fontId="9" fillId="24" borderId="21" xfId="65" applyNumberFormat="1" applyFont="1" applyFill="1" applyBorder="1" applyAlignment="1">
      <alignment horizontal="right" vertical="center"/>
    </xf>
    <xf numFmtId="182" fontId="15" fillId="24" borderId="0" xfId="65" applyNumberFormat="1" applyFont="1" applyFill="1" applyAlignment="1">
      <alignment horizontal="right" vertical="center" wrapText="1"/>
    </xf>
    <xf numFmtId="0" fontId="9" fillId="24" borderId="0" xfId="65" applyFont="1" applyFill="1" applyAlignment="1">
      <alignment vertical="center"/>
    </xf>
    <xf numFmtId="0" fontId="20" fillId="30" borderId="18" xfId="65" applyFont="1" applyFill="1" applyBorder="1" applyAlignment="1">
      <alignment horizontal="center" vertical="center"/>
    </xf>
    <xf numFmtId="0" fontId="23" fillId="30" borderId="17" xfId="65" applyFont="1" applyFill="1" applyBorder="1" applyAlignment="1">
      <alignment horizontal="left" vertical="center"/>
    </xf>
    <xf numFmtId="0" fontId="23" fillId="30" borderId="13" xfId="65" applyFont="1" applyFill="1" applyBorder="1" applyAlignment="1">
      <alignment horizontal="left" vertical="center"/>
    </xf>
    <xf numFmtId="0" fontId="23" fillId="30" borderId="13" xfId="65" applyFont="1" applyFill="1" applyBorder="1" applyAlignment="1">
      <alignment horizontal="center" vertical="center"/>
    </xf>
    <xf numFmtId="0" fontId="21" fillId="30" borderId="1" xfId="65" applyFont="1" applyFill="1" applyBorder="1" applyAlignment="1">
      <alignment vertical="center" wrapText="1"/>
    </xf>
    <xf numFmtId="0" fontId="21" fillId="30" borderId="1" xfId="65" applyFont="1" applyFill="1" applyBorder="1" applyAlignment="1">
      <alignment horizontal="center" vertical="center"/>
    </xf>
    <xf numFmtId="41" fontId="9" fillId="30" borderId="1" xfId="65" applyNumberFormat="1" applyFont="1" applyFill="1" applyBorder="1" applyAlignment="1">
      <alignment horizontal="right" vertical="center"/>
    </xf>
    <xf numFmtId="41" fontId="9" fillId="30" borderId="21" xfId="65" applyNumberFormat="1" applyFont="1" applyFill="1" applyBorder="1" applyAlignment="1">
      <alignment horizontal="right" vertical="center"/>
    </xf>
    <xf numFmtId="49" fontId="21" fillId="0" borderId="1" xfId="65" applyNumberFormat="1" applyFont="1" applyFill="1" applyBorder="1" applyAlignment="1">
      <alignment vertical="center" wrapText="1"/>
    </xf>
    <xf numFmtId="0" fontId="21" fillId="0" borderId="1" xfId="65" applyFont="1" applyFill="1" applyBorder="1" applyAlignment="1">
      <alignment horizontal="left" vertical="center" wrapText="1"/>
    </xf>
    <xf numFmtId="49" fontId="21" fillId="24" borderId="1" xfId="65" applyNumberFormat="1" applyFont="1" applyFill="1" applyBorder="1" applyAlignment="1">
      <alignment vertical="center" wrapText="1"/>
    </xf>
    <xf numFmtId="0" fontId="21" fillId="24" borderId="1" xfId="65" applyFont="1" applyFill="1" applyBorder="1" applyAlignment="1">
      <alignment horizontal="left" vertical="center" wrapText="1"/>
    </xf>
    <xf numFmtId="0" fontId="21" fillId="24" borderId="1" xfId="65" applyFont="1" applyFill="1" applyBorder="1" applyAlignment="1">
      <alignment vertical="center" wrapText="1"/>
    </xf>
    <xf numFmtId="49" fontId="21" fillId="31" borderId="1" xfId="65" applyNumberFormat="1" applyFont="1" applyFill="1" applyBorder="1" applyAlignment="1">
      <alignment vertical="center"/>
    </xf>
    <xf numFmtId="0" fontId="21" fillId="31" borderId="1" xfId="65" applyFont="1" applyFill="1" applyBorder="1" applyAlignment="1">
      <alignment horizontal="left" vertical="center"/>
    </xf>
    <xf numFmtId="0" fontId="21" fillId="31" borderId="13" xfId="65" applyFont="1" applyFill="1" applyBorder="1" applyAlignment="1">
      <alignment horizontal="left" vertical="center" wrapText="1"/>
    </xf>
    <xf numFmtId="0" fontId="21" fillId="31" borderId="13" xfId="65" applyFont="1" applyFill="1" applyBorder="1" applyAlignment="1">
      <alignment horizontal="center" vertical="center" wrapText="1"/>
    </xf>
    <xf numFmtId="41" fontId="9" fillId="31" borderId="1" xfId="65" applyNumberFormat="1" applyFont="1" applyFill="1" applyBorder="1" applyAlignment="1">
      <alignment horizontal="right" vertical="center"/>
    </xf>
    <xf numFmtId="41" fontId="9" fillId="31" borderId="21" xfId="65" applyNumberFormat="1" applyFont="1" applyFill="1" applyBorder="1" applyAlignment="1">
      <alignment horizontal="right" vertical="center"/>
    </xf>
    <xf numFmtId="0" fontId="23" fillId="31" borderId="0" xfId="65" applyFont="1" applyFill="1" applyAlignment="1">
      <alignment vertical="center"/>
    </xf>
    <xf numFmtId="41" fontId="9" fillId="0" borderId="0" xfId="65" applyNumberFormat="1" applyFont="1" applyAlignment="1">
      <alignment vertical="center"/>
    </xf>
    <xf numFmtId="0" fontId="71" fillId="0" borderId="0" xfId="65" applyFont="1" applyAlignment="1">
      <alignment vertical="center"/>
    </xf>
    <xf numFmtId="187" fontId="7" fillId="0" borderId="0" xfId="72" applyNumberFormat="1" applyFont="1" applyFill="1" applyAlignment="1">
      <alignment vertical="center"/>
    </xf>
    <xf numFmtId="179" fontId="52" fillId="25" borderId="1" xfId="72" applyNumberFormat="1" applyFont="1" applyFill="1" applyBorder="1" applyAlignment="1">
      <alignment horizontal="right" vertical="center"/>
    </xf>
    <xf numFmtId="0" fontId="2" fillId="0" borderId="0" xfId="72" applyNumberFormat="1" applyFont="1" applyFill="1" applyAlignment="1">
      <alignment vertical="center"/>
    </xf>
    <xf numFmtId="187" fontId="2" fillId="0" borderId="0" xfId="72" applyNumberFormat="1" applyFont="1" applyFill="1" applyAlignment="1">
      <alignment vertical="center"/>
    </xf>
    <xf numFmtId="0" fontId="2" fillId="0" borderId="0" xfId="72" applyNumberFormat="1" applyFont="1" applyAlignment="1">
      <alignment vertical="center"/>
    </xf>
    <xf numFmtId="0" fontId="2" fillId="0" borderId="0" xfId="72" applyNumberFormat="1" applyFont="1" applyFill="1" applyAlignment="1">
      <alignment horizontal="left" vertical="center" wrapText="1"/>
    </xf>
    <xf numFmtId="0" fontId="2" fillId="0" borderId="0" xfId="72" applyNumberFormat="1" applyFont="1" applyFill="1" applyAlignment="1">
      <alignment horizontal="left" vertical="center"/>
    </xf>
    <xf numFmtId="179" fontId="2" fillId="0" borderId="0" xfId="72" applyNumberFormat="1" applyFont="1" applyFill="1" applyAlignment="1">
      <alignment vertical="center"/>
    </xf>
    <xf numFmtId="179" fontId="2" fillId="0" borderId="1" xfId="72" applyNumberFormat="1" applyFont="1" applyBorder="1" applyAlignment="1">
      <alignment vertical="center"/>
    </xf>
    <xf numFmtId="0" fontId="2" fillId="0" borderId="1" xfId="72" applyNumberFormat="1" applyFont="1" applyFill="1" applyBorder="1" applyAlignment="1">
      <alignment vertical="center"/>
    </xf>
    <xf numFmtId="179" fontId="2" fillId="0" borderId="1" xfId="72" applyNumberFormat="1" applyFont="1" applyFill="1" applyBorder="1" applyAlignment="1">
      <alignment vertical="center"/>
    </xf>
    <xf numFmtId="176" fontId="2" fillId="0" borderId="0" xfId="72" applyNumberFormat="1" applyFont="1" applyFill="1" applyAlignment="1">
      <alignment vertical="center"/>
    </xf>
    <xf numFmtId="0" fontId="2" fillId="0" borderId="1" xfId="72" applyNumberFormat="1" applyFont="1" applyFill="1" applyBorder="1" applyAlignment="1">
      <alignment horizontal="left" vertical="center"/>
    </xf>
    <xf numFmtId="0" fontId="19" fillId="0" borderId="0" xfId="72" applyNumberFormat="1" applyFont="1" applyFill="1" applyAlignment="1">
      <alignment horizontal="right" vertical="center"/>
    </xf>
    <xf numFmtId="179" fontId="2" fillId="25" borderId="1" xfId="72" applyNumberFormat="1" applyFont="1" applyFill="1" applyBorder="1" applyAlignment="1">
      <alignment horizontal="right" vertical="center"/>
    </xf>
    <xf numFmtId="179" fontId="2" fillId="0" borderId="1" xfId="72" applyNumberFormat="1" applyFont="1" applyFill="1" applyBorder="1" applyAlignment="1">
      <alignment horizontal="right" vertical="center"/>
    </xf>
    <xf numFmtId="0" fontId="19" fillId="0" borderId="1" xfId="72" applyNumberFormat="1" applyFont="1" applyBorder="1" applyAlignment="1">
      <alignment horizontal="left" vertical="center"/>
    </xf>
    <xf numFmtId="179" fontId="75" fillId="25" borderId="1" xfId="72" applyNumberFormat="1" applyFont="1" applyFill="1" applyBorder="1" applyAlignment="1">
      <alignment horizontal="right" vertical="center"/>
    </xf>
    <xf numFmtId="0" fontId="75" fillId="0" borderId="0" xfId="72" applyNumberFormat="1" applyFont="1" applyAlignment="1">
      <alignment vertical="center"/>
    </xf>
    <xf numFmtId="0" fontId="19" fillId="0" borderId="1" xfId="72" applyNumberFormat="1" applyFont="1" applyBorder="1" applyAlignment="1">
      <alignment vertical="center"/>
    </xf>
    <xf numFmtId="0" fontId="76" fillId="0" borderId="0" xfId="72" applyNumberFormat="1" applyFont="1" applyBorder="1" applyAlignment="1">
      <alignment vertical="center"/>
    </xf>
    <xf numFmtId="0" fontId="77" fillId="0" borderId="0" xfId="72" applyNumberFormat="1" applyFont="1" applyAlignment="1">
      <alignment vertical="center"/>
    </xf>
    <xf numFmtId="0" fontId="19" fillId="0" borderId="0" xfId="72" applyNumberFormat="1" applyFont="1" applyAlignment="1">
      <alignment horizontal="center" vertical="center"/>
    </xf>
    <xf numFmtId="0" fontId="7" fillId="0" borderId="0" xfId="72" applyNumberFormat="1" applyFont="1" applyFill="1" applyAlignment="1">
      <alignment horizontal="center" vertical="center"/>
    </xf>
    <xf numFmtId="0" fontId="7" fillId="0" borderId="0" xfId="72" applyNumberFormat="1" applyFont="1" applyAlignment="1">
      <alignment horizontal="center" vertical="center"/>
    </xf>
    <xf numFmtId="0" fontId="54" fillId="0" borderId="0" xfId="72" applyNumberFormat="1" applyFont="1" applyFill="1" applyAlignment="1">
      <alignment horizontal="center" vertical="center"/>
    </xf>
    <xf numFmtId="0" fontId="31" fillId="0" borderId="0" xfId="72" applyNumberFormat="1" applyFont="1" applyFill="1" applyAlignment="1">
      <alignment horizontal="center" vertical="center"/>
    </xf>
    <xf numFmtId="0" fontId="2" fillId="0" borderId="1" xfId="72" applyNumberFormat="1" applyFont="1" applyFill="1" applyBorder="1" applyAlignment="1">
      <alignment horizontal="center" vertical="center" wrapText="1"/>
    </xf>
    <xf numFmtId="0" fontId="31" fillId="32" borderId="1" xfId="72" applyNumberFormat="1" applyFont="1" applyFill="1" applyBorder="1" applyAlignment="1">
      <alignment horizontal="center" vertical="center"/>
    </xf>
    <xf numFmtId="179" fontId="80" fillId="32" borderId="1" xfId="72" applyNumberFormat="1" applyFont="1" applyFill="1" applyBorder="1" applyAlignment="1">
      <alignment horizontal="right" vertical="center"/>
    </xf>
    <xf numFmtId="179" fontId="80" fillId="32" borderId="1" xfId="73" applyNumberFormat="1" applyFont="1" applyFill="1" applyBorder="1" applyAlignment="1">
      <alignment horizontal="right" vertical="center"/>
    </xf>
    <xf numFmtId="188" fontId="75" fillId="0" borderId="1" xfId="72" applyNumberFormat="1" applyFont="1" applyBorder="1" applyAlignment="1">
      <alignment horizontal="right" vertical="center"/>
    </xf>
    <xf numFmtId="179" fontId="2" fillId="0" borderId="1" xfId="72" applyNumberFormat="1" applyFont="1" applyBorder="1" applyAlignment="1">
      <alignment horizontal="right" vertical="center"/>
    </xf>
    <xf numFmtId="0" fontId="10" fillId="32" borderId="0" xfId="72" applyNumberFormat="1" applyFont="1" applyFill="1" applyAlignment="1">
      <alignment vertical="center"/>
    </xf>
    <xf numFmtId="0" fontId="7" fillId="0" borderId="24" xfId="72" applyNumberFormat="1" applyFont="1" applyFill="1" applyBorder="1" applyAlignment="1">
      <alignment horizontal="center" vertical="center" wrapText="1"/>
    </xf>
    <xf numFmtId="179" fontId="75" fillId="25" borderId="24" xfId="72" applyNumberFormat="1" applyFont="1" applyFill="1" applyBorder="1" applyAlignment="1">
      <alignment horizontal="right" vertical="center"/>
    </xf>
    <xf numFmtId="179" fontId="2" fillId="0" borderId="24" xfId="72" applyNumberFormat="1" applyFont="1" applyFill="1" applyBorder="1" applyAlignment="1">
      <alignment vertical="center"/>
    </xf>
    <xf numFmtId="0" fontId="7" fillId="0" borderId="18" xfId="72" applyNumberFormat="1" applyFont="1" applyFill="1" applyBorder="1" applyAlignment="1">
      <alignment horizontal="center" vertical="center" wrapText="1"/>
    </xf>
    <xf numFmtId="179" fontId="75" fillId="25" borderId="18" xfId="72" applyNumberFormat="1" applyFont="1" applyFill="1" applyBorder="1" applyAlignment="1">
      <alignment horizontal="right" vertical="center"/>
    </xf>
    <xf numFmtId="179" fontId="2" fillId="0" borderId="18" xfId="72" applyNumberFormat="1" applyFont="1" applyFill="1" applyBorder="1" applyAlignment="1">
      <alignment vertical="center"/>
    </xf>
    <xf numFmtId="0" fontId="31" fillId="32" borderId="1" xfId="64" applyFont="1" applyFill="1" applyBorder="1" applyAlignment="1">
      <alignment horizontal="center" vertical="center"/>
    </xf>
    <xf numFmtId="0" fontId="31" fillId="32" borderId="1" xfId="65" applyFont="1" applyFill="1" applyBorder="1" applyAlignment="1">
      <alignment horizontal="center" vertical="center"/>
    </xf>
    <xf numFmtId="179" fontId="63" fillId="25" borderId="1" xfId="72" applyNumberFormat="1" applyFont="1" applyFill="1" applyBorder="1" applyAlignment="1">
      <alignment horizontal="right" vertical="center"/>
    </xf>
    <xf numFmtId="41" fontId="23" fillId="0" borderId="0" xfId="72" applyNumberFormat="1" applyFont="1" applyFill="1" applyBorder="1" applyAlignment="1">
      <alignment horizontal="right" vertical="center"/>
    </xf>
    <xf numFmtId="0" fontId="19" fillId="0" borderId="0" xfId="72" applyNumberFormat="1" applyFont="1" applyAlignment="1">
      <alignment vertical="center"/>
    </xf>
    <xf numFmtId="0" fontId="93" fillId="0" borderId="0" xfId="72" applyNumberFormat="1" applyFont="1" applyFill="1" applyAlignment="1">
      <alignment horizontal="center" vertical="center"/>
    </xf>
    <xf numFmtId="0" fontId="7" fillId="0" borderId="25" xfId="72" applyNumberFormat="1" applyFont="1" applyFill="1" applyBorder="1" applyAlignment="1">
      <alignment horizontal="center" vertical="center" wrapText="1"/>
    </xf>
    <xf numFmtId="179" fontId="75" fillId="25" borderId="25" xfId="72" applyNumberFormat="1" applyFont="1" applyFill="1" applyBorder="1" applyAlignment="1">
      <alignment horizontal="right" vertical="center"/>
    </xf>
    <xf numFmtId="179" fontId="2" fillId="0" borderId="25" xfId="72" applyNumberFormat="1" applyFont="1" applyFill="1" applyBorder="1" applyAlignment="1">
      <alignment vertical="center"/>
    </xf>
    <xf numFmtId="179" fontId="2" fillId="0" borderId="18" xfId="72" applyNumberFormat="1" applyFont="1" applyFill="1" applyBorder="1" applyAlignment="1">
      <alignment horizontal="right" vertical="center"/>
    </xf>
    <xf numFmtId="0" fontId="21" fillId="30" borderId="1" xfId="65" applyFont="1" applyFill="1" applyBorder="1" applyAlignment="1">
      <alignment horizontal="left" vertical="center" wrapText="1"/>
    </xf>
    <xf numFmtId="179" fontId="94" fillId="0" borderId="0" xfId="67" applyNumberFormat="1" applyFont="1" applyAlignment="1">
      <alignment horizontal="right" vertical="center"/>
    </xf>
    <xf numFmtId="0" fontId="63" fillId="0" borderId="0" xfId="72" applyNumberFormat="1" applyFont="1" applyFill="1" applyAlignment="1">
      <alignment horizontal="center" vertical="center" wrapText="1"/>
    </xf>
    <xf numFmtId="179" fontId="63" fillId="0" borderId="0" xfId="72" applyNumberFormat="1" applyFont="1" applyFill="1" applyBorder="1" applyAlignment="1">
      <alignment horizontal="center" vertical="center" wrapText="1"/>
    </xf>
    <xf numFmtId="0" fontId="95" fillId="0" borderId="0" xfId="65" applyFont="1" applyAlignment="1">
      <alignment horizontal="center" vertical="center"/>
    </xf>
    <xf numFmtId="0" fontId="23" fillId="24" borderId="0" xfId="65" applyFont="1" applyFill="1" applyAlignment="1">
      <alignment horizontal="center" vertical="center"/>
    </xf>
    <xf numFmtId="176" fontId="21" fillId="0" borderId="1" xfId="0" applyNumberFormat="1" applyFont="1" applyBorder="1" applyAlignment="1">
      <alignment horizontal="left" vertical="center" wrapText="1"/>
    </xf>
    <xf numFmtId="0" fontId="21" fillId="24" borderId="13" xfId="0" applyFont="1" applyFill="1" applyBorder="1" applyAlignment="1">
      <alignment horizontal="left" vertical="center" wrapText="1"/>
    </xf>
    <xf numFmtId="41" fontId="9" fillId="33" borderId="1" xfId="0" applyNumberFormat="1" applyFont="1" applyFill="1" applyBorder="1" applyAlignment="1">
      <alignment horizontal="right" vertical="center" wrapText="1"/>
    </xf>
    <xf numFmtId="41" fontId="15" fillId="33" borderId="1" xfId="0" applyNumberFormat="1" applyFont="1" applyFill="1" applyBorder="1" applyAlignment="1">
      <alignment horizontal="right" vertical="center" wrapText="1"/>
    </xf>
    <xf numFmtId="0" fontId="21" fillId="0" borderId="13" xfId="0" applyFont="1" applyFill="1" applyBorder="1" applyAlignment="1">
      <alignment horizontal="left" vertical="center" wrapText="1"/>
    </xf>
    <xf numFmtId="182" fontId="70" fillId="24" borderId="0" xfId="65" applyNumberFormat="1" applyFont="1" applyFill="1" applyAlignment="1">
      <alignment horizontal="right" vertical="center" wrapText="1"/>
    </xf>
    <xf numFmtId="0" fontId="21" fillId="0" borderId="1" xfId="65" applyFont="1" applyBorder="1" applyAlignment="1">
      <alignment horizontal="left" vertical="center" wrapText="1"/>
    </xf>
    <xf numFmtId="0" fontId="30" fillId="25" borderId="13" xfId="65" applyFont="1" applyFill="1" applyBorder="1" applyAlignment="1">
      <alignment horizontal="left" vertical="center" wrapText="1"/>
    </xf>
    <xf numFmtId="41" fontId="28" fillId="32" borderId="1" xfId="65" applyNumberFormat="1" applyFont="1" applyFill="1" applyBorder="1" applyAlignment="1">
      <alignment horizontal="right" vertical="center"/>
    </xf>
    <xf numFmtId="0" fontId="23" fillId="0" borderId="1" xfId="65" applyFont="1" applyFill="1" applyBorder="1" applyAlignment="1">
      <alignment vertical="center"/>
    </xf>
    <xf numFmtId="43" fontId="9" fillId="0" borderId="0" xfId="65" applyNumberFormat="1" applyFont="1" applyAlignment="1">
      <alignment vertical="center"/>
    </xf>
    <xf numFmtId="196" fontId="96" fillId="0" borderId="14" xfId="71" applyNumberFormat="1" applyFont="1" applyFill="1" applyBorder="1" applyAlignment="1">
      <alignment horizontal="right" vertical="center"/>
    </xf>
    <xf numFmtId="41" fontId="96" fillId="0" borderId="14" xfId="71" applyNumberFormat="1" applyFont="1" applyFill="1" applyBorder="1" applyAlignment="1">
      <alignment horizontal="right" vertical="center"/>
    </xf>
    <xf numFmtId="49" fontId="20" fillId="38" borderId="1" xfId="65" applyNumberFormat="1" applyFont="1" applyFill="1" applyBorder="1" applyAlignment="1">
      <alignment vertical="center"/>
    </xf>
    <xf numFmtId="0" fontId="20" fillId="38" borderId="1" xfId="65" applyFont="1" applyFill="1" applyBorder="1" applyAlignment="1">
      <alignment horizontal="left" vertical="center"/>
    </xf>
    <xf numFmtId="0" fontId="20" fillId="38" borderId="13" xfId="65" applyFont="1" applyFill="1" applyBorder="1" applyAlignment="1">
      <alignment horizontal="left" vertical="center" wrapText="1"/>
    </xf>
    <xf numFmtId="0" fontId="20" fillId="38" borderId="13" xfId="65" applyFont="1" applyFill="1" applyBorder="1" applyAlignment="1">
      <alignment horizontal="center" vertical="center" wrapText="1"/>
    </xf>
    <xf numFmtId="41" fontId="23" fillId="38" borderId="1" xfId="65" applyNumberFormat="1" applyFont="1" applyFill="1" applyBorder="1" applyAlignment="1">
      <alignment horizontal="right" vertical="center"/>
    </xf>
    <xf numFmtId="0" fontId="23" fillId="38" borderId="0" xfId="65" applyFont="1" applyFill="1" applyAlignment="1">
      <alignment vertical="center"/>
    </xf>
    <xf numFmtId="0" fontId="21" fillId="39" borderId="13" xfId="65" applyFont="1" applyFill="1" applyBorder="1" applyAlignment="1">
      <alignment horizontal="center" vertical="center" wrapText="1"/>
    </xf>
    <xf numFmtId="49" fontId="21" fillId="39" borderId="1" xfId="65" applyNumberFormat="1" applyFont="1" applyFill="1" applyBorder="1" applyAlignment="1">
      <alignment vertical="center"/>
    </xf>
    <xf numFmtId="0" fontId="21" fillId="39" borderId="1" xfId="65" applyFont="1" applyFill="1" applyBorder="1" applyAlignment="1">
      <alignment horizontal="left" vertical="center"/>
    </xf>
    <xf numFmtId="176" fontId="21" fillId="39" borderId="1" xfId="0" applyNumberFormat="1" applyFont="1" applyFill="1" applyBorder="1" applyAlignment="1">
      <alignment horizontal="left" vertical="center" wrapText="1"/>
    </xf>
    <xf numFmtId="179" fontId="2" fillId="40" borderId="1" xfId="72" applyNumberFormat="1" applyFont="1" applyFill="1" applyBorder="1" applyAlignment="1">
      <alignment horizontal="right" vertical="center"/>
    </xf>
    <xf numFmtId="0" fontId="2" fillId="38" borderId="1" xfId="72" applyNumberFormat="1" applyFont="1" applyFill="1" applyBorder="1" applyAlignment="1">
      <alignment horizontal="center" vertical="center" wrapText="1"/>
    </xf>
    <xf numFmtId="0" fontId="7" fillId="38" borderId="18" xfId="72" applyNumberFormat="1" applyFont="1" applyFill="1" applyBorder="1" applyAlignment="1">
      <alignment horizontal="center" vertical="center" wrapText="1"/>
    </xf>
    <xf numFmtId="41" fontId="63" fillId="0" borderId="0" xfId="72" applyNumberFormat="1" applyFont="1" applyFill="1" applyAlignment="1">
      <alignment horizontal="center" vertical="center" wrapText="1"/>
    </xf>
    <xf numFmtId="43" fontId="63" fillId="0" borderId="0" xfId="72" applyNumberFormat="1" applyFont="1" applyFill="1" applyAlignment="1">
      <alignment horizontal="center" vertical="center" wrapText="1"/>
    </xf>
    <xf numFmtId="180" fontId="9" fillId="0" borderId="0" xfId="73" applyNumberFormat="1" applyFont="1" applyAlignment="1">
      <alignment vertical="center"/>
    </xf>
    <xf numFmtId="179" fontId="2" fillId="40" borderId="1" xfId="72" applyNumberFormat="1" applyFont="1" applyFill="1" applyBorder="1" applyAlignment="1">
      <alignment vertical="center"/>
    </xf>
    <xf numFmtId="0" fontId="0" fillId="0" borderId="0" xfId="72" applyNumberFormat="1" applyFont="1" applyAlignment="1">
      <alignment vertical="center"/>
    </xf>
    <xf numFmtId="41" fontId="75" fillId="0" borderId="0" xfId="72" applyNumberFormat="1" applyFont="1" applyFill="1" applyAlignment="1">
      <alignment horizontal="center" vertical="center" wrapText="1"/>
    </xf>
    <xf numFmtId="0" fontId="104" fillId="11" borderId="0" xfId="70" applyFont="1" applyFill="1" applyAlignment="1">
      <alignment vertical="center"/>
    </xf>
    <xf numFmtId="0" fontId="105" fillId="0" borderId="0" xfId="72" applyNumberFormat="1" applyFont="1" applyAlignment="1">
      <alignment horizontal="left"/>
    </xf>
    <xf numFmtId="0" fontId="106" fillId="0" borderId="0" xfId="72" applyNumberFormat="1" applyFont="1" applyAlignment="1">
      <alignment vertical="center"/>
    </xf>
    <xf numFmtId="0" fontId="73" fillId="0" borderId="0" xfId="72" applyNumberFormat="1" applyFont="1" applyAlignment="1">
      <alignment horizontal="left" vertical="top"/>
    </xf>
    <xf numFmtId="0" fontId="106" fillId="0" borderId="0" xfId="72" applyNumberFormat="1" applyFont="1" applyAlignment="1">
      <alignment horizontal="left" vertical="center"/>
    </xf>
    <xf numFmtId="0" fontId="7" fillId="0" borderId="13" xfId="72" applyNumberFormat="1" applyFont="1" applyBorder="1" applyAlignment="1">
      <alignment horizontal="centerContinuous" vertical="center"/>
    </xf>
    <xf numFmtId="0" fontId="7" fillId="0" borderId="17" xfId="72" applyNumberFormat="1" applyFont="1" applyBorder="1" applyAlignment="1">
      <alignment horizontal="centerContinuous" vertical="center"/>
    </xf>
    <xf numFmtId="0" fontId="7" fillId="0" borderId="18" xfId="72" applyNumberFormat="1" applyFont="1" applyBorder="1" applyAlignment="1">
      <alignment horizontal="center" vertical="center"/>
    </xf>
    <xf numFmtId="0" fontId="11" fillId="11" borderId="0" xfId="70" applyFont="1" applyFill="1" applyAlignment="1">
      <alignment vertical="center"/>
    </xf>
    <xf numFmtId="180" fontId="9" fillId="0" borderId="0" xfId="65" applyNumberFormat="1" applyFont="1" applyAlignment="1">
      <alignment vertical="center"/>
    </xf>
    <xf numFmtId="0" fontId="9" fillId="0" borderId="22" xfId="65" applyFont="1" applyBorder="1" applyAlignment="1">
      <alignment vertical="center"/>
    </xf>
    <xf numFmtId="180" fontId="9" fillId="0" borderId="27" xfId="73" applyNumberFormat="1" applyFont="1" applyBorder="1" applyAlignment="1">
      <alignment vertical="center"/>
    </xf>
    <xf numFmtId="0" fontId="9" fillId="0" borderId="15" xfId="65" applyFont="1" applyBorder="1" applyAlignment="1">
      <alignment vertical="center"/>
    </xf>
    <xf numFmtId="180" fontId="9" fillId="0" borderId="19" xfId="73" applyNumberFormat="1" applyFont="1" applyBorder="1" applyAlignment="1">
      <alignment vertical="center"/>
    </xf>
    <xf numFmtId="0" fontId="9" fillId="0" borderId="16" xfId="65" applyFont="1" applyBorder="1" applyAlignment="1">
      <alignment vertical="center"/>
    </xf>
    <xf numFmtId="180" fontId="9" fillId="0" borderId="20" xfId="73" applyNumberFormat="1" applyFont="1" applyBorder="1" applyAlignment="1">
      <alignment vertical="center"/>
    </xf>
    <xf numFmtId="179" fontId="107" fillId="0" borderId="26" xfId="72" applyNumberFormat="1" applyFont="1" applyFill="1" applyBorder="1" applyAlignment="1">
      <alignment horizontal="right" vertical="center"/>
    </xf>
    <xf numFmtId="179" fontId="107" fillId="0" borderId="22" xfId="72" applyNumberFormat="1" applyFont="1" applyFill="1" applyBorder="1" applyAlignment="1">
      <alignment horizontal="right" vertical="center"/>
    </xf>
    <xf numFmtId="179" fontId="107" fillId="0" borderId="14" xfId="72" applyNumberFormat="1" applyFont="1" applyFill="1" applyBorder="1" applyAlignment="1">
      <alignment horizontal="right" vertical="center"/>
    </xf>
    <xf numFmtId="179" fontId="107" fillId="0" borderId="15" xfId="72" applyNumberFormat="1" applyFont="1" applyFill="1" applyBorder="1" applyAlignment="1">
      <alignment horizontal="right" vertical="center"/>
    </xf>
    <xf numFmtId="180" fontId="9" fillId="0" borderId="0" xfId="73" applyNumberFormat="1" applyFont="1" applyBorder="1" applyAlignment="1">
      <alignment vertical="center"/>
    </xf>
    <xf numFmtId="0" fontId="10" fillId="0" borderId="28" xfId="72" applyNumberFormat="1" applyFont="1" applyFill="1" applyBorder="1" applyAlignment="1">
      <alignment vertical="center"/>
    </xf>
    <xf numFmtId="179" fontId="10" fillId="0" borderId="21" xfId="72" applyNumberFormat="1" applyFont="1" applyFill="1" applyBorder="1" applyAlignment="1">
      <alignment horizontal="right" vertical="center"/>
    </xf>
    <xf numFmtId="179" fontId="10" fillId="0" borderId="16" xfId="72" applyNumberFormat="1" applyFont="1" applyFill="1" applyBorder="1" applyAlignment="1">
      <alignment horizontal="right" vertical="center"/>
    </xf>
    <xf numFmtId="43" fontId="63" fillId="0" borderId="0" xfId="73" applyFont="1" applyFill="1" applyAlignment="1">
      <alignment horizontal="center" vertical="center" wrapText="1"/>
    </xf>
    <xf numFmtId="41" fontId="122" fillId="41" borderId="1" xfId="65" applyNumberFormat="1" applyFont="1" applyFill="1" applyBorder="1" applyAlignment="1">
      <alignment horizontal="right" vertical="center"/>
    </xf>
    <xf numFmtId="41" fontId="28" fillId="0" borderId="1" xfId="65" applyNumberFormat="1" applyFont="1" applyFill="1" applyBorder="1" applyAlignment="1">
      <alignment horizontal="right" vertical="center"/>
    </xf>
    <xf numFmtId="41" fontId="23" fillId="34" borderId="1" xfId="65" applyNumberFormat="1" applyFont="1" applyFill="1" applyBorder="1" applyAlignment="1">
      <alignment horizontal="right" vertical="center"/>
    </xf>
    <xf numFmtId="179" fontId="7" fillId="0" borderId="0" xfId="72" applyNumberFormat="1" applyFont="1" applyAlignment="1">
      <alignment horizontal="center" vertical="center"/>
    </xf>
    <xf numFmtId="179" fontId="7" fillId="0" borderId="0" xfId="72" applyNumberFormat="1" applyFont="1" applyFill="1" applyAlignment="1">
      <alignment horizontal="center" vertical="center"/>
    </xf>
    <xf numFmtId="176" fontId="31" fillId="0" borderId="0" xfId="72" applyNumberFormat="1" applyFont="1" applyFill="1" applyAlignment="1">
      <alignment horizontal="center" vertical="center"/>
    </xf>
    <xf numFmtId="176" fontId="7" fillId="0" borderId="0" xfId="72" applyNumberFormat="1" applyFont="1" applyFill="1" applyAlignment="1">
      <alignment horizontal="center" vertical="center"/>
    </xf>
    <xf numFmtId="41" fontId="7" fillId="0" borderId="0" xfId="72" applyNumberFormat="1" applyFont="1" applyFill="1" applyAlignment="1">
      <alignment horizontal="center" vertical="center"/>
    </xf>
    <xf numFmtId="41" fontId="28" fillId="26" borderId="1" xfId="65" applyNumberFormat="1" applyFont="1" applyFill="1" applyBorder="1" applyAlignment="1">
      <alignment horizontal="right" vertical="center"/>
    </xf>
    <xf numFmtId="0" fontId="62" fillId="24" borderId="0" xfId="65" applyFont="1" applyFill="1" applyAlignment="1">
      <alignment horizontal="center" vertical="center"/>
    </xf>
    <xf numFmtId="0" fontId="62" fillId="0" borderId="0" xfId="65" applyFont="1" applyFill="1" applyAlignment="1">
      <alignment vertical="center"/>
    </xf>
    <xf numFmtId="180" fontId="9" fillId="0" borderId="0" xfId="73" applyNumberFormat="1" applyFont="1" applyAlignment="1">
      <alignment horizontal="right" vertical="center" wrapText="1"/>
    </xf>
    <xf numFmtId="0" fontId="110" fillId="0" borderId="0" xfId="65" applyFont="1" applyAlignment="1">
      <alignment vertical="center"/>
    </xf>
    <xf numFmtId="0" fontId="123" fillId="0" borderId="0" xfId="65" applyFont="1" applyAlignment="1">
      <alignment vertical="center"/>
    </xf>
    <xf numFmtId="41" fontId="9" fillId="0" borderId="1" xfId="0" applyNumberFormat="1" applyFont="1" applyBorder="1" applyAlignment="1">
      <alignment horizontal="right" vertical="center"/>
    </xf>
    <xf numFmtId="41" fontId="23" fillId="0" borderId="1" xfId="0" applyNumberFormat="1" applyFont="1" applyBorder="1" applyAlignment="1">
      <alignment horizontal="right" vertical="center"/>
    </xf>
    <xf numFmtId="41" fontId="9" fillId="0" borderId="21" xfId="0" applyNumberFormat="1" applyFont="1" applyBorder="1" applyAlignment="1">
      <alignment horizontal="right" vertical="center"/>
    </xf>
    <xf numFmtId="41" fontId="9" fillId="0" borderId="21" xfId="0" applyNumberFormat="1" applyFont="1" applyFill="1" applyBorder="1" applyAlignment="1">
      <alignment horizontal="right" vertical="center"/>
    </xf>
    <xf numFmtId="41" fontId="9" fillId="0" borderId="1" xfId="0" applyNumberFormat="1" applyFont="1" applyFill="1" applyBorder="1" applyAlignment="1">
      <alignment horizontal="right" vertical="center"/>
    </xf>
    <xf numFmtId="41" fontId="23" fillId="24" borderId="0" xfId="65" applyNumberFormat="1" applyFont="1" applyFill="1" applyAlignment="1">
      <alignment horizontal="center" vertical="center"/>
    </xf>
    <xf numFmtId="180" fontId="124" fillId="0" borderId="0" xfId="73" applyNumberFormat="1" applyFont="1" applyAlignment="1">
      <alignment vertical="center"/>
    </xf>
    <xf numFmtId="0" fontId="124" fillId="0" borderId="0" xfId="65" applyFont="1" applyAlignment="1">
      <alignment vertical="center"/>
    </xf>
    <xf numFmtId="180" fontId="124" fillId="0" borderId="0" xfId="73" applyNumberFormat="1" applyFont="1" applyBorder="1" applyAlignment="1">
      <alignment vertical="center"/>
    </xf>
    <xf numFmtId="0" fontId="124" fillId="0" borderId="0" xfId="65" applyFont="1" applyAlignment="1">
      <alignment horizontal="center" vertical="center" wrapText="1"/>
    </xf>
    <xf numFmtId="0" fontId="124" fillId="0" borderId="0" xfId="65" applyFont="1" applyBorder="1" applyAlignment="1">
      <alignment horizontal="right" vertical="center"/>
    </xf>
    <xf numFmtId="41" fontId="124" fillId="41" borderId="1" xfId="65" applyNumberFormat="1" applyFont="1" applyFill="1" applyBorder="1" applyAlignment="1">
      <alignment horizontal="right" vertical="center"/>
    </xf>
    <xf numFmtId="41" fontId="124" fillId="41" borderId="21" xfId="65" applyNumberFormat="1" applyFont="1" applyFill="1" applyBorder="1" applyAlignment="1">
      <alignment horizontal="right" vertical="center"/>
    </xf>
    <xf numFmtId="41" fontId="62" fillId="25" borderId="1" xfId="65" applyNumberFormat="1" applyFont="1" applyFill="1" applyBorder="1" applyAlignment="1">
      <alignment horizontal="right" vertical="center"/>
    </xf>
    <xf numFmtId="0" fontId="7" fillId="0" borderId="21" xfId="65" applyFont="1" applyFill="1" applyBorder="1" applyAlignment="1">
      <alignment horizontal="center" vertical="center"/>
    </xf>
    <xf numFmtId="0" fontId="27" fillId="0" borderId="0" xfId="62" applyFont="1" applyAlignment="1">
      <alignment vertical="center"/>
    </xf>
    <xf numFmtId="0" fontId="29" fillId="0" borderId="0" xfId="62" applyFont="1" applyAlignment="1">
      <alignment horizontal="left" vertical="center" wrapText="1"/>
    </xf>
    <xf numFmtId="0" fontId="111" fillId="0" borderId="0" xfId="62" applyFont="1" applyAlignment="1">
      <alignment horizontal="center" vertical="center" wrapText="1"/>
    </xf>
    <xf numFmtId="0" fontId="27" fillId="0" borderId="0" xfId="62" applyFont="1" applyAlignment="1">
      <alignment horizontal="left" vertical="center" wrapText="1"/>
    </xf>
    <xf numFmtId="49" fontId="112" fillId="0" borderId="0" xfId="62" applyNumberFormat="1" applyFont="1" applyAlignment="1">
      <alignment horizontal="center" vertical="center"/>
    </xf>
    <xf numFmtId="0" fontId="67" fillId="0" borderId="0" xfId="62" applyFont="1" applyFill="1" applyAlignment="1">
      <alignment horizontal="left" vertical="center"/>
    </xf>
    <xf numFmtId="0" fontId="67" fillId="0" borderId="0" xfId="62" applyFont="1" applyAlignment="1">
      <alignment horizontal="left" vertical="center"/>
    </xf>
    <xf numFmtId="0" fontId="27" fillId="0" borderId="0" xfId="62" applyFont="1" applyAlignment="1">
      <alignment horizontal="centerContinuous" vertical="center"/>
    </xf>
    <xf numFmtId="0" fontId="9" fillId="0" borderId="0" xfId="62" applyFont="1" applyAlignment="1">
      <alignment horizontal="left" vertical="center" wrapText="1"/>
    </xf>
    <xf numFmtId="0" fontId="9" fillId="0" borderId="0" xfId="62" applyFont="1" applyAlignment="1">
      <alignment vertical="center" wrapText="1"/>
    </xf>
    <xf numFmtId="49" fontId="9" fillId="0" borderId="0" xfId="62" applyNumberFormat="1" applyFont="1" applyAlignment="1">
      <alignment horizontal="center" vertical="center"/>
    </xf>
    <xf numFmtId="0" fontId="23" fillId="0" borderId="0" xfId="62" applyFont="1" applyFill="1" applyAlignment="1">
      <alignment vertical="center"/>
    </xf>
    <xf numFmtId="0" fontId="19" fillId="0" borderId="22" xfId="62" applyFont="1" applyFill="1" applyBorder="1" applyAlignment="1">
      <alignment horizontal="centerContinuous" vertical="center" wrapText="1"/>
    </xf>
    <xf numFmtId="0" fontId="75" fillId="0" borderId="21" xfId="62" applyFont="1" applyFill="1" applyBorder="1" applyAlignment="1">
      <alignment horizontal="center" vertical="center" wrapText="1"/>
    </xf>
    <xf numFmtId="0" fontId="19" fillId="0" borderId="21" xfId="62" applyFont="1" applyBorder="1" applyAlignment="1">
      <alignment horizontal="center" vertical="center" wrapText="1"/>
    </xf>
    <xf numFmtId="0" fontId="7" fillId="0" borderId="1" xfId="65" applyFont="1" applyFill="1" applyBorder="1" applyAlignment="1">
      <alignment horizontal="center" vertical="center" wrapText="1"/>
    </xf>
    <xf numFmtId="0" fontId="7" fillId="0" borderId="21" xfId="65" applyFont="1" applyFill="1" applyBorder="1" applyAlignment="1">
      <alignment horizontal="center" vertical="center" wrapText="1"/>
    </xf>
    <xf numFmtId="0" fontId="75" fillId="0" borderId="21" xfId="62" applyFont="1" applyFill="1" applyBorder="1" applyAlignment="1">
      <alignment horizontal="center" vertical="center"/>
    </xf>
    <xf numFmtId="0" fontId="9" fillId="0" borderId="13" xfId="62" applyFont="1" applyBorder="1" applyAlignment="1">
      <alignment horizontal="center" vertical="center"/>
    </xf>
    <xf numFmtId="49" fontId="9" fillId="32" borderId="1" xfId="62" applyNumberFormat="1" applyFont="1" applyFill="1" applyBorder="1" applyAlignment="1">
      <alignment horizontal="center" vertical="center" wrapText="1"/>
    </xf>
    <xf numFmtId="41" fontId="23" fillId="32" borderId="1" xfId="74" applyNumberFormat="1" applyFont="1" applyFill="1" applyBorder="1" applyAlignment="1">
      <alignment horizontal="right" vertical="center" wrapText="1"/>
    </xf>
    <xf numFmtId="41" fontId="9" fillId="32" borderId="1" xfId="74" applyNumberFormat="1" applyFont="1" applyFill="1" applyBorder="1" applyAlignment="1">
      <alignment horizontal="right" vertical="center" wrapText="1"/>
    </xf>
    <xf numFmtId="180" fontId="23" fillId="32" borderId="0" xfId="62" applyNumberFormat="1" applyFont="1" applyFill="1" applyAlignment="1">
      <alignment vertical="center" wrapText="1"/>
    </xf>
    <xf numFmtId="180" fontId="23" fillId="0" borderId="0" xfId="62" applyNumberFormat="1" applyFont="1" applyFill="1" applyAlignment="1">
      <alignment vertical="center" wrapText="1"/>
    </xf>
    <xf numFmtId="0" fontId="23" fillId="32" borderId="0" xfId="62" applyFont="1" applyFill="1" applyAlignment="1">
      <alignment vertical="center" wrapText="1"/>
    </xf>
    <xf numFmtId="0" fontId="15" fillId="35" borderId="13" xfId="62" applyFont="1" applyFill="1" applyBorder="1" applyAlignment="1">
      <alignment horizontal="center" vertical="center"/>
    </xf>
    <xf numFmtId="49" fontId="23" fillId="35" borderId="1" xfId="62" applyNumberFormat="1" applyFont="1" applyFill="1" applyBorder="1" applyAlignment="1">
      <alignment horizontal="center" vertical="center" wrapText="1"/>
    </xf>
    <xf numFmtId="41" fontId="23" fillId="35" borderId="1" xfId="74" applyNumberFormat="1" applyFont="1" applyFill="1" applyBorder="1" applyAlignment="1">
      <alignment horizontal="right" vertical="center" wrapText="1"/>
    </xf>
    <xf numFmtId="0" fontId="23" fillId="35" borderId="0" xfId="62" applyFont="1" applyFill="1" applyAlignment="1">
      <alignment vertical="center" wrapText="1"/>
    </xf>
    <xf numFmtId="0" fontId="21" fillId="26" borderId="1" xfId="0" applyFont="1" applyFill="1" applyBorder="1" applyAlignment="1">
      <alignment vertical="center" wrapText="1"/>
    </xf>
    <xf numFmtId="0" fontId="9" fillId="26" borderId="1" xfId="62" applyFont="1" applyFill="1" applyBorder="1" applyAlignment="1">
      <alignment horizontal="center" vertical="center" wrapText="1"/>
    </xf>
    <xf numFmtId="0" fontId="70" fillId="35" borderId="17" xfId="62" applyFont="1" applyFill="1" applyBorder="1" applyAlignment="1">
      <alignment horizontal="left" vertical="center" wrapText="1"/>
    </xf>
    <xf numFmtId="0" fontId="21" fillId="26" borderId="1" xfId="62" applyFont="1" applyFill="1" applyBorder="1" applyAlignment="1">
      <alignment horizontal="left" vertical="center" wrapText="1"/>
    </xf>
    <xf numFmtId="49" fontId="9" fillId="26" borderId="1" xfId="62" applyNumberFormat="1" applyFont="1" applyFill="1" applyBorder="1" applyAlignment="1">
      <alignment horizontal="center" vertical="center" wrapText="1"/>
    </xf>
    <xf numFmtId="41" fontId="62" fillId="25" borderId="1" xfId="74" applyNumberFormat="1" applyFont="1" applyFill="1" applyBorder="1" applyAlignment="1">
      <alignment horizontal="right" vertical="center" wrapText="1"/>
    </xf>
    <xf numFmtId="41" fontId="28" fillId="25" borderId="1" xfId="74" applyNumberFormat="1" applyFont="1" applyFill="1" applyBorder="1" applyAlignment="1">
      <alignment horizontal="right" vertical="center" wrapText="1"/>
    </xf>
    <xf numFmtId="41" fontId="23" fillId="26" borderId="1" xfId="74" applyNumberFormat="1" applyFont="1" applyFill="1" applyBorder="1" applyAlignment="1">
      <alignment horizontal="right" vertical="center" wrapText="1"/>
    </xf>
    <xf numFmtId="41" fontId="9" fillId="26" borderId="1" xfId="74" applyNumberFormat="1" applyFont="1" applyFill="1" applyBorder="1" applyAlignment="1">
      <alignment horizontal="right" vertical="center" wrapText="1"/>
    </xf>
    <xf numFmtId="0" fontId="9" fillId="26" borderId="0" xfId="62" applyFont="1" applyFill="1" applyAlignment="1">
      <alignment vertical="center" wrapText="1"/>
    </xf>
    <xf numFmtId="0" fontId="21" fillId="26" borderId="17" xfId="62" applyFont="1" applyFill="1" applyBorder="1" applyAlignment="1">
      <alignment horizontal="center" vertical="center" wrapText="1"/>
    </xf>
    <xf numFmtId="0" fontId="9" fillId="26" borderId="13" xfId="62" applyFont="1" applyFill="1" applyBorder="1" applyAlignment="1">
      <alignment horizontal="center" vertical="center"/>
    </xf>
    <xf numFmtId="0" fontId="23" fillId="26" borderId="0" xfId="62" applyFont="1" applyFill="1" applyAlignment="1">
      <alignment vertical="center" wrapText="1"/>
    </xf>
    <xf numFmtId="0" fontId="9" fillId="0" borderId="1" xfId="0" applyFont="1" applyFill="1" applyBorder="1" applyAlignment="1">
      <alignment horizontal="center" vertical="center" wrapText="1"/>
    </xf>
    <xf numFmtId="0" fontId="114" fillId="0" borderId="17" xfId="0" applyFont="1" applyFill="1" applyBorder="1" applyAlignment="1">
      <alignment horizontal="center" vertical="center" wrapText="1"/>
    </xf>
    <xf numFmtId="0" fontId="21" fillId="0" borderId="1" xfId="62" applyFont="1" applyFill="1" applyBorder="1" applyAlignment="1">
      <alignment horizontal="left" vertical="center" wrapText="1"/>
    </xf>
    <xf numFmtId="0" fontId="30" fillId="0" borderId="13" xfId="0" applyFont="1" applyFill="1" applyBorder="1" applyAlignment="1">
      <alignment horizontal="center" vertical="center" wrapText="1"/>
    </xf>
    <xf numFmtId="49" fontId="9" fillId="0" borderId="1" xfId="62" applyNumberFormat="1" applyFont="1" applyFill="1" applyBorder="1" applyAlignment="1">
      <alignment horizontal="center" vertical="center" wrapText="1"/>
    </xf>
    <xf numFmtId="41" fontId="23" fillId="41" borderId="1" xfId="74" applyNumberFormat="1" applyFont="1" applyFill="1" applyBorder="1" applyAlignment="1">
      <alignment horizontal="right" vertical="center" wrapText="1"/>
    </xf>
    <xf numFmtId="41" fontId="9" fillId="41" borderId="1" xfId="74" applyNumberFormat="1" applyFont="1" applyFill="1" applyBorder="1" applyAlignment="1">
      <alignment horizontal="right" vertical="center" wrapText="1"/>
    </xf>
    <xf numFmtId="41" fontId="124" fillId="41" borderId="1" xfId="74" applyNumberFormat="1" applyFont="1" applyFill="1" applyBorder="1" applyAlignment="1">
      <alignment horizontal="right" vertical="center" wrapText="1"/>
    </xf>
    <xf numFmtId="0" fontId="23" fillId="0" borderId="0" xfId="0" applyFont="1" applyFill="1" applyAlignment="1">
      <alignment vertical="center" wrapText="1"/>
    </xf>
    <xf numFmtId="0" fontId="21" fillId="0" borderId="17" xfId="0" applyFont="1" applyFill="1" applyBorder="1" applyAlignment="1">
      <alignment horizontal="left" vertical="center" shrinkToFit="1"/>
    </xf>
    <xf numFmtId="0" fontId="21" fillId="0" borderId="13" xfId="0" applyFont="1" applyFill="1" applyBorder="1" applyAlignment="1">
      <alignment horizontal="center" vertical="center" wrapText="1"/>
    </xf>
    <xf numFmtId="49" fontId="9" fillId="0" borderId="13" xfId="62" applyNumberFormat="1" applyFont="1" applyFill="1" applyBorder="1" applyAlignment="1">
      <alignment horizontal="center" vertical="center" wrapText="1"/>
    </xf>
    <xf numFmtId="41" fontId="23" fillId="0" borderId="1" xfId="74" applyNumberFormat="1" applyFont="1" applyFill="1" applyBorder="1" applyAlignment="1">
      <alignment horizontal="right" vertical="center" wrapText="1"/>
    </xf>
    <xf numFmtId="41" fontId="9" fillId="0" borderId="1" xfId="74" applyNumberFormat="1" applyFont="1" applyFill="1" applyBorder="1" applyAlignment="1">
      <alignment horizontal="right" vertical="center" wrapText="1"/>
    </xf>
    <xf numFmtId="0" fontId="9" fillId="26" borderId="1" xfId="0" applyFont="1" applyFill="1" applyBorder="1" applyAlignment="1">
      <alignment horizontal="center" vertical="center" wrapText="1"/>
    </xf>
    <xf numFmtId="0" fontId="9" fillId="26" borderId="23" xfId="0" applyFont="1" applyFill="1" applyBorder="1" applyAlignment="1">
      <alignment horizontal="center" vertical="center" wrapText="1"/>
    </xf>
    <xf numFmtId="0" fontId="21" fillId="26" borderId="13" xfId="0" applyFont="1" applyFill="1" applyBorder="1" applyAlignment="1">
      <alignment horizontal="center" vertical="center" wrapText="1"/>
    </xf>
    <xf numFmtId="41" fontId="28" fillId="41" borderId="1" xfId="74" applyNumberFormat="1" applyFont="1" applyFill="1" applyBorder="1" applyAlignment="1">
      <alignment horizontal="right" vertical="center" wrapText="1"/>
    </xf>
    <xf numFmtId="41" fontId="62" fillId="41" borderId="1" xfId="74" applyNumberFormat="1" applyFont="1" applyFill="1" applyBorder="1" applyAlignment="1">
      <alignment horizontal="right" vertical="center" wrapText="1"/>
    </xf>
    <xf numFmtId="0" fontId="15" fillId="35" borderId="17" xfId="62" applyFont="1" applyFill="1" applyBorder="1" applyAlignment="1">
      <alignment horizontal="center" vertical="center"/>
    </xf>
    <xf numFmtId="197" fontId="23" fillId="35" borderId="1" xfId="74" applyNumberFormat="1" applyFont="1" applyFill="1" applyBorder="1" applyAlignment="1">
      <alignment horizontal="right" vertical="center" wrapText="1" shrinkToFit="1"/>
    </xf>
    <xf numFmtId="197" fontId="23" fillId="35" borderId="0" xfId="62" applyNumberFormat="1" applyFont="1" applyFill="1" applyAlignment="1">
      <alignment vertical="center" wrapText="1"/>
    </xf>
    <xf numFmtId="0" fontId="21" fillId="26" borderId="17" xfId="0" applyFont="1" applyFill="1" applyBorder="1" applyAlignment="1">
      <alignment horizontal="center" vertical="center" wrapText="1"/>
    </xf>
    <xf numFmtId="41" fontId="23" fillId="26" borderId="1" xfId="74" applyNumberFormat="1" applyFont="1" applyFill="1" applyBorder="1" applyAlignment="1">
      <alignment horizontal="right" vertical="center" wrapText="1" shrinkToFit="1"/>
    </xf>
    <xf numFmtId="41" fontId="9" fillId="26" borderId="1" xfId="74" applyNumberFormat="1" applyFont="1" applyFill="1" applyBorder="1" applyAlignment="1">
      <alignment horizontal="right" vertical="center" wrapText="1" shrinkToFit="1"/>
    </xf>
    <xf numFmtId="0" fontId="21" fillId="0" borderId="17" xfId="0" applyFont="1" applyBorder="1" applyAlignment="1">
      <alignment horizontal="left" vertical="center" shrinkToFit="1"/>
    </xf>
    <xf numFmtId="41" fontId="62" fillId="36" borderId="1" xfId="77" applyNumberFormat="1" applyFont="1" applyFill="1" applyBorder="1" applyAlignment="1">
      <alignment horizontal="right" vertical="center" wrapText="1" shrinkToFit="1"/>
    </xf>
    <xf numFmtId="41" fontId="60" fillId="0" borderId="1" xfId="77" applyNumberFormat="1" applyFont="1" applyFill="1" applyBorder="1" applyAlignment="1">
      <alignment horizontal="right" vertical="center" wrapText="1" shrinkToFit="1"/>
    </xf>
    <xf numFmtId="41" fontId="28" fillId="36" borderId="1" xfId="77" applyNumberFormat="1" applyFont="1" applyFill="1" applyBorder="1" applyAlignment="1">
      <alignment horizontal="right" vertical="center" wrapText="1" shrinkToFit="1"/>
    </xf>
    <xf numFmtId="0" fontId="23" fillId="0" borderId="0" xfId="62" applyFont="1" applyFill="1" applyAlignment="1">
      <alignment vertical="center" wrapText="1"/>
    </xf>
    <xf numFmtId="41" fontId="60" fillId="0" borderId="1" xfId="75" applyNumberFormat="1" applyFont="1" applyFill="1" applyBorder="1" applyAlignment="1">
      <alignment horizontal="right" vertical="center" wrapText="1" shrinkToFit="1"/>
    </xf>
    <xf numFmtId="41" fontId="28" fillId="36" borderId="1" xfId="75" applyNumberFormat="1" applyFont="1" applyFill="1" applyBorder="1" applyAlignment="1">
      <alignment horizontal="right" vertical="center" wrapText="1" shrinkToFit="1"/>
    </xf>
    <xf numFmtId="41" fontId="48" fillId="0" borderId="1" xfId="75" applyNumberFormat="1" applyFont="1" applyFill="1" applyBorder="1" applyAlignment="1">
      <alignment horizontal="right" vertical="center" wrapText="1" shrinkToFit="1"/>
    </xf>
    <xf numFmtId="41" fontId="48" fillId="0" borderId="1" xfId="74" applyNumberFormat="1" applyFont="1" applyFill="1" applyBorder="1" applyAlignment="1">
      <alignment horizontal="right" vertical="center" wrapText="1" shrinkToFit="1"/>
    </xf>
    <xf numFmtId="41" fontId="60" fillId="0" borderId="1" xfId="74" applyNumberFormat="1" applyFont="1" applyFill="1" applyBorder="1" applyAlignment="1">
      <alignment horizontal="right" vertical="center" wrapText="1" shrinkToFit="1"/>
    </xf>
    <xf numFmtId="0" fontId="9" fillId="0" borderId="1" xfId="0" applyFont="1" applyBorder="1" applyAlignment="1">
      <alignment horizontal="center" vertical="center" wrapText="1"/>
    </xf>
    <xf numFmtId="0" fontId="21" fillId="0" borderId="28" xfId="0" applyFont="1" applyBorder="1" applyAlignment="1">
      <alignment horizontal="left" vertical="center" shrinkToFit="1"/>
    </xf>
    <xf numFmtId="41" fontId="23" fillId="0" borderId="1" xfId="74" applyNumberFormat="1" applyFont="1" applyFill="1" applyBorder="1" applyAlignment="1">
      <alignment horizontal="right" vertical="center" wrapText="1" shrinkToFit="1"/>
    </xf>
    <xf numFmtId="41" fontId="9" fillId="0" borderId="1" xfId="74" applyNumberFormat="1" applyFont="1" applyFill="1" applyBorder="1" applyAlignment="1">
      <alignment horizontal="right" vertical="center" wrapText="1" shrinkToFit="1"/>
    </xf>
    <xf numFmtId="49" fontId="9" fillId="0" borderId="1" xfId="0" applyNumberFormat="1" applyFont="1" applyFill="1" applyBorder="1" applyAlignment="1">
      <alignment horizontal="center" vertical="center" wrapText="1"/>
    </xf>
    <xf numFmtId="41" fontId="9" fillId="0" borderId="1" xfId="79" applyNumberFormat="1" applyFont="1" applyFill="1" applyBorder="1" applyAlignment="1">
      <alignment horizontal="right" vertical="center" wrapText="1" shrinkToFit="1"/>
    </xf>
    <xf numFmtId="180" fontId="9" fillId="0" borderId="1" xfId="74" applyNumberFormat="1" applyFont="1" applyFill="1" applyBorder="1" applyAlignment="1">
      <alignment horizontal="right" vertical="center" wrapText="1"/>
    </xf>
    <xf numFmtId="180" fontId="23" fillId="0" borderId="1" xfId="74" applyNumberFormat="1" applyFont="1" applyFill="1" applyBorder="1" applyAlignment="1">
      <alignment horizontal="right" vertical="center" wrapText="1"/>
    </xf>
    <xf numFmtId="180" fontId="9" fillId="37" borderId="1" xfId="74" applyNumberFormat="1" applyFont="1" applyFill="1" applyBorder="1" applyAlignment="1">
      <alignment horizontal="right" vertical="center" wrapText="1"/>
    </xf>
    <xf numFmtId="0" fontId="23" fillId="25" borderId="0" xfId="0" applyFont="1" applyFill="1" applyAlignment="1">
      <alignment vertical="center" wrapText="1"/>
    </xf>
    <xf numFmtId="0" fontId="21" fillId="26" borderId="1" xfId="0" applyFont="1" applyFill="1" applyBorder="1" applyAlignment="1">
      <alignment horizontal="left" vertical="center" wrapText="1"/>
    </xf>
    <xf numFmtId="0" fontId="21" fillId="26" borderId="23" xfId="0" applyFont="1" applyFill="1" applyBorder="1" applyAlignment="1">
      <alignment horizontal="left" vertical="center" shrinkToFit="1"/>
    </xf>
    <xf numFmtId="49" fontId="124" fillId="26" borderId="1" xfId="62" applyNumberFormat="1" applyFont="1" applyFill="1" applyBorder="1" applyAlignment="1">
      <alignment horizontal="center" vertical="center" wrapText="1"/>
    </xf>
    <xf numFmtId="41" fontId="60" fillId="26" borderId="1" xfId="76" applyNumberFormat="1" applyFont="1" applyFill="1" applyBorder="1" applyAlignment="1">
      <alignment horizontal="right" vertical="center" wrapText="1" shrinkToFit="1"/>
    </xf>
    <xf numFmtId="41" fontId="28" fillId="36" borderId="1" xfId="78" applyNumberFormat="1" applyFont="1" applyFill="1" applyBorder="1" applyAlignment="1">
      <alignment horizontal="right" vertical="center" wrapText="1" shrinkToFit="1"/>
    </xf>
    <xf numFmtId="41" fontId="48" fillId="26" borderId="1" xfId="74" applyNumberFormat="1" applyFont="1" applyFill="1" applyBorder="1" applyAlignment="1">
      <alignment horizontal="right" vertical="center" wrapText="1" shrinkToFit="1"/>
    </xf>
    <xf numFmtId="41" fontId="60" fillId="26" borderId="1" xfId="74" applyNumberFormat="1" applyFont="1" applyFill="1" applyBorder="1" applyAlignment="1">
      <alignment horizontal="right" vertical="center" wrapText="1" shrinkToFit="1"/>
    </xf>
    <xf numFmtId="41" fontId="28" fillId="36" borderId="1" xfId="74" applyNumberFormat="1" applyFont="1" applyFill="1" applyBorder="1" applyAlignment="1">
      <alignment horizontal="right" vertical="center" wrapText="1" shrinkToFit="1"/>
    </xf>
    <xf numFmtId="0" fontId="23" fillId="26" borderId="1" xfId="0" applyFont="1" applyFill="1" applyBorder="1" applyAlignment="1">
      <alignment vertical="center" wrapText="1"/>
    </xf>
    <xf numFmtId="0" fontId="21" fillId="26" borderId="28" xfId="0" applyFont="1" applyFill="1" applyBorder="1" applyAlignment="1">
      <alignment horizontal="left" vertical="center" shrinkToFit="1"/>
    </xf>
    <xf numFmtId="41" fontId="28" fillId="26" borderId="1" xfId="78" applyNumberFormat="1" applyFont="1" applyFill="1" applyBorder="1" applyAlignment="1">
      <alignment horizontal="right" vertical="center" wrapText="1" shrinkToFit="1"/>
    </xf>
    <xf numFmtId="41" fontId="62" fillId="26" borderId="1" xfId="78" applyNumberFormat="1" applyFont="1" applyFill="1" applyBorder="1" applyAlignment="1">
      <alignment horizontal="right" vertical="center" wrapText="1" shrinkToFit="1"/>
    </xf>
    <xf numFmtId="49" fontId="23" fillId="35" borderId="21" xfId="62" applyNumberFormat="1" applyFont="1" applyFill="1" applyBorder="1" applyAlignment="1">
      <alignment horizontal="center" vertical="center" wrapText="1"/>
    </xf>
    <xf numFmtId="41" fontId="23" fillId="35" borderId="1" xfId="74" applyNumberFormat="1" applyFont="1" applyFill="1" applyBorder="1" applyAlignment="1">
      <alignment horizontal="right" vertical="center" wrapText="1" shrinkToFit="1"/>
    </xf>
    <xf numFmtId="41" fontId="9" fillId="35" borderId="1" xfId="74" applyNumberFormat="1" applyFont="1" applyFill="1" applyBorder="1" applyAlignment="1">
      <alignment horizontal="right" vertical="center" wrapText="1" shrinkToFit="1"/>
    </xf>
    <xf numFmtId="0" fontId="23" fillId="35" borderId="0" xfId="0" applyFont="1" applyFill="1" applyBorder="1" applyAlignment="1">
      <alignment vertical="center" wrapText="1"/>
    </xf>
    <xf numFmtId="0" fontId="9" fillId="0" borderId="1" xfId="62" applyFont="1" applyFill="1" applyBorder="1" applyAlignment="1">
      <alignment horizontal="center" vertical="center" wrapText="1"/>
    </xf>
    <xf numFmtId="49" fontId="9" fillId="0" borderId="21" xfId="62" applyNumberFormat="1" applyFont="1" applyFill="1" applyBorder="1" applyAlignment="1">
      <alignment horizontal="center" vertical="center" wrapText="1"/>
    </xf>
    <xf numFmtId="41" fontId="122" fillId="41" borderId="1" xfId="74" applyNumberFormat="1" applyFont="1" applyFill="1" applyBorder="1" applyAlignment="1">
      <alignment horizontal="right" vertical="center" wrapText="1" shrinkToFit="1"/>
    </xf>
    <xf numFmtId="41" fontId="124" fillId="41" borderId="1" xfId="74" applyNumberFormat="1" applyFont="1" applyFill="1" applyBorder="1" applyAlignment="1">
      <alignment horizontal="right" vertical="center" wrapText="1" shrinkToFit="1"/>
    </xf>
    <xf numFmtId="180" fontId="124" fillId="41" borderId="1" xfId="74" applyNumberFormat="1" applyFont="1" applyFill="1" applyBorder="1" applyAlignment="1">
      <alignment horizontal="center" vertical="center" wrapText="1"/>
    </xf>
    <xf numFmtId="0" fontId="23" fillId="0" borderId="0" xfId="0" applyFont="1" applyFill="1" applyBorder="1" applyAlignment="1">
      <alignment vertical="center" wrapText="1"/>
    </xf>
    <xf numFmtId="0" fontId="109" fillId="35" borderId="13" xfId="0" applyFont="1" applyFill="1" applyBorder="1" applyAlignment="1">
      <alignment horizontal="center" vertical="center" wrapText="1"/>
    </xf>
    <xf numFmtId="179" fontId="70" fillId="35" borderId="1" xfId="74" applyNumberFormat="1" applyFont="1" applyFill="1" applyBorder="1" applyAlignment="1">
      <alignment horizontal="right" vertical="center" wrapText="1" shrinkToFit="1"/>
    </xf>
    <xf numFmtId="0" fontId="70" fillId="35" borderId="0" xfId="0" applyFont="1" applyFill="1" applyAlignment="1">
      <alignment vertical="center" wrapText="1"/>
    </xf>
    <xf numFmtId="0" fontId="23" fillId="26" borderId="0" xfId="0" applyFont="1" applyFill="1" applyAlignment="1">
      <alignment vertical="center" wrapText="1"/>
    </xf>
    <xf numFmtId="0" fontId="9" fillId="11" borderId="1" xfId="0" applyFont="1" applyFill="1" applyBorder="1" applyAlignment="1">
      <alignment horizontal="center" vertical="center" wrapText="1"/>
    </xf>
    <xf numFmtId="0" fontId="21" fillId="11" borderId="17"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9" fillId="0" borderId="0" xfId="62" applyFont="1" applyFill="1" applyAlignment="1">
      <alignment vertical="center" wrapText="1"/>
    </xf>
    <xf numFmtId="0" fontId="21" fillId="11" borderId="17" xfId="0" applyFont="1" applyFill="1" applyBorder="1" applyAlignment="1">
      <alignment horizontal="left" vertical="center" wrapText="1"/>
    </xf>
    <xf numFmtId="0" fontId="115" fillId="0" borderId="0" xfId="62" applyFont="1" applyFill="1" applyAlignment="1">
      <alignment vertical="center" wrapText="1"/>
    </xf>
    <xf numFmtId="0" fontId="9" fillId="0" borderId="0" xfId="0" applyFont="1" applyFill="1" applyAlignment="1">
      <alignment vertical="center" wrapText="1"/>
    </xf>
    <xf numFmtId="41" fontId="28" fillId="0" borderId="1" xfId="74" applyNumberFormat="1" applyFont="1" applyFill="1" applyBorder="1" applyAlignment="1">
      <alignment horizontal="right" vertical="center" wrapText="1"/>
    </xf>
    <xf numFmtId="0" fontId="115" fillId="0" borderId="0" xfId="0" applyFont="1" applyFill="1" applyAlignment="1">
      <alignment vertical="center" wrapText="1"/>
    </xf>
    <xf numFmtId="41" fontId="28" fillId="25" borderId="1" xfId="0" applyNumberFormat="1" applyFont="1" applyFill="1" applyBorder="1" applyAlignment="1">
      <alignment horizontal="right" vertical="center" wrapText="1"/>
    </xf>
    <xf numFmtId="0" fontId="21" fillId="0" borderId="1" xfId="62" applyFont="1" applyFill="1" applyBorder="1" applyAlignment="1">
      <alignment vertical="center" wrapText="1"/>
    </xf>
    <xf numFmtId="0" fontId="21" fillId="0" borderId="0" xfId="0" applyFont="1" applyFill="1" applyBorder="1" applyAlignment="1">
      <alignment horizontal="left" vertical="center" wrapText="1"/>
    </xf>
    <xf numFmtId="41" fontId="122" fillId="41" borderId="1" xfId="74" applyNumberFormat="1" applyFont="1" applyFill="1" applyBorder="1" applyAlignment="1">
      <alignment horizontal="right" vertical="center" wrapText="1"/>
    </xf>
    <xf numFmtId="0" fontId="21" fillId="0" borderId="0" xfId="62" applyFont="1" applyFill="1" applyAlignment="1">
      <alignment vertical="center" wrapText="1"/>
    </xf>
    <xf numFmtId="0" fontId="21" fillId="26" borderId="0" xfId="62" applyFont="1" applyFill="1" applyAlignment="1">
      <alignment vertical="center" wrapText="1"/>
    </xf>
    <xf numFmtId="0" fontId="21" fillId="0" borderId="28" xfId="0" applyFont="1" applyFill="1" applyBorder="1" applyAlignment="1">
      <alignment horizontal="left" vertical="center" wrapText="1"/>
    </xf>
    <xf numFmtId="0" fontId="20" fillId="0" borderId="0" xfId="62" applyFont="1" applyFill="1" applyAlignment="1">
      <alignment vertical="center" wrapText="1"/>
    </xf>
    <xf numFmtId="0" fontId="21" fillId="0" borderId="23" xfId="0" applyFont="1" applyFill="1" applyBorder="1" applyAlignment="1">
      <alignment horizontal="left" vertical="center" wrapText="1"/>
    </xf>
    <xf numFmtId="49" fontId="9" fillId="26" borderId="1" xfId="0" applyNumberFormat="1" applyFont="1" applyFill="1" applyBorder="1" applyAlignment="1">
      <alignment horizontal="center" vertical="center" wrapText="1"/>
    </xf>
    <xf numFmtId="0" fontId="21" fillId="0" borderId="17" xfId="0" applyFont="1" applyFill="1" applyBorder="1" applyAlignment="1">
      <alignment horizontal="left" vertical="center" wrapText="1"/>
    </xf>
    <xf numFmtId="0" fontId="20" fillId="0" borderId="0" xfId="0" applyFont="1" applyFill="1" applyAlignment="1">
      <alignment vertical="center" wrapText="1"/>
    </xf>
    <xf numFmtId="0" fontId="21" fillId="26" borderId="23" xfId="0" applyFont="1" applyFill="1" applyBorder="1" applyAlignment="1">
      <alignment horizontal="center" vertical="center" wrapText="1"/>
    </xf>
    <xf numFmtId="0" fontId="20" fillId="26" borderId="0" xfId="0" applyFont="1" applyFill="1" applyAlignment="1">
      <alignment vertical="center" wrapText="1"/>
    </xf>
    <xf numFmtId="0" fontId="21" fillId="0" borderId="28" xfId="0" applyFont="1" applyBorder="1" applyAlignment="1">
      <alignment horizontal="left" vertical="center" wrapText="1"/>
    </xf>
    <xf numFmtId="0" fontId="21" fillId="0" borderId="17" xfId="0" applyFont="1" applyBorder="1" applyAlignment="1">
      <alignment horizontal="left" vertical="center" wrapText="1"/>
    </xf>
    <xf numFmtId="0" fontId="21" fillId="0" borderId="1" xfId="0" applyNumberFormat="1" applyFont="1" applyFill="1" applyBorder="1" applyAlignment="1">
      <alignment horizontal="left" vertical="center" wrapText="1"/>
    </xf>
    <xf numFmtId="0" fontId="21" fillId="0" borderId="23" xfId="0" applyFont="1" applyBorder="1" applyAlignment="1">
      <alignment horizontal="left" vertical="center" wrapText="1"/>
    </xf>
    <xf numFmtId="0" fontId="21" fillId="0" borderId="1" xfId="62" applyNumberFormat="1" applyFont="1" applyFill="1" applyBorder="1" applyAlignment="1">
      <alignment horizontal="left" vertical="center" wrapText="1"/>
    </xf>
    <xf numFmtId="0" fontId="21" fillId="0" borderId="0" xfId="0" applyFont="1" applyBorder="1" applyAlignment="1">
      <alignment horizontal="left" vertical="center" wrapText="1"/>
    </xf>
    <xf numFmtId="49" fontId="21" fillId="0" borderId="1" xfId="62" applyNumberFormat="1" applyFont="1" applyFill="1" applyBorder="1" applyAlignment="1">
      <alignment horizontal="left" vertical="center" wrapText="1"/>
    </xf>
    <xf numFmtId="49" fontId="21" fillId="0" borderId="1" xfId="0" applyNumberFormat="1" applyFont="1" applyFill="1" applyBorder="1" applyAlignment="1">
      <alignment horizontal="left" vertical="center" wrapText="1"/>
    </xf>
    <xf numFmtId="41" fontId="124" fillId="0" borderId="1" xfId="74" applyNumberFormat="1" applyFont="1" applyFill="1" applyBorder="1" applyAlignment="1">
      <alignment horizontal="right" vertical="center" wrapText="1" shrinkToFit="1"/>
    </xf>
    <xf numFmtId="41" fontId="122" fillId="0" borderId="1" xfId="74" applyNumberFormat="1" applyFont="1" applyFill="1" applyBorder="1" applyAlignment="1">
      <alignment horizontal="right" vertical="center" wrapText="1" shrinkToFit="1"/>
    </xf>
    <xf numFmtId="49" fontId="23" fillId="35" borderId="1" xfId="0" applyNumberFormat="1" applyFont="1" applyFill="1" applyBorder="1" applyAlignment="1">
      <alignment horizontal="center" vertical="center" wrapText="1"/>
    </xf>
    <xf numFmtId="41" fontId="70" fillId="35" borderId="1" xfId="74" applyNumberFormat="1" applyFont="1" applyFill="1" applyBorder="1" applyAlignment="1">
      <alignment horizontal="right" vertical="center" wrapText="1"/>
    </xf>
    <xf numFmtId="0" fontId="70" fillId="35" borderId="0" xfId="62" applyFont="1" applyFill="1" applyAlignment="1">
      <alignment vertical="center" wrapText="1"/>
    </xf>
    <xf numFmtId="0" fontId="21" fillId="0" borderId="17" xfId="0" applyFont="1" applyBorder="1" applyAlignment="1">
      <alignment horizontal="center" vertical="center" wrapText="1"/>
    </xf>
    <xf numFmtId="0" fontId="23" fillId="35" borderId="0" xfId="0" applyFont="1" applyFill="1" applyAlignment="1">
      <alignment vertical="center" wrapText="1"/>
    </xf>
    <xf numFmtId="0" fontId="9" fillId="26" borderId="17" xfId="0" applyFont="1" applyFill="1" applyBorder="1" applyAlignment="1">
      <alignment horizontal="center" vertical="center" wrapText="1"/>
    </xf>
    <xf numFmtId="0" fontId="9" fillId="0" borderId="1" xfId="62" applyFont="1" applyFill="1" applyBorder="1" applyAlignment="1">
      <alignment horizontal="left" vertical="center" wrapText="1"/>
    </xf>
    <xf numFmtId="0" fontId="9" fillId="0" borderId="17" xfId="0" applyFont="1" applyBorder="1" applyAlignment="1">
      <alignment horizontal="center" vertical="center" wrapText="1"/>
    </xf>
    <xf numFmtId="41" fontId="23" fillId="0" borderId="1" xfId="74" applyNumberFormat="1" applyFont="1" applyBorder="1" applyAlignment="1">
      <alignment horizontal="right" vertical="center" wrapText="1"/>
    </xf>
    <xf numFmtId="41" fontId="9" fillId="0" borderId="1" xfId="74" applyNumberFormat="1" applyFont="1" applyBorder="1" applyAlignment="1">
      <alignment horizontal="right" vertical="center" wrapText="1"/>
    </xf>
    <xf numFmtId="0" fontId="9" fillId="0" borderId="1" xfId="0" applyFont="1" applyBorder="1" applyAlignment="1">
      <alignment horizontal="left" vertical="center" wrapText="1"/>
    </xf>
    <xf numFmtId="0" fontId="21" fillId="0" borderId="1" xfId="62" applyFont="1" applyBorder="1" applyAlignment="1">
      <alignment horizontal="left" vertical="center" wrapText="1"/>
    </xf>
    <xf numFmtId="0" fontId="9" fillId="0" borderId="13" xfId="0" applyFont="1" applyBorder="1" applyAlignment="1">
      <alignment horizontal="center" vertical="center" wrapText="1"/>
    </xf>
    <xf numFmtId="41" fontId="9" fillId="42" borderId="1" xfId="74" applyNumberFormat="1" applyFont="1" applyFill="1" applyBorder="1" applyAlignment="1">
      <alignment horizontal="right" vertical="center" wrapText="1"/>
    </xf>
    <xf numFmtId="41" fontId="23" fillId="42" borderId="1" xfId="74" applyNumberFormat="1" applyFont="1" applyFill="1" applyBorder="1" applyAlignment="1">
      <alignment horizontal="right" vertical="center" wrapText="1"/>
    </xf>
    <xf numFmtId="0" fontId="9" fillId="0" borderId="1" xfId="62" applyFont="1" applyBorder="1" applyAlignment="1">
      <alignment horizontal="left" vertical="center" wrapText="1"/>
    </xf>
    <xf numFmtId="0" fontId="9" fillId="34" borderId="17" xfId="0" applyFont="1" applyFill="1" applyBorder="1" applyAlignment="1">
      <alignment horizontal="center" vertical="center" wrapText="1"/>
    </xf>
    <xf numFmtId="0" fontId="9" fillId="34" borderId="13" xfId="0" applyFont="1" applyFill="1" applyBorder="1" applyAlignment="1">
      <alignment horizontal="center" vertical="center" wrapText="1"/>
    </xf>
    <xf numFmtId="49" fontId="21" fillId="26" borderId="1" xfId="62" applyNumberFormat="1" applyFont="1" applyFill="1" applyBorder="1" applyAlignment="1">
      <alignment horizontal="left" vertical="center" wrapText="1"/>
    </xf>
    <xf numFmtId="0" fontId="9" fillId="26" borderId="13" xfId="0" applyFont="1" applyFill="1" applyBorder="1" applyAlignment="1">
      <alignment horizontal="center" vertical="center" wrapText="1"/>
    </xf>
    <xf numFmtId="0" fontId="21" fillId="0" borderId="1" xfId="0" applyFont="1" applyBorder="1" applyAlignment="1">
      <alignment horizontal="left" vertical="center" wrapText="1"/>
    </xf>
    <xf numFmtId="49" fontId="9" fillId="0" borderId="13" xfId="0" applyNumberFormat="1" applyFont="1" applyFill="1" applyBorder="1" applyAlignment="1">
      <alignment horizontal="center" vertical="center" wrapText="1"/>
    </xf>
    <xf numFmtId="0" fontId="28" fillId="26" borderId="1" xfId="0" applyFont="1" applyFill="1" applyBorder="1" applyAlignment="1">
      <alignment horizontal="center" vertical="center" wrapText="1"/>
    </xf>
    <xf numFmtId="0" fontId="28" fillId="26" borderId="1" xfId="62" applyFont="1" applyFill="1" applyBorder="1" applyAlignment="1">
      <alignment horizontal="left" vertical="center" wrapText="1"/>
    </xf>
    <xf numFmtId="0" fontId="28" fillId="0" borderId="1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15" fillId="35" borderId="17" xfId="0" applyFont="1" applyFill="1" applyBorder="1" applyAlignment="1">
      <alignment horizontal="center" vertical="center" wrapText="1"/>
    </xf>
    <xf numFmtId="0" fontId="21" fillId="0" borderId="1" xfId="62" applyFont="1" applyBorder="1" applyAlignment="1">
      <alignment vertical="center" wrapText="1"/>
    </xf>
    <xf numFmtId="0" fontId="21" fillId="0" borderId="28" xfId="0" applyFont="1" applyBorder="1" applyAlignment="1">
      <alignment horizontal="center" vertical="center" wrapText="1"/>
    </xf>
    <xf numFmtId="49" fontId="9" fillId="0" borderId="1" xfId="62" applyNumberFormat="1" applyFont="1" applyBorder="1" applyAlignment="1">
      <alignment horizontal="center" vertical="center" wrapText="1"/>
    </xf>
    <xf numFmtId="0" fontId="23" fillId="0" borderId="0" xfId="0" applyFont="1" applyAlignment="1">
      <alignment vertical="center" wrapText="1"/>
    </xf>
    <xf numFmtId="0" fontId="23" fillId="0" borderId="0" xfId="62" applyFont="1" applyAlignment="1">
      <alignment vertical="center" wrapText="1"/>
    </xf>
    <xf numFmtId="0" fontId="21" fillId="35" borderId="23" xfId="0" applyFont="1" applyFill="1" applyBorder="1" applyAlignment="1">
      <alignment horizontal="center" vertical="center" wrapText="1"/>
    </xf>
    <xf numFmtId="0" fontId="9" fillId="0" borderId="0" xfId="0" applyFont="1" applyBorder="1" applyAlignment="1">
      <alignment horizontal="center" vertical="center" wrapText="1"/>
    </xf>
    <xf numFmtId="0" fontId="21" fillId="0" borderId="1" xfId="62" applyFont="1" applyFill="1" applyBorder="1" applyAlignment="1">
      <alignment horizontal="justify" vertical="center" wrapText="1"/>
    </xf>
    <xf numFmtId="0" fontId="9" fillId="0" borderId="23" xfId="0" applyFont="1" applyBorder="1" applyAlignment="1">
      <alignment horizontal="center" vertical="center" wrapText="1"/>
    </xf>
    <xf numFmtId="182" fontId="15" fillId="0" borderId="0" xfId="62" applyNumberFormat="1" applyFont="1" applyFill="1" applyAlignment="1">
      <alignment horizontal="right" vertical="center" wrapText="1"/>
    </xf>
    <xf numFmtId="0" fontId="28" fillId="25" borderId="23" xfId="0" applyFont="1" applyFill="1" applyBorder="1" applyAlignment="1">
      <alignment horizontal="center" vertical="center" wrapText="1"/>
    </xf>
    <xf numFmtId="0" fontId="28" fillId="0" borderId="1" xfId="62" applyFont="1" applyFill="1" applyBorder="1" applyAlignment="1">
      <alignment horizontal="left" vertical="center" wrapText="1"/>
    </xf>
    <xf numFmtId="0" fontId="28" fillId="25" borderId="1" xfId="0" applyFont="1" applyFill="1" applyBorder="1" applyAlignment="1">
      <alignment horizontal="center" vertical="center" wrapText="1"/>
    </xf>
    <xf numFmtId="0" fontId="62" fillId="0" borderId="0" xfId="0" applyFont="1" applyFill="1" applyAlignment="1">
      <alignment vertical="center" wrapText="1"/>
    </xf>
    <xf numFmtId="0" fontId="9" fillId="26" borderId="1" xfId="62" applyFont="1" applyFill="1" applyBorder="1" applyAlignment="1">
      <alignment horizontal="left" vertical="center" wrapText="1"/>
    </xf>
    <xf numFmtId="0" fontId="28" fillId="26" borderId="23" xfId="0" applyFont="1" applyFill="1" applyBorder="1" applyAlignment="1">
      <alignment horizontal="center" vertical="center" wrapText="1"/>
    </xf>
    <xf numFmtId="0" fontId="21" fillId="26" borderId="1" xfId="62" applyFont="1" applyFill="1" applyBorder="1" applyAlignment="1">
      <alignment horizontal="justify" vertical="center" wrapText="1"/>
    </xf>
    <xf numFmtId="0" fontId="21" fillId="0" borderId="0" xfId="64" applyFont="1" applyBorder="1" applyAlignment="1">
      <alignment vertical="center"/>
    </xf>
    <xf numFmtId="0" fontId="0" fillId="0" borderId="23" xfId="0" applyBorder="1" applyAlignment="1">
      <alignment horizontal="left" vertical="center" wrapText="1"/>
    </xf>
    <xf numFmtId="0" fontId="2" fillId="0" borderId="23" xfId="0" applyFont="1" applyBorder="1" applyAlignment="1">
      <alignment horizontal="center" vertical="center"/>
    </xf>
    <xf numFmtId="0" fontId="0" fillId="0" borderId="23" xfId="0" applyBorder="1" applyAlignment="1">
      <alignment vertical="center"/>
    </xf>
    <xf numFmtId="0" fontId="0" fillId="0" borderId="23" xfId="0" applyBorder="1" applyAlignment="1">
      <alignment vertical="center" wrapText="1"/>
    </xf>
    <xf numFmtId="49" fontId="14" fillId="0" borderId="23" xfId="0" applyNumberFormat="1" applyFont="1" applyBorder="1" applyAlignment="1">
      <alignment horizontal="center" vertical="center"/>
    </xf>
    <xf numFmtId="0" fontId="116" fillId="0" borderId="23" xfId="0" applyFont="1" applyFill="1" applyBorder="1" applyAlignment="1">
      <alignment vertical="center"/>
    </xf>
    <xf numFmtId="0" fontId="116" fillId="0" borderId="23" xfId="0" applyFont="1" applyBorder="1" applyAlignment="1">
      <alignment vertical="center"/>
    </xf>
    <xf numFmtId="0" fontId="0" fillId="0" borderId="0" xfId="0" applyBorder="1" applyAlignment="1">
      <alignment horizontal="left" vertical="center" wrapText="1"/>
    </xf>
    <xf numFmtId="0" fontId="2"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wrapText="1"/>
    </xf>
    <xf numFmtId="49" fontId="14" fillId="0" borderId="0" xfId="0" applyNumberFormat="1" applyFont="1" applyBorder="1" applyAlignment="1">
      <alignment horizontal="center" vertical="center"/>
    </xf>
    <xf numFmtId="0" fontId="116" fillId="0" borderId="0" xfId="0" applyFont="1" applyFill="1" applyBorder="1" applyAlignment="1">
      <alignment vertical="center"/>
    </xf>
    <xf numFmtId="0" fontId="116" fillId="0" borderId="0" xfId="0" applyFont="1" applyBorder="1" applyAlignment="1">
      <alignment vertical="center"/>
    </xf>
    <xf numFmtId="0" fontId="9" fillId="0" borderId="0" xfId="62" applyNumberFormat="1" applyFont="1" applyAlignment="1">
      <alignment horizontal="center" vertical="center"/>
    </xf>
    <xf numFmtId="180" fontId="23" fillId="0" borderId="0" xfId="74" applyNumberFormat="1" applyFont="1" applyFill="1" applyAlignment="1">
      <alignment vertical="center"/>
    </xf>
    <xf numFmtId="43" fontId="70" fillId="0" borderId="0" xfId="74" applyFont="1" applyAlignment="1">
      <alignment horizontal="right" vertical="center" wrapText="1"/>
    </xf>
    <xf numFmtId="41" fontId="23" fillId="0" borderId="0" xfId="62" applyNumberFormat="1" applyFont="1" applyFill="1" applyAlignment="1">
      <alignment vertical="center"/>
    </xf>
    <xf numFmtId="0" fontId="29" fillId="0" borderId="0" xfId="62" applyFont="1" applyAlignment="1">
      <alignment horizontal="left" vertical="center"/>
    </xf>
    <xf numFmtId="0" fontId="9" fillId="0" borderId="0" xfId="62" applyFont="1" applyFill="1" applyAlignment="1">
      <alignment horizontal="center" vertical="center" wrapText="1"/>
    </xf>
    <xf numFmtId="0" fontId="29" fillId="0" borderId="0" xfId="62" applyFont="1" applyFill="1" applyAlignment="1">
      <alignment horizontal="centerContinuous" vertical="center" wrapText="1"/>
    </xf>
    <xf numFmtId="49" fontId="117" fillId="0" borderId="0" xfId="62" applyNumberFormat="1" applyFont="1" applyAlignment="1">
      <alignment horizontal="left" vertical="center" wrapText="1"/>
    </xf>
    <xf numFmtId="180" fontId="9" fillId="0" borderId="0" xfId="74" applyNumberFormat="1" applyFont="1" applyAlignment="1">
      <alignment horizontal="centerContinuous" vertical="center" wrapText="1"/>
    </xf>
    <xf numFmtId="49" fontId="23" fillId="0" borderId="0" xfId="74" applyNumberFormat="1" applyFont="1" applyAlignment="1">
      <alignment horizontal="center" vertical="center"/>
    </xf>
    <xf numFmtId="180" fontId="27" fillId="0" borderId="0" xfId="74" applyNumberFormat="1" applyFont="1" applyAlignment="1">
      <alignment horizontal="left" vertical="center"/>
    </xf>
    <xf numFmtId="180" fontId="9" fillId="0" borderId="0" xfId="74" applyNumberFormat="1" applyFont="1" applyAlignment="1">
      <alignment vertical="center"/>
    </xf>
    <xf numFmtId="180" fontId="9" fillId="0" borderId="0" xfId="74" applyNumberFormat="1" applyFont="1" applyAlignment="1">
      <alignment horizontal="centerContinuous" vertical="center"/>
    </xf>
    <xf numFmtId="180" fontId="23" fillId="0" borderId="0" xfId="74" applyNumberFormat="1" applyFont="1" applyAlignment="1">
      <alignment horizontal="left" vertical="center"/>
    </xf>
    <xf numFmtId="180" fontId="9" fillId="0" borderId="0" xfId="74" applyNumberFormat="1" applyFont="1" applyBorder="1" applyAlignment="1">
      <alignment horizontal="centerContinuous" vertical="center"/>
    </xf>
    <xf numFmtId="0" fontId="9" fillId="0" borderId="0" xfId="62" applyFont="1" applyAlignment="1">
      <alignment horizontal="left" vertical="center"/>
    </xf>
    <xf numFmtId="49" fontId="21" fillId="0" borderId="0" xfId="62" applyNumberFormat="1" applyFont="1" applyAlignment="1">
      <alignment vertical="center" wrapText="1"/>
    </xf>
    <xf numFmtId="180" fontId="9" fillId="0" borderId="0" xfId="74" applyNumberFormat="1" applyFont="1" applyAlignment="1">
      <alignment horizontal="center" vertical="center"/>
    </xf>
    <xf numFmtId="49" fontId="9" fillId="0" borderId="0" xfId="74" applyNumberFormat="1" applyFont="1" applyAlignment="1">
      <alignment horizontal="center" vertical="center"/>
    </xf>
    <xf numFmtId="180" fontId="21" fillId="0" borderId="0" xfId="74" applyNumberFormat="1" applyFont="1" applyAlignment="1">
      <alignment horizontal="right" vertical="center"/>
    </xf>
    <xf numFmtId="180" fontId="9" fillId="0" borderId="0" xfId="74" applyNumberFormat="1" applyFont="1" applyAlignment="1">
      <alignment horizontal="right" vertical="center" wrapText="1"/>
    </xf>
    <xf numFmtId="180" fontId="9" fillId="0" borderId="0" xfId="74" applyNumberFormat="1" applyFont="1" applyBorder="1" applyAlignment="1">
      <alignment horizontal="right" vertical="center"/>
    </xf>
    <xf numFmtId="180" fontId="21" fillId="0" borderId="22" xfId="74" applyNumberFormat="1" applyFont="1" applyBorder="1" applyAlignment="1">
      <alignment horizontal="centerContinuous" vertical="center" wrapText="1"/>
    </xf>
    <xf numFmtId="180" fontId="9" fillId="0" borderId="17" xfId="74" applyNumberFormat="1" applyFont="1" applyBorder="1" applyAlignment="1">
      <alignment horizontal="centerContinuous" vertical="center"/>
    </xf>
    <xf numFmtId="180" fontId="9" fillId="0" borderId="13" xfId="74" applyNumberFormat="1" applyFont="1" applyBorder="1" applyAlignment="1">
      <alignment horizontal="centerContinuous" vertical="center"/>
    </xf>
    <xf numFmtId="180" fontId="21" fillId="0" borderId="17" xfId="74" applyNumberFormat="1" applyFont="1" applyBorder="1" applyAlignment="1">
      <alignment horizontal="centerContinuous" vertical="center"/>
    </xf>
    <xf numFmtId="180" fontId="9" fillId="0" borderId="21" xfId="74" applyNumberFormat="1" applyFont="1" applyFill="1" applyBorder="1" applyAlignment="1">
      <alignment horizontal="center" vertical="center" wrapText="1"/>
    </xf>
    <xf numFmtId="180" fontId="9" fillId="0" borderId="21" xfId="74" applyNumberFormat="1" applyFont="1" applyBorder="1" applyAlignment="1">
      <alignment horizontal="center" vertical="center" wrapText="1"/>
    </xf>
    <xf numFmtId="180" fontId="21" fillId="0" borderId="1" xfId="74" applyNumberFormat="1" applyFont="1" applyBorder="1" applyAlignment="1">
      <alignment horizontal="center" vertical="center" wrapText="1"/>
    </xf>
    <xf numFmtId="180" fontId="21" fillId="0" borderId="1" xfId="74" applyNumberFormat="1" applyFont="1" applyFill="1" applyBorder="1" applyAlignment="1">
      <alignment horizontal="center" vertical="center"/>
    </xf>
    <xf numFmtId="180" fontId="21" fillId="0" borderId="1" xfId="74" applyNumberFormat="1" applyFont="1" applyFill="1" applyBorder="1" applyAlignment="1">
      <alignment horizontal="center" vertical="center" wrapText="1"/>
    </xf>
    <xf numFmtId="180" fontId="21" fillId="0" borderId="21" xfId="74" applyNumberFormat="1" applyFont="1" applyFill="1" applyBorder="1" applyAlignment="1">
      <alignment horizontal="center" vertical="center"/>
    </xf>
    <xf numFmtId="180" fontId="21" fillId="0" borderId="21" xfId="74" applyNumberFormat="1" applyFont="1" applyFill="1" applyBorder="1" applyAlignment="1">
      <alignment horizontal="center" vertical="center" wrapText="1"/>
    </xf>
    <xf numFmtId="180" fontId="9" fillId="0" borderId="21" xfId="74" applyNumberFormat="1" applyFont="1" applyFill="1" applyBorder="1" applyAlignment="1">
      <alignment horizontal="center" vertical="center"/>
    </xf>
    <xf numFmtId="180" fontId="9" fillId="0" borderId="18" xfId="74" applyNumberFormat="1" applyFont="1" applyBorder="1" applyAlignment="1">
      <alignment horizontal="center" vertical="center"/>
    </xf>
    <xf numFmtId="49" fontId="23" fillId="32" borderId="1" xfId="74" applyNumberFormat="1" applyFont="1" applyFill="1" applyBorder="1" applyAlignment="1">
      <alignment horizontal="center" vertical="center" wrapText="1"/>
    </xf>
    <xf numFmtId="182" fontId="20" fillId="35" borderId="0" xfId="62" applyNumberFormat="1" applyFont="1" applyFill="1" applyAlignment="1">
      <alignment horizontal="right" vertical="center" wrapText="1"/>
    </xf>
    <xf numFmtId="180" fontId="15" fillId="35" borderId="18" xfId="74" applyNumberFormat="1" applyFont="1" applyFill="1" applyBorder="1" applyAlignment="1">
      <alignment horizontal="center" vertical="center"/>
    </xf>
    <xf numFmtId="49" fontId="23" fillId="35" borderId="1" xfId="74" applyNumberFormat="1" applyFont="1" applyFill="1" applyBorder="1" applyAlignment="1">
      <alignment horizontal="center" vertical="center" wrapText="1"/>
    </xf>
    <xf numFmtId="182" fontId="113" fillId="35" borderId="0" xfId="62" applyNumberFormat="1" applyFont="1" applyFill="1" applyAlignment="1">
      <alignment horizontal="right" vertical="center" wrapText="1"/>
    </xf>
    <xf numFmtId="0" fontId="70" fillId="0" borderId="1" xfId="62" applyFont="1" applyFill="1" applyBorder="1" applyAlignment="1">
      <alignment horizontal="left" vertical="center" wrapText="1"/>
    </xf>
    <xf numFmtId="0" fontId="109" fillId="26" borderId="1" xfId="62" applyNumberFormat="1" applyFont="1" applyFill="1" applyBorder="1" applyAlignment="1">
      <alignment horizontal="left" vertical="center" wrapText="1"/>
    </xf>
    <xf numFmtId="41" fontId="15" fillId="26" borderId="1" xfId="74" applyNumberFormat="1" applyFont="1" applyFill="1" applyBorder="1" applyAlignment="1">
      <alignment horizontal="right" vertical="center" wrapText="1"/>
    </xf>
    <xf numFmtId="182" fontId="109" fillId="35" borderId="0" xfId="62" applyNumberFormat="1" applyFont="1" applyFill="1" applyAlignment="1">
      <alignment horizontal="right" vertical="center" wrapText="1"/>
    </xf>
    <xf numFmtId="180" fontId="9" fillId="26" borderId="0" xfId="62" applyNumberFormat="1" applyFont="1" applyFill="1" applyAlignment="1">
      <alignment vertical="center" wrapText="1"/>
    </xf>
    <xf numFmtId="0" fontId="15" fillId="26" borderId="0" xfId="62" applyFont="1" applyFill="1" applyAlignment="1">
      <alignment vertical="center" wrapText="1"/>
    </xf>
    <xf numFmtId="180" fontId="9" fillId="26" borderId="18" xfId="74" applyNumberFormat="1" applyFont="1" applyFill="1" applyBorder="1" applyAlignment="1">
      <alignment horizontal="center" vertical="center"/>
    </xf>
    <xf numFmtId="0" fontId="114" fillId="0" borderId="1" xfId="0" applyFont="1" applyFill="1" applyBorder="1" applyAlignment="1">
      <alignment horizontal="center" vertical="center" wrapText="1"/>
    </xf>
    <xf numFmtId="180" fontId="28" fillId="0" borderId="13" xfId="74" applyNumberFormat="1" applyFont="1" applyFill="1" applyBorder="1" applyAlignment="1">
      <alignment horizontal="center" vertical="center" wrapText="1"/>
    </xf>
    <xf numFmtId="0" fontId="21" fillId="0" borderId="1" xfId="0" applyFont="1" applyFill="1" applyBorder="1" applyAlignment="1">
      <alignment horizontal="left" vertical="center" shrinkToFit="1"/>
    </xf>
    <xf numFmtId="180" fontId="9" fillId="0" borderId="13" xfId="74" applyNumberFormat="1" applyFont="1" applyFill="1" applyBorder="1" applyAlignment="1">
      <alignment horizontal="center" vertical="center" wrapText="1"/>
    </xf>
    <xf numFmtId="180" fontId="9" fillId="26" borderId="13" xfId="74" applyNumberFormat="1" applyFont="1" applyFill="1" applyBorder="1" applyAlignment="1">
      <alignment horizontal="center" vertical="center" wrapText="1"/>
    </xf>
    <xf numFmtId="197" fontId="70" fillId="35" borderId="1" xfId="74" applyNumberFormat="1" applyFont="1" applyFill="1" applyBorder="1" applyAlignment="1">
      <alignment horizontal="right" vertical="center" wrapText="1" shrinkToFit="1"/>
    </xf>
    <xf numFmtId="197" fontId="23" fillId="32" borderId="0" xfId="62" applyNumberFormat="1" applyFont="1" applyFill="1" applyAlignment="1">
      <alignment vertical="center" wrapText="1"/>
    </xf>
    <xf numFmtId="197" fontId="23" fillId="0" borderId="0" xfId="62" applyNumberFormat="1" applyFont="1" applyFill="1" applyAlignment="1">
      <alignment vertical="center" wrapText="1"/>
    </xf>
    <xf numFmtId="197" fontId="70" fillId="35" borderId="0" xfId="62" applyNumberFormat="1" applyFont="1" applyFill="1" applyAlignment="1">
      <alignment vertical="center" wrapText="1"/>
    </xf>
    <xf numFmtId="0" fontId="21" fillId="26" borderId="18" xfId="0" applyFont="1" applyFill="1" applyBorder="1" applyAlignment="1">
      <alignment vertical="center" wrapText="1"/>
    </xf>
    <xf numFmtId="180" fontId="9" fillId="26" borderId="17" xfId="74" applyNumberFormat="1" applyFont="1" applyFill="1" applyBorder="1" applyAlignment="1">
      <alignment horizontal="center" vertical="center" wrapText="1"/>
    </xf>
    <xf numFmtId="180" fontId="9" fillId="0" borderId="1" xfId="74" applyNumberFormat="1" applyFont="1" applyBorder="1" applyAlignment="1">
      <alignment horizontal="center" vertical="center" wrapText="1"/>
    </xf>
    <xf numFmtId="49" fontId="21" fillId="0" borderId="1" xfId="0" applyNumberFormat="1" applyFont="1" applyFill="1" applyBorder="1" applyAlignment="1">
      <alignment horizontal="justify" vertical="top" wrapText="1"/>
    </xf>
    <xf numFmtId="180" fontId="9" fillId="0" borderId="13" xfId="74" applyNumberFormat="1" applyFont="1" applyBorder="1" applyAlignment="1">
      <alignment horizontal="center" vertical="center" wrapText="1"/>
    </xf>
    <xf numFmtId="180" fontId="9" fillId="25" borderId="13" xfId="74" applyNumberFormat="1" applyFont="1" applyFill="1" applyBorder="1" applyAlignment="1">
      <alignment horizontal="center" vertical="center" wrapText="1"/>
    </xf>
    <xf numFmtId="0" fontId="21" fillId="26" borderId="1" xfId="62" applyNumberFormat="1" applyFont="1" applyFill="1" applyBorder="1" applyAlignment="1">
      <alignment horizontal="left" vertical="center" wrapText="1"/>
    </xf>
    <xf numFmtId="180" fontId="23" fillId="35" borderId="0" xfId="62" applyNumberFormat="1" applyFont="1" applyFill="1" applyAlignment="1">
      <alignment vertical="center" wrapText="1"/>
    </xf>
    <xf numFmtId="180" fontId="15" fillId="35" borderId="13" xfId="74" applyNumberFormat="1" applyFont="1" applyFill="1" applyBorder="1" applyAlignment="1">
      <alignment horizontal="center" vertical="center" wrapText="1"/>
    </xf>
    <xf numFmtId="182" fontId="21" fillId="26" borderId="0" xfId="62" applyNumberFormat="1" applyFont="1" applyFill="1" applyAlignment="1">
      <alignment horizontal="right" vertical="center" wrapText="1"/>
    </xf>
    <xf numFmtId="180" fontId="9" fillId="11" borderId="13" xfId="74" applyNumberFormat="1" applyFont="1" applyFill="1" applyBorder="1" applyAlignment="1">
      <alignment horizontal="center" vertical="center" wrapText="1"/>
    </xf>
    <xf numFmtId="182" fontId="21" fillId="0" borderId="0" xfId="62" applyNumberFormat="1" applyFont="1" applyFill="1" applyAlignment="1">
      <alignment horizontal="right" vertical="center" wrapText="1"/>
    </xf>
    <xf numFmtId="0" fontId="118" fillId="0" borderId="1" xfId="62" applyFont="1" applyFill="1" applyBorder="1" applyAlignment="1">
      <alignment vertical="center" wrapText="1"/>
    </xf>
    <xf numFmtId="0" fontId="21" fillId="0" borderId="1" xfId="62" applyFont="1" applyFill="1" applyBorder="1" applyAlignment="1">
      <alignment horizontal="center" vertical="center" wrapText="1"/>
    </xf>
    <xf numFmtId="180" fontId="9" fillId="11" borderId="1" xfId="74"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80" fontId="23" fillId="26" borderId="0" xfId="62" applyNumberFormat="1" applyFont="1" applyFill="1" applyAlignment="1">
      <alignment vertical="center" wrapText="1"/>
    </xf>
    <xf numFmtId="0" fontId="21" fillId="26" borderId="0" xfId="0" applyFont="1" applyFill="1" applyAlignment="1">
      <alignment vertical="center" wrapText="1"/>
    </xf>
    <xf numFmtId="0" fontId="9" fillId="0" borderId="17" xfId="0" applyFont="1" applyFill="1" applyBorder="1" applyAlignment="1">
      <alignment horizontal="center" vertical="center" wrapText="1"/>
    </xf>
    <xf numFmtId="0" fontId="9" fillId="26" borderId="0" xfId="0" applyFont="1" applyFill="1" applyAlignment="1">
      <alignment vertical="center" wrapText="1"/>
    </xf>
    <xf numFmtId="180" fontId="9" fillId="0" borderId="1" xfId="74" applyNumberFormat="1" applyFont="1" applyFill="1" applyBorder="1" applyAlignment="1">
      <alignment horizontal="center" vertical="center" wrapText="1"/>
    </xf>
    <xf numFmtId="182" fontId="21" fillId="0" borderId="0" xfId="62" applyNumberFormat="1" applyFont="1" applyAlignment="1">
      <alignment horizontal="right" vertical="center" wrapText="1"/>
    </xf>
    <xf numFmtId="0" fontId="21" fillId="26" borderId="18" xfId="62" applyFont="1" applyFill="1" applyBorder="1" applyAlignment="1">
      <alignment vertical="center" wrapText="1"/>
    </xf>
    <xf numFmtId="0" fontId="9" fillId="26" borderId="17" xfId="62" applyFont="1" applyFill="1" applyBorder="1" applyAlignment="1">
      <alignment horizontal="center" vertical="center" wrapText="1"/>
    </xf>
    <xf numFmtId="0" fontId="21" fillId="26" borderId="13" xfId="62" applyFont="1" applyFill="1" applyBorder="1" applyAlignment="1">
      <alignment horizontal="center" vertical="center" wrapText="1"/>
    </xf>
    <xf numFmtId="180" fontId="9" fillId="26" borderId="1" xfId="74" applyNumberFormat="1" applyFont="1" applyFill="1" applyBorder="1" applyAlignment="1">
      <alignment horizontal="center" vertical="center" wrapText="1"/>
    </xf>
    <xf numFmtId="0" fontId="113" fillId="0" borderId="1" xfId="62" applyFont="1" applyFill="1" applyBorder="1" applyAlignment="1">
      <alignment horizontal="center" vertical="center" wrapText="1"/>
    </xf>
    <xf numFmtId="180" fontId="15" fillId="35" borderId="1" xfId="74" applyNumberFormat="1" applyFont="1" applyFill="1" applyBorder="1" applyAlignment="1">
      <alignment horizontal="center" vertical="center"/>
    </xf>
    <xf numFmtId="180" fontId="9" fillId="26" borderId="13" xfId="74" applyNumberFormat="1" applyFont="1" applyFill="1" applyBorder="1" applyAlignment="1">
      <alignment horizontal="center" vertical="center"/>
    </xf>
    <xf numFmtId="0" fontId="109" fillId="0" borderId="1" xfId="0" applyFont="1" applyFill="1" applyBorder="1" applyAlignment="1">
      <alignment horizontal="left" vertical="center" wrapText="1"/>
    </xf>
    <xf numFmtId="0" fontId="109" fillId="0" borderId="1" xfId="0" applyNumberFormat="1" applyFont="1" applyFill="1" applyBorder="1" applyAlignment="1">
      <alignment horizontal="left" vertical="center" wrapText="1"/>
    </xf>
    <xf numFmtId="180" fontId="9" fillId="0" borderId="17" xfId="74" applyNumberFormat="1" applyFont="1" applyBorder="1" applyAlignment="1">
      <alignment horizontal="center" vertical="center" wrapText="1"/>
    </xf>
    <xf numFmtId="41" fontId="15" fillId="0" borderId="1" xfId="74" applyNumberFormat="1" applyFont="1" applyFill="1" applyBorder="1" applyAlignment="1">
      <alignment horizontal="right" vertical="center" wrapText="1"/>
    </xf>
    <xf numFmtId="182" fontId="109" fillId="0" borderId="0" xfId="62" applyNumberFormat="1" applyFont="1" applyFill="1" applyAlignment="1">
      <alignment horizontal="right" vertical="center" wrapText="1"/>
    </xf>
    <xf numFmtId="0" fontId="15" fillId="0" borderId="0" xfId="0" applyFont="1" applyFill="1" applyAlignment="1">
      <alignment vertical="center" wrapText="1"/>
    </xf>
    <xf numFmtId="180" fontId="9" fillId="26" borderId="17" xfId="74" applyNumberFormat="1" applyFont="1" applyFill="1" applyBorder="1" applyAlignment="1">
      <alignment horizontal="center" vertical="center"/>
    </xf>
    <xf numFmtId="180" fontId="9" fillId="0" borderId="1" xfId="74" applyNumberFormat="1" applyFont="1" applyBorder="1" applyAlignment="1">
      <alignment horizontal="center" vertical="center"/>
    </xf>
    <xf numFmtId="0" fontId="23" fillId="25" borderId="0" xfId="62" applyFont="1" applyFill="1" applyAlignment="1">
      <alignment vertical="center" wrapText="1"/>
    </xf>
    <xf numFmtId="0" fontId="9" fillId="0" borderId="1" xfId="0" applyFont="1" applyFill="1" applyBorder="1" applyAlignment="1">
      <alignment horizontal="left" vertical="center" wrapText="1"/>
    </xf>
    <xf numFmtId="180" fontId="9" fillId="34" borderId="13" xfId="74" applyNumberFormat="1" applyFont="1" applyFill="1" applyBorder="1" applyAlignment="1">
      <alignment horizontal="center" vertical="center" wrapText="1"/>
    </xf>
    <xf numFmtId="0" fontId="9" fillId="26" borderId="1" xfId="0" applyFont="1" applyFill="1" applyBorder="1" applyAlignment="1">
      <alignment horizontal="left" vertical="center" wrapText="1"/>
    </xf>
    <xf numFmtId="0" fontId="113" fillId="0" borderId="1" xfId="0" applyFont="1" applyFill="1" applyBorder="1" applyAlignment="1">
      <alignment horizontal="center" vertical="center" wrapText="1"/>
    </xf>
    <xf numFmtId="180" fontId="15" fillId="35" borderId="17" xfId="74" applyNumberFormat="1" applyFont="1" applyFill="1" applyBorder="1" applyAlignment="1">
      <alignment horizontal="center" vertical="center" wrapText="1"/>
    </xf>
    <xf numFmtId="0" fontId="23" fillId="0" borderId="1" xfId="62" applyFont="1" applyFill="1" applyBorder="1" applyAlignment="1">
      <alignment horizontal="left" vertical="center" wrapText="1"/>
    </xf>
    <xf numFmtId="0" fontId="21" fillId="0" borderId="21" xfId="62" applyFont="1" applyBorder="1" applyAlignment="1">
      <alignment horizontal="left" vertical="center" wrapText="1"/>
    </xf>
    <xf numFmtId="180" fontId="9" fillId="35" borderId="13" xfId="74" applyNumberFormat="1" applyFont="1" applyFill="1" applyBorder="1" applyAlignment="1">
      <alignment horizontal="center" vertical="center" wrapText="1"/>
    </xf>
    <xf numFmtId="49" fontId="21" fillId="0" borderId="1" xfId="62" applyNumberFormat="1" applyFont="1" applyFill="1" applyBorder="1" applyAlignment="1">
      <alignment horizontal="justify" vertical="center" wrapText="1"/>
    </xf>
    <xf numFmtId="180" fontId="28" fillId="25" borderId="1" xfId="74" applyNumberFormat="1" applyFont="1" applyFill="1" applyBorder="1" applyAlignment="1">
      <alignment horizontal="center" vertical="center" wrapText="1"/>
    </xf>
    <xf numFmtId="49" fontId="21" fillId="26" borderId="1" xfId="62" applyNumberFormat="1" applyFont="1" applyFill="1" applyBorder="1" applyAlignment="1">
      <alignment horizontal="justify" vertical="center" wrapText="1"/>
    </xf>
    <xf numFmtId="0" fontId="21" fillId="0" borderId="0" xfId="64" applyFont="1" applyBorder="1" applyAlignment="1">
      <alignment horizontal="left" vertical="center"/>
    </xf>
    <xf numFmtId="0" fontId="0" fillId="0" borderId="0" xfId="0" applyBorder="1" applyAlignment="1">
      <alignment horizontal="left" vertical="center"/>
    </xf>
    <xf numFmtId="0" fontId="9"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NumberFormat="1" applyBorder="1" applyAlignment="1">
      <alignment vertical="center" wrapText="1"/>
    </xf>
    <xf numFmtId="180" fontId="9" fillId="0" borderId="23" xfId="74" applyNumberFormat="1" applyFont="1" applyBorder="1" applyAlignment="1">
      <alignment vertical="center"/>
    </xf>
    <xf numFmtId="49" fontId="9" fillId="0" borderId="23" xfId="74" applyNumberFormat="1" applyFont="1" applyBorder="1" applyAlignment="1">
      <alignment horizontal="center" vertical="center"/>
    </xf>
    <xf numFmtId="0" fontId="0" fillId="0" borderId="23" xfId="0" applyBorder="1" applyAlignment="1">
      <alignment horizontal="left" vertical="center"/>
    </xf>
    <xf numFmtId="0" fontId="28" fillId="0" borderId="0" xfId="0" applyFont="1" applyFill="1" applyBorder="1" applyAlignment="1">
      <alignment horizontal="center" vertical="center" wrapText="1"/>
    </xf>
    <xf numFmtId="180" fontId="9" fillId="0" borderId="0" xfId="74" applyNumberFormat="1" applyFont="1" applyBorder="1" applyAlignment="1">
      <alignment vertical="center"/>
    </xf>
    <xf numFmtId="49" fontId="9" fillId="0" borderId="0" xfId="74" applyNumberFormat="1" applyFont="1" applyBorder="1" applyAlignment="1">
      <alignment horizontal="center" vertical="center"/>
    </xf>
    <xf numFmtId="0" fontId="9" fillId="0" borderId="0" xfId="62" applyFont="1" applyFill="1" applyBorder="1" applyAlignment="1">
      <alignment horizontal="center" vertical="center" wrapText="1"/>
    </xf>
    <xf numFmtId="0" fontId="113" fillId="0" borderId="0" xfId="62" applyFont="1" applyFill="1" applyBorder="1" applyAlignment="1">
      <alignment horizontal="center" vertical="center" wrapText="1"/>
    </xf>
    <xf numFmtId="180" fontId="9" fillId="0" borderId="0" xfId="74" applyNumberFormat="1" applyFont="1" applyAlignment="1">
      <alignment horizontal="center" vertical="center" wrapText="1"/>
    </xf>
    <xf numFmtId="0" fontId="9" fillId="0" borderId="0" xfId="0" applyFont="1" applyFill="1" applyBorder="1" applyAlignment="1">
      <alignment horizontal="center" vertical="center"/>
    </xf>
    <xf numFmtId="0" fontId="0" fillId="0" borderId="0" xfId="0" applyFill="1" applyBorder="1" applyAlignment="1">
      <alignment vertical="center"/>
    </xf>
    <xf numFmtId="179" fontId="121" fillId="0" borderId="1" xfId="72" applyNumberFormat="1" applyFont="1" applyFill="1" applyBorder="1" applyAlignment="1">
      <alignment horizontal="right" vertical="center"/>
    </xf>
    <xf numFmtId="41" fontId="9" fillId="43" borderId="1" xfId="65" applyNumberFormat="1" applyFont="1" applyFill="1" applyBorder="1" applyAlignment="1">
      <alignment horizontal="right" vertical="center"/>
    </xf>
    <xf numFmtId="41" fontId="9" fillId="42" borderId="1" xfId="65" applyNumberFormat="1" applyFont="1" applyFill="1" applyBorder="1" applyAlignment="1">
      <alignment horizontal="right" vertical="center"/>
    </xf>
    <xf numFmtId="41" fontId="9" fillId="42" borderId="21" xfId="65" applyNumberFormat="1" applyFont="1" applyFill="1" applyBorder="1" applyAlignment="1">
      <alignment horizontal="right" vertical="center"/>
    </xf>
    <xf numFmtId="41" fontId="9" fillId="41" borderId="1" xfId="65" applyNumberFormat="1" applyFont="1" applyFill="1" applyBorder="1" applyAlignment="1">
      <alignment horizontal="right" vertical="center"/>
    </xf>
    <xf numFmtId="0" fontId="9" fillId="25" borderId="13" xfId="65" applyFont="1" applyFill="1" applyBorder="1" applyAlignment="1">
      <alignment horizontal="center" vertical="center" wrapText="1"/>
    </xf>
    <xf numFmtId="0" fontId="9" fillId="0" borderId="13" xfId="65" applyFont="1" applyFill="1" applyBorder="1" applyAlignment="1">
      <alignment horizontal="center" vertical="center" wrapText="1"/>
    </xf>
    <xf numFmtId="182" fontId="23" fillId="0" borderId="0" xfId="65" applyNumberFormat="1" applyFont="1" applyAlignment="1">
      <alignment horizontal="right" vertical="center" wrapText="1"/>
    </xf>
    <xf numFmtId="182" fontId="62" fillId="0" borderId="0" xfId="65" applyNumberFormat="1" applyFont="1" applyAlignment="1">
      <alignment horizontal="right" vertical="center" wrapText="1"/>
    </xf>
    <xf numFmtId="176" fontId="30" fillId="0" borderId="1" xfId="0" applyNumberFormat="1" applyFont="1" applyFill="1" applyBorder="1" applyAlignment="1">
      <alignment horizontal="left" vertical="center" wrapText="1"/>
    </xf>
    <xf numFmtId="41" fontId="28" fillId="41" borderId="1" xfId="65" applyNumberFormat="1" applyFont="1" applyFill="1" applyBorder="1" applyAlignment="1">
      <alignment horizontal="right" vertical="center"/>
    </xf>
    <xf numFmtId="0" fontId="125" fillId="24" borderId="13" xfId="65" applyFont="1" applyFill="1" applyBorder="1" applyAlignment="1">
      <alignment horizontal="center" vertical="center" wrapText="1"/>
    </xf>
    <xf numFmtId="41" fontId="23" fillId="41" borderId="1" xfId="65" applyNumberFormat="1" applyFont="1" applyFill="1" applyBorder="1" applyAlignment="1">
      <alignment horizontal="right" vertical="center"/>
    </xf>
    <xf numFmtId="49" fontId="119" fillId="0" borderId="1" xfId="65" applyNumberFormat="1" applyFont="1" applyFill="1" applyBorder="1" applyAlignment="1">
      <alignment vertical="center"/>
    </xf>
    <xf numFmtId="0" fontId="119" fillId="0" borderId="1" xfId="65" applyFont="1" applyFill="1" applyBorder="1" applyAlignment="1">
      <alignment horizontal="left" vertical="center"/>
    </xf>
    <xf numFmtId="176" fontId="119" fillId="0" borderId="1" xfId="0" applyNumberFormat="1" applyFont="1" applyBorder="1" applyAlignment="1">
      <alignment horizontal="left" vertical="center" wrapText="1"/>
    </xf>
    <xf numFmtId="0" fontId="21" fillId="0" borderId="13" xfId="0" applyFont="1" applyFill="1" applyBorder="1" applyAlignment="1">
      <alignment horizontal="justify" vertical="center" wrapText="1"/>
    </xf>
    <xf numFmtId="41" fontId="23" fillId="43" borderId="1" xfId="65" applyNumberFormat="1" applyFont="1" applyFill="1" applyBorder="1" applyAlignment="1">
      <alignment horizontal="right" vertical="center"/>
    </xf>
    <xf numFmtId="179" fontId="9" fillId="0" borderId="1" xfId="0" applyNumberFormat="1" applyFont="1" applyFill="1" applyBorder="1" applyAlignment="1">
      <alignment horizontal="right" vertical="center" wrapText="1"/>
    </xf>
    <xf numFmtId="41" fontId="23" fillId="43" borderId="21" xfId="65" applyNumberFormat="1" applyFont="1" applyFill="1" applyBorder="1" applyAlignment="1">
      <alignment horizontal="right" vertical="center"/>
    </xf>
    <xf numFmtId="197" fontId="9" fillId="0" borderId="1" xfId="0" applyNumberFormat="1" applyFont="1" applyFill="1" applyBorder="1" applyAlignment="1">
      <alignment horizontal="right" vertical="center" wrapText="1"/>
    </xf>
    <xf numFmtId="197" fontId="23" fillId="0" borderId="1" xfId="0" applyNumberFormat="1" applyFont="1" applyFill="1" applyBorder="1" applyAlignment="1">
      <alignment horizontal="right" vertical="center" wrapText="1"/>
    </xf>
    <xf numFmtId="177" fontId="9" fillId="0" borderId="1" xfId="0" applyNumberFormat="1" applyFont="1" applyFill="1" applyBorder="1" applyAlignment="1">
      <alignment horizontal="right" vertical="center" wrapText="1"/>
    </xf>
    <xf numFmtId="0" fontId="21" fillId="44" borderId="1" xfId="68" applyFont="1" applyFill="1" applyBorder="1" applyAlignment="1">
      <alignment horizontal="justify" vertical="center" wrapText="1"/>
    </xf>
    <xf numFmtId="179" fontId="23" fillId="0" borderId="1" xfId="0" applyNumberFormat="1" applyFont="1" applyFill="1" applyBorder="1" applyAlignment="1">
      <alignment horizontal="right" vertical="center" wrapText="1"/>
    </xf>
    <xf numFmtId="198" fontId="9" fillId="0" borderId="1" xfId="0" applyNumberFormat="1" applyFont="1" applyFill="1" applyBorder="1" applyAlignment="1">
      <alignment horizontal="right" vertical="center" wrapText="1"/>
    </xf>
    <xf numFmtId="0" fontId="21" fillId="44" borderId="13" xfId="0" applyFont="1" applyFill="1" applyBorder="1" applyAlignment="1">
      <alignment horizontal="justify" vertical="center" wrapText="1"/>
    </xf>
    <xf numFmtId="0" fontId="21" fillId="0" borderId="1" xfId="68" applyFont="1" applyFill="1" applyBorder="1" applyAlignment="1">
      <alignment horizontal="justify" vertical="center" wrapText="1"/>
    </xf>
    <xf numFmtId="0" fontId="21" fillId="45" borderId="13" xfId="0" applyFont="1" applyFill="1" applyBorder="1" applyAlignment="1">
      <alignment horizontal="justify" vertical="center" wrapText="1"/>
    </xf>
    <xf numFmtId="0" fontId="21" fillId="0" borderId="1" xfId="0" applyFont="1" applyFill="1" applyBorder="1" applyAlignment="1">
      <alignment horizontal="justify" vertical="center" wrapText="1"/>
    </xf>
    <xf numFmtId="197" fontId="9" fillId="0" borderId="1" xfId="74" applyNumberFormat="1" applyFont="1" applyFill="1" applyBorder="1" applyAlignment="1">
      <alignment horizontal="right" vertical="center" wrapText="1"/>
    </xf>
    <xf numFmtId="197" fontId="9" fillId="0" borderId="1" xfId="74" applyNumberFormat="1" applyFont="1" applyFill="1" applyBorder="1" applyAlignment="1">
      <alignment horizontal="right" vertical="center"/>
    </xf>
    <xf numFmtId="0" fontId="21" fillId="38" borderId="1" xfId="0" applyFont="1" applyFill="1" applyBorder="1" applyAlignment="1">
      <alignment horizontal="justify" vertical="center" wrapText="1"/>
    </xf>
    <xf numFmtId="180" fontId="9" fillId="0" borderId="1" xfId="74" applyNumberFormat="1" applyFont="1" applyFill="1" applyBorder="1" applyAlignment="1">
      <alignment horizontal="center" vertical="center"/>
    </xf>
    <xf numFmtId="176" fontId="21" fillId="45" borderId="1" xfId="0" applyNumberFormat="1" applyFont="1" applyFill="1" applyBorder="1" applyAlignment="1">
      <alignment horizontal="left" vertical="center" wrapText="1"/>
    </xf>
    <xf numFmtId="176" fontId="21" fillId="40" borderId="1" xfId="0" applyNumberFormat="1" applyFont="1" applyFill="1" applyBorder="1" applyAlignment="1">
      <alignment horizontal="left" vertical="center" wrapText="1"/>
    </xf>
    <xf numFmtId="176" fontId="21" fillId="46" borderId="1" xfId="0" applyNumberFormat="1" applyFont="1" applyFill="1" applyBorder="1" applyAlignment="1">
      <alignment horizontal="left" vertical="center" wrapText="1"/>
    </xf>
    <xf numFmtId="176" fontId="21" fillId="47" borderId="1" xfId="0" applyNumberFormat="1" applyFont="1" applyFill="1" applyBorder="1" applyAlignment="1">
      <alignment horizontal="left" vertical="center" wrapText="1"/>
    </xf>
    <xf numFmtId="176" fontId="21" fillId="11" borderId="1" xfId="0" applyNumberFormat="1" applyFont="1" applyFill="1" applyBorder="1" applyAlignment="1">
      <alignment horizontal="left" vertical="center" wrapText="1"/>
    </xf>
    <xf numFmtId="176" fontId="30" fillId="11" borderId="1" xfId="0" applyNumberFormat="1" applyFont="1" applyFill="1" applyBorder="1" applyAlignment="1">
      <alignment horizontal="left" vertical="center" wrapText="1"/>
    </xf>
    <xf numFmtId="41" fontId="126" fillId="42" borderId="1" xfId="65" applyNumberFormat="1" applyFont="1" applyFill="1" applyBorder="1" applyAlignment="1">
      <alignment horizontal="right" vertical="center"/>
    </xf>
    <xf numFmtId="41" fontId="124" fillId="48" borderId="1" xfId="65" applyNumberFormat="1" applyFont="1" applyFill="1" applyBorder="1" applyAlignment="1">
      <alignment horizontal="right" vertical="center"/>
    </xf>
    <xf numFmtId="41" fontId="126" fillId="42" borderId="21" xfId="65" applyNumberFormat="1" applyFont="1" applyFill="1" applyBorder="1" applyAlignment="1">
      <alignment horizontal="right" vertical="center"/>
    </xf>
    <xf numFmtId="41" fontId="124" fillId="48" borderId="21" xfId="65" applyNumberFormat="1" applyFont="1" applyFill="1" applyBorder="1" applyAlignment="1">
      <alignment horizontal="right" vertical="center"/>
    </xf>
    <xf numFmtId="41" fontId="60" fillId="11" borderId="1" xfId="65" applyNumberFormat="1" applyFont="1" applyFill="1" applyBorder="1" applyAlignment="1">
      <alignment horizontal="right" vertical="center"/>
    </xf>
    <xf numFmtId="41" fontId="60" fillId="11" borderId="21" xfId="65" applyNumberFormat="1" applyFont="1" applyFill="1" applyBorder="1" applyAlignment="1">
      <alignment horizontal="right" vertical="center"/>
    </xf>
    <xf numFmtId="41" fontId="28" fillId="48" borderId="1" xfId="65" applyNumberFormat="1" applyFont="1" applyFill="1" applyBorder="1" applyAlignment="1">
      <alignment horizontal="right" vertical="center"/>
    </xf>
    <xf numFmtId="41" fontId="28" fillId="48" borderId="21" xfId="65" applyNumberFormat="1" applyFont="1" applyFill="1" applyBorder="1" applyAlignment="1">
      <alignment horizontal="right" vertical="center"/>
    </xf>
    <xf numFmtId="41" fontId="28" fillId="11" borderId="1" xfId="65" applyNumberFormat="1" applyFont="1" applyFill="1" applyBorder="1" applyAlignment="1">
      <alignment horizontal="right" vertical="center"/>
    </xf>
    <xf numFmtId="176" fontId="30" fillId="41" borderId="1" xfId="0" applyNumberFormat="1" applyFont="1" applyFill="1" applyBorder="1" applyAlignment="1">
      <alignment horizontal="left" vertical="center" wrapText="1"/>
    </xf>
    <xf numFmtId="49" fontId="127" fillId="24" borderId="1" xfId="65" applyNumberFormat="1" applyFont="1" applyFill="1" applyBorder="1" applyAlignment="1">
      <alignment vertical="center"/>
    </xf>
    <xf numFmtId="0" fontId="127" fillId="24" borderId="1" xfId="65" applyFont="1" applyFill="1" applyBorder="1" applyAlignment="1">
      <alignment horizontal="left" vertical="center"/>
    </xf>
    <xf numFmtId="0" fontId="127" fillId="24" borderId="13" xfId="65" applyFont="1" applyFill="1" applyBorder="1" applyAlignment="1">
      <alignment horizontal="left" vertical="center" wrapText="1"/>
    </xf>
    <xf numFmtId="0" fontId="127" fillId="24" borderId="13" xfId="65" applyFont="1" applyFill="1" applyBorder="1" applyAlignment="1">
      <alignment horizontal="center" vertical="center" wrapText="1"/>
    </xf>
    <xf numFmtId="41" fontId="122" fillId="48" borderId="1" xfId="65" applyNumberFormat="1" applyFont="1" applyFill="1" applyBorder="1" applyAlignment="1">
      <alignment horizontal="right" vertical="center"/>
    </xf>
    <xf numFmtId="41" fontId="128" fillId="0" borderId="1" xfId="65" applyNumberFormat="1" applyFont="1" applyFill="1" applyBorder="1" applyAlignment="1">
      <alignment horizontal="right" vertical="center"/>
    </xf>
    <xf numFmtId="41" fontId="128" fillId="34" borderId="1" xfId="65" applyNumberFormat="1" applyFont="1" applyFill="1" applyBorder="1" applyAlignment="1">
      <alignment horizontal="right" vertical="center"/>
    </xf>
    <xf numFmtId="0" fontId="128" fillId="24" borderId="0" xfId="65" applyFont="1" applyFill="1" applyAlignment="1">
      <alignment horizontal="center" vertical="center"/>
    </xf>
    <xf numFmtId="0" fontId="128" fillId="24" borderId="0" xfId="65" applyFont="1" applyFill="1" applyAlignment="1">
      <alignment vertical="center"/>
    </xf>
    <xf numFmtId="41" fontId="23" fillId="48" borderId="1" xfId="65" applyNumberFormat="1" applyFont="1" applyFill="1" applyBorder="1" applyAlignment="1">
      <alignment horizontal="right" vertical="center"/>
    </xf>
    <xf numFmtId="179" fontId="2" fillId="44" borderId="1" xfId="72" applyNumberFormat="1" applyFont="1" applyFill="1" applyBorder="1" applyAlignment="1">
      <alignment horizontal="right" vertical="center"/>
    </xf>
    <xf numFmtId="43" fontId="7" fillId="0" borderId="0" xfId="74" applyFont="1" applyAlignment="1">
      <alignment vertical="center"/>
    </xf>
    <xf numFmtId="43" fontId="21" fillId="0" borderId="0" xfId="74" applyNumberFormat="1" applyFont="1" applyAlignment="1">
      <alignment vertical="center"/>
    </xf>
    <xf numFmtId="43" fontId="7" fillId="0" borderId="0" xfId="74" applyFont="1" applyAlignment="1">
      <alignment horizontal="center" vertical="center"/>
    </xf>
    <xf numFmtId="43" fontId="63" fillId="0" borderId="0" xfId="74" applyFont="1" applyFill="1" applyAlignment="1">
      <alignment horizontal="center" vertical="center" wrapText="1"/>
    </xf>
    <xf numFmtId="180" fontId="63" fillId="0" borderId="0" xfId="74" applyNumberFormat="1" applyFont="1" applyFill="1" applyAlignment="1">
      <alignment horizontal="center" vertical="center" wrapText="1"/>
    </xf>
    <xf numFmtId="179" fontId="10" fillId="0" borderId="0" xfId="72" applyNumberFormat="1" applyFont="1" applyAlignment="1">
      <alignment vertical="center"/>
    </xf>
    <xf numFmtId="0" fontId="10" fillId="0" borderId="0" xfId="72" applyNumberFormat="1" applyFont="1" applyFill="1" applyAlignment="1">
      <alignment vertical="top"/>
    </xf>
    <xf numFmtId="0" fontId="10" fillId="32" borderId="0" xfId="72" applyNumberFormat="1" applyFont="1" applyFill="1" applyAlignment="1">
      <alignment vertical="top"/>
    </xf>
    <xf numFmtId="0" fontId="10" fillId="0" borderId="0" xfId="72" applyNumberFormat="1" applyFont="1" applyAlignment="1"/>
    <xf numFmtId="0" fontId="10" fillId="0" borderId="0" xfId="72" applyNumberFormat="1" applyFont="1" applyBorder="1" applyAlignment="1">
      <alignment vertical="center"/>
    </xf>
    <xf numFmtId="179" fontId="107" fillId="0" borderId="15" xfId="74" applyNumberFormat="1" applyFont="1" applyFill="1" applyBorder="1" applyAlignment="1">
      <alignment horizontal="right" vertical="center"/>
    </xf>
    <xf numFmtId="179" fontId="107" fillId="0" borderId="14" xfId="74" applyNumberFormat="1" applyFont="1" applyFill="1" applyBorder="1" applyAlignment="1">
      <alignment horizontal="right" vertical="center"/>
    </xf>
    <xf numFmtId="0" fontId="10" fillId="0" borderId="0" xfId="72" applyNumberFormat="1" applyFont="1" applyBorder="1" applyAlignment="1">
      <alignment horizontal="left" vertical="center"/>
    </xf>
    <xf numFmtId="0" fontId="0" fillId="0" borderId="23" xfId="72" applyNumberFormat="1" applyFont="1" applyBorder="1" applyAlignment="1">
      <alignment horizontal="justify" wrapText="1"/>
    </xf>
    <xf numFmtId="0" fontId="10" fillId="0" borderId="23" xfId="72" applyNumberFormat="1" applyFont="1" applyBorder="1" applyAlignment="1">
      <alignment horizontal="justify" wrapText="1"/>
    </xf>
    <xf numFmtId="0" fontId="0" fillId="0" borderId="0" xfId="72" applyNumberFormat="1" applyFont="1" applyAlignment="1">
      <alignment horizontal="justify" vertical="top" wrapText="1"/>
    </xf>
    <xf numFmtId="0" fontId="1" fillId="0" borderId="0" xfId="72" applyNumberFormat="1" applyFont="1" applyAlignment="1">
      <alignment horizontal="justify" vertical="top" wrapText="1"/>
    </xf>
    <xf numFmtId="0" fontId="27" fillId="0" borderId="0" xfId="65" applyFont="1" applyAlignment="1">
      <alignment horizontal="center" vertical="center"/>
    </xf>
    <xf numFmtId="0" fontId="7" fillId="0" borderId="18" xfId="65" applyFont="1" applyBorder="1" applyAlignment="1">
      <alignment horizontal="center" vertical="center"/>
    </xf>
    <xf numFmtId="0" fontId="7" fillId="0" borderId="17" xfId="65" applyFont="1" applyBorder="1" applyAlignment="1">
      <alignment horizontal="center" vertical="center"/>
    </xf>
    <xf numFmtId="0" fontId="7" fillId="0" borderId="13" xfId="65" applyFont="1" applyBorder="1" applyAlignment="1">
      <alignment horizontal="center" vertical="center"/>
    </xf>
    <xf numFmtId="0" fontId="7" fillId="0" borderId="22" xfId="65" applyFont="1" applyBorder="1" applyAlignment="1">
      <alignment horizontal="center" vertical="center"/>
    </xf>
    <xf numFmtId="0" fontId="7" fillId="0" borderId="23" xfId="65" applyFont="1" applyBorder="1" applyAlignment="1">
      <alignment horizontal="center" vertical="center"/>
    </xf>
    <xf numFmtId="0" fontId="7" fillId="0" borderId="27" xfId="65" applyFont="1" applyBorder="1" applyAlignment="1">
      <alignment horizontal="center" vertical="center"/>
    </xf>
    <xf numFmtId="0" fontId="7" fillId="0" borderId="1" xfId="65" applyFont="1" applyBorder="1" applyAlignment="1">
      <alignment horizontal="center" vertical="center"/>
    </xf>
    <xf numFmtId="0" fontId="2" fillId="0" borderId="1" xfId="65" applyFont="1" applyBorder="1" applyAlignment="1">
      <alignment horizontal="center" vertical="center"/>
    </xf>
    <xf numFmtId="0" fontId="7" fillId="0" borderId="26" xfId="65" applyFont="1" applyFill="1" applyBorder="1" applyAlignment="1">
      <alignment horizontal="center" vertical="center"/>
    </xf>
    <xf numFmtId="0" fontId="7" fillId="0" borderId="21" xfId="65" applyFont="1" applyFill="1" applyBorder="1" applyAlignment="1">
      <alignment horizontal="center" vertical="center"/>
    </xf>
    <xf numFmtId="0" fontId="55" fillId="0" borderId="0" xfId="65" applyFont="1" applyAlignment="1">
      <alignment horizontal="center" vertical="center"/>
    </xf>
    <xf numFmtId="0" fontId="7" fillId="0" borderId="27" xfId="62" applyFont="1" applyFill="1" applyBorder="1" applyAlignment="1">
      <alignment horizontal="center" vertical="center" wrapText="1"/>
    </xf>
    <xf numFmtId="0" fontId="7" fillId="0" borderId="20" xfId="62" applyFont="1" applyFill="1" applyBorder="1" applyAlignment="1">
      <alignment horizontal="center" vertical="center" wrapText="1"/>
    </xf>
    <xf numFmtId="49" fontId="21" fillId="0" borderId="26" xfId="62" applyNumberFormat="1" applyFont="1" applyFill="1" applyBorder="1" applyAlignment="1">
      <alignment horizontal="center" vertical="center" wrapText="1"/>
    </xf>
    <xf numFmtId="49" fontId="21" fillId="0" borderId="21" xfId="62" applyNumberFormat="1" applyFont="1" applyFill="1" applyBorder="1" applyAlignment="1">
      <alignment horizontal="center" vertical="center" wrapText="1"/>
    </xf>
    <xf numFmtId="0" fontId="7" fillId="0" borderId="22" xfId="62" applyFont="1" applyBorder="1" applyAlignment="1">
      <alignment horizontal="center" vertical="center"/>
    </xf>
    <xf numFmtId="0" fontId="7" fillId="0" borderId="23" xfId="62" applyFont="1" applyBorder="1" applyAlignment="1">
      <alignment horizontal="center" vertical="center"/>
    </xf>
    <xf numFmtId="0" fontId="7" fillId="0" borderId="27" xfId="62" applyFont="1" applyBorder="1" applyAlignment="1">
      <alignment horizontal="center" vertical="center"/>
    </xf>
    <xf numFmtId="0" fontId="113" fillId="35" borderId="1" xfId="0" applyFont="1" applyFill="1" applyBorder="1" applyAlignment="1">
      <alignment horizontal="left" vertical="center" wrapText="1"/>
    </xf>
    <xf numFmtId="0" fontId="113" fillId="35" borderId="1" xfId="0" applyFont="1" applyFill="1" applyBorder="1" applyAlignment="1">
      <alignment horizontal="center" vertical="center" wrapText="1"/>
    </xf>
    <xf numFmtId="0" fontId="20" fillId="35" borderId="17" xfId="0" applyFont="1" applyFill="1" applyBorder="1" applyAlignment="1">
      <alignment horizontal="center" vertical="center" wrapText="1"/>
    </xf>
    <xf numFmtId="0" fontId="7" fillId="0" borderId="1" xfId="62" applyFont="1" applyBorder="1" applyAlignment="1">
      <alignment vertical="center"/>
    </xf>
    <xf numFmtId="0" fontId="2" fillId="0" borderId="1" xfId="62" applyFont="1" applyBorder="1" applyAlignment="1">
      <alignment vertical="center"/>
    </xf>
    <xf numFmtId="0" fontId="7" fillId="0" borderId="1" xfId="62" applyFont="1" applyBorder="1" applyAlignment="1">
      <alignment horizontal="left" vertical="center" wrapText="1"/>
    </xf>
    <xf numFmtId="0" fontId="2" fillId="0" borderId="1" xfId="62" applyFont="1" applyBorder="1" applyAlignment="1">
      <alignment horizontal="left" vertical="center" wrapText="1"/>
    </xf>
    <xf numFmtId="0" fontId="21" fillId="0" borderId="1" xfId="62" applyFont="1" applyBorder="1" applyAlignment="1">
      <alignment horizontal="center" vertical="center" wrapText="1"/>
    </xf>
    <xf numFmtId="0" fontId="9" fillId="0" borderId="1" xfId="62" applyFont="1" applyBorder="1" applyAlignment="1">
      <alignment horizontal="center" vertical="center" wrapText="1"/>
    </xf>
    <xf numFmtId="0" fontId="7" fillId="0" borderId="23" xfId="62" applyFont="1" applyBorder="1" applyAlignment="1">
      <alignment horizontal="center" vertical="center" wrapText="1"/>
    </xf>
    <xf numFmtId="0" fontId="7" fillId="0" borderId="0" xfId="62" applyFont="1" applyBorder="1" applyAlignment="1">
      <alignment horizontal="center" vertical="center" wrapText="1"/>
    </xf>
    <xf numFmtId="0" fontId="7" fillId="0" borderId="1" xfId="62" applyFont="1" applyBorder="1" applyAlignment="1">
      <alignment horizontal="center" vertical="center" wrapText="1"/>
    </xf>
    <xf numFmtId="0" fontId="2" fillId="0" borderId="1" xfId="62" applyFont="1" applyBorder="1" applyAlignment="1">
      <alignment horizontal="center" vertical="center" wrapText="1"/>
    </xf>
    <xf numFmtId="0" fontId="19" fillId="32" borderId="18" xfId="62" applyFont="1" applyFill="1" applyBorder="1" applyAlignment="1">
      <alignment horizontal="left" vertical="center" wrapText="1"/>
    </xf>
    <xf numFmtId="0" fontId="19" fillId="32" borderId="17" xfId="62" applyFont="1" applyFill="1" applyBorder="1" applyAlignment="1">
      <alignment horizontal="left" vertical="center" wrapText="1"/>
    </xf>
    <xf numFmtId="0" fontId="20" fillId="32" borderId="17" xfId="62" applyFont="1" applyFill="1" applyBorder="1" applyAlignment="1">
      <alignment horizontal="center" vertical="center" wrapText="1"/>
    </xf>
    <xf numFmtId="0" fontId="19" fillId="32" borderId="13" xfId="62" applyFont="1" applyFill="1" applyBorder="1" applyAlignment="1">
      <alignment horizontal="left" vertical="center" wrapText="1"/>
    </xf>
    <xf numFmtId="0" fontId="21" fillId="26" borderId="18" xfId="62" applyFont="1" applyFill="1" applyBorder="1" applyAlignment="1">
      <alignment horizontal="left" vertical="center" wrapText="1"/>
    </xf>
    <xf numFmtId="0" fontId="21" fillId="26" borderId="17" xfId="62" applyFont="1" applyFill="1" applyBorder="1" applyAlignment="1">
      <alignment horizontal="left" vertical="center" wrapText="1"/>
    </xf>
    <xf numFmtId="0" fontId="21" fillId="26" borderId="17" xfId="62" applyFont="1" applyFill="1" applyBorder="1" applyAlignment="1">
      <alignment horizontal="center" vertical="center" wrapText="1"/>
    </xf>
    <xf numFmtId="0" fontId="21" fillId="26" borderId="13" xfId="62" applyFont="1" applyFill="1" applyBorder="1" applyAlignment="1">
      <alignment horizontal="left" vertical="center" wrapText="1"/>
    </xf>
    <xf numFmtId="0" fontId="21" fillId="26" borderId="1" xfId="62" applyFont="1" applyFill="1" applyBorder="1" applyAlignment="1">
      <alignment horizontal="left" vertical="center" wrapText="1"/>
    </xf>
    <xf numFmtId="0" fontId="21" fillId="26" borderId="1" xfId="62" applyFont="1" applyFill="1" applyBorder="1" applyAlignment="1">
      <alignment horizontal="center" vertical="center" wrapText="1"/>
    </xf>
    <xf numFmtId="197" fontId="113" fillId="35" borderId="18" xfId="62" applyNumberFormat="1" applyFont="1" applyFill="1" applyBorder="1" applyAlignment="1">
      <alignment horizontal="left" vertical="center" wrapText="1"/>
    </xf>
    <xf numFmtId="197" fontId="113" fillId="35" borderId="17" xfId="62" applyNumberFormat="1" applyFont="1" applyFill="1" applyBorder="1" applyAlignment="1">
      <alignment horizontal="left" vertical="center" wrapText="1"/>
    </xf>
    <xf numFmtId="197" fontId="20" fillId="35" borderId="17" xfId="62" applyNumberFormat="1" applyFont="1" applyFill="1" applyBorder="1" applyAlignment="1">
      <alignment horizontal="center" vertical="center" wrapText="1"/>
    </xf>
    <xf numFmtId="197" fontId="113" fillId="35" borderId="13" xfId="62" applyNumberFormat="1" applyFont="1" applyFill="1" applyBorder="1" applyAlignment="1">
      <alignment horizontal="left" vertical="center" wrapText="1"/>
    </xf>
    <xf numFmtId="0" fontId="21" fillId="26" borderId="18" xfId="0" applyFont="1" applyFill="1" applyBorder="1" applyAlignment="1">
      <alignment horizontal="left" vertical="center" wrapText="1"/>
    </xf>
    <xf numFmtId="0" fontId="21" fillId="26" borderId="17" xfId="0" applyFont="1" applyFill="1" applyBorder="1" applyAlignment="1">
      <alignment horizontal="left" vertical="center" wrapText="1"/>
    </xf>
    <xf numFmtId="0" fontId="21" fillId="26" borderId="17" xfId="0" applyFont="1" applyFill="1" applyBorder="1" applyAlignment="1">
      <alignment horizontal="center" vertical="center" wrapText="1"/>
    </xf>
    <xf numFmtId="0" fontId="21" fillId="26" borderId="13" xfId="0" applyFont="1" applyFill="1" applyBorder="1" applyAlignment="1">
      <alignment horizontal="left" vertical="center" wrapText="1"/>
    </xf>
    <xf numFmtId="0" fontId="113" fillId="35" borderId="18" xfId="0" applyFont="1" applyFill="1" applyBorder="1" applyAlignment="1">
      <alignment horizontal="left" vertical="center" wrapText="1"/>
    </xf>
    <xf numFmtId="0" fontId="113" fillId="35" borderId="17" xfId="0" applyFont="1" applyFill="1" applyBorder="1" applyAlignment="1">
      <alignment horizontal="left" vertical="center" wrapText="1"/>
    </xf>
    <xf numFmtId="0" fontId="113" fillId="35" borderId="13" xfId="0" applyFont="1" applyFill="1" applyBorder="1" applyAlignment="1">
      <alignment horizontal="left" vertical="center" wrapText="1"/>
    </xf>
    <xf numFmtId="0" fontId="113" fillId="35" borderId="17" xfId="0" applyFont="1" applyFill="1" applyBorder="1" applyAlignment="1">
      <alignment horizontal="center" vertical="center" wrapText="1"/>
    </xf>
    <xf numFmtId="0" fontId="113" fillId="35" borderId="18" xfId="62" applyFont="1" applyFill="1" applyBorder="1" applyAlignment="1">
      <alignment horizontal="left" vertical="center" wrapText="1"/>
    </xf>
    <xf numFmtId="0" fontId="113" fillId="35" borderId="17" xfId="62" applyFont="1" applyFill="1" applyBorder="1" applyAlignment="1">
      <alignment horizontal="left" vertical="center" wrapText="1"/>
    </xf>
    <xf numFmtId="0" fontId="20" fillId="35" borderId="17" xfId="62" applyFont="1" applyFill="1" applyBorder="1" applyAlignment="1">
      <alignment horizontal="center" vertical="center" wrapText="1"/>
    </xf>
    <xf numFmtId="0" fontId="113" fillId="35" borderId="13" xfId="62" applyFont="1" applyFill="1" applyBorder="1" applyAlignment="1">
      <alignment horizontal="left" vertical="center" wrapText="1"/>
    </xf>
    <xf numFmtId="0" fontId="9" fillId="26" borderId="18" xfId="0" applyFont="1" applyFill="1" applyBorder="1" applyAlignment="1">
      <alignment horizontal="left" vertical="center" wrapText="1"/>
    </xf>
    <xf numFmtId="0" fontId="9" fillId="26" borderId="17" xfId="0" applyFont="1" applyFill="1" applyBorder="1" applyAlignment="1">
      <alignment horizontal="left" vertical="center" wrapText="1"/>
    </xf>
    <xf numFmtId="0" fontId="9" fillId="26" borderId="17" xfId="0" applyFont="1" applyFill="1" applyBorder="1" applyAlignment="1">
      <alignment horizontal="center" vertical="center" wrapText="1"/>
    </xf>
    <xf numFmtId="0" fontId="9" fillId="26" borderId="13" xfId="0" applyFont="1" applyFill="1" applyBorder="1" applyAlignment="1">
      <alignment horizontal="left" vertical="center" wrapText="1"/>
    </xf>
    <xf numFmtId="0" fontId="113" fillId="35" borderId="17" xfId="62" applyFont="1" applyFill="1" applyBorder="1" applyAlignment="1">
      <alignment horizontal="center" vertical="center" wrapText="1"/>
    </xf>
    <xf numFmtId="0" fontId="67" fillId="0" borderId="0" xfId="65" applyFont="1" applyAlignment="1">
      <alignment horizontal="center" vertical="center"/>
    </xf>
    <xf numFmtId="0" fontId="69" fillId="0" borderId="0" xfId="65" applyFont="1" applyAlignment="1">
      <alignment horizontal="center" vertical="center"/>
    </xf>
    <xf numFmtId="0" fontId="73" fillId="0" borderId="0" xfId="72" applyNumberFormat="1" applyFont="1" applyAlignment="1">
      <alignment horizontal="center" vertical="center"/>
    </xf>
    <xf numFmtId="180" fontId="21" fillId="0" borderId="26" xfId="74" applyNumberFormat="1" applyFont="1" applyFill="1" applyBorder="1" applyAlignment="1">
      <alignment horizontal="center" vertical="center" wrapText="1"/>
    </xf>
    <xf numFmtId="180" fontId="9" fillId="0" borderId="21" xfId="74" applyNumberFormat="1" applyFont="1" applyFill="1" applyBorder="1" applyAlignment="1">
      <alignment horizontal="center" vertical="center" wrapText="1"/>
    </xf>
    <xf numFmtId="49" fontId="21" fillId="0" borderId="1" xfId="74" applyNumberFormat="1" applyFont="1" applyFill="1" applyBorder="1" applyAlignment="1">
      <alignment horizontal="center" vertical="center" wrapText="1"/>
    </xf>
    <xf numFmtId="49" fontId="9" fillId="0" borderId="1" xfId="74" applyNumberFormat="1" applyFont="1" applyFill="1" applyBorder="1" applyAlignment="1">
      <alignment horizontal="center" vertical="center" wrapText="1"/>
    </xf>
    <xf numFmtId="180" fontId="21" fillId="0" borderId="22" xfId="74" applyNumberFormat="1" applyFont="1" applyBorder="1" applyAlignment="1">
      <alignment horizontal="center" vertical="center"/>
    </xf>
    <xf numFmtId="180" fontId="9" fillId="0" borderId="23" xfId="74" applyNumberFormat="1" applyFont="1" applyBorder="1" applyAlignment="1">
      <alignment horizontal="center" vertical="center"/>
    </xf>
    <xf numFmtId="180" fontId="9" fillId="0" borderId="27" xfId="74" applyNumberFormat="1" applyFont="1" applyBorder="1" applyAlignment="1">
      <alignment horizontal="center" vertical="center"/>
    </xf>
    <xf numFmtId="0" fontId="19" fillId="0" borderId="1" xfId="62" applyFont="1" applyBorder="1" applyAlignment="1">
      <alignment vertical="center"/>
    </xf>
    <xf numFmtId="0" fontId="2" fillId="0" borderId="26" xfId="62" applyFont="1" applyBorder="1" applyAlignment="1">
      <alignment vertical="center"/>
    </xf>
    <xf numFmtId="0" fontId="19" fillId="0" borderId="1" xfId="62" applyFont="1" applyBorder="1" applyAlignment="1">
      <alignment horizontal="left" vertical="center"/>
    </xf>
    <xf numFmtId="0" fontId="2" fillId="0" borderId="26" xfId="62" applyFont="1" applyBorder="1" applyAlignment="1">
      <alignment horizontal="left" vertical="center"/>
    </xf>
    <xf numFmtId="0" fontId="109" fillId="0" borderId="27" xfId="62" applyFont="1" applyFill="1" applyBorder="1" applyAlignment="1">
      <alignment horizontal="center" vertical="center" wrapText="1"/>
    </xf>
    <xf numFmtId="0" fontId="15" fillId="0" borderId="19" xfId="62" applyFont="1" applyFill="1" applyBorder="1" applyAlignment="1">
      <alignment horizontal="center" vertical="center" wrapText="1"/>
    </xf>
    <xf numFmtId="0" fontId="7" fillId="0" borderId="26" xfId="62" applyFont="1" applyFill="1" applyBorder="1" applyAlignment="1">
      <alignment horizontal="center" vertical="center" wrapText="1"/>
    </xf>
    <xf numFmtId="0" fontId="7" fillId="0" borderId="14" xfId="62" applyFont="1" applyFill="1" applyBorder="1" applyAlignment="1">
      <alignment horizontal="center" vertical="center" wrapText="1"/>
    </xf>
    <xf numFmtId="49" fontId="19" fillId="0" borderId="1" xfId="62" applyNumberFormat="1" applyFont="1" applyBorder="1" applyAlignment="1">
      <alignment horizontal="center" vertical="center" wrapText="1"/>
    </xf>
    <xf numFmtId="49" fontId="7" fillId="0" borderId="26" xfId="62" applyNumberFormat="1" applyFont="1" applyBorder="1" applyAlignment="1">
      <alignment horizontal="center" vertical="center" wrapText="1"/>
    </xf>
    <xf numFmtId="0" fontId="19" fillId="32" borderId="17" xfId="62" applyFont="1" applyFill="1" applyBorder="1" applyAlignment="1">
      <alignment horizontal="center" vertical="center" wrapText="1"/>
    </xf>
    <xf numFmtId="0" fontId="21" fillId="26" borderId="1" xfId="62" applyFont="1" applyFill="1" applyBorder="1" applyAlignment="1">
      <alignment vertical="center" wrapText="1"/>
    </xf>
    <xf numFmtId="197" fontId="113" fillId="35" borderId="17" xfId="62" applyNumberFormat="1" applyFont="1" applyFill="1" applyBorder="1" applyAlignment="1">
      <alignment horizontal="center" vertical="center" wrapText="1"/>
    </xf>
    <xf numFmtId="0" fontId="7" fillId="0" borderId="22" xfId="64" applyFont="1" applyBorder="1" applyAlignment="1">
      <alignment horizontal="center" vertical="center"/>
    </xf>
    <xf numFmtId="0" fontId="7" fillId="0" borderId="23" xfId="64" applyFont="1" applyBorder="1" applyAlignment="1">
      <alignment horizontal="center" vertical="center"/>
    </xf>
    <xf numFmtId="0" fontId="7" fillId="0" borderId="27" xfId="64" applyFont="1" applyBorder="1" applyAlignment="1">
      <alignment horizontal="center" vertical="center"/>
    </xf>
    <xf numFmtId="0" fontId="7" fillId="0" borderId="1" xfId="64" applyFont="1" applyBorder="1" applyAlignment="1">
      <alignment horizontal="center" vertical="center"/>
    </xf>
    <xf numFmtId="0" fontId="2" fillId="0" borderId="1" xfId="64" applyFont="1" applyBorder="1" applyAlignment="1">
      <alignment horizontal="center" vertical="center"/>
    </xf>
    <xf numFmtId="0" fontId="21" fillId="0" borderId="1" xfId="64" applyFont="1" applyBorder="1" applyAlignment="1">
      <alignment horizontal="center" vertical="center"/>
    </xf>
    <xf numFmtId="0" fontId="9" fillId="0" borderId="1" xfId="64" applyFont="1" applyBorder="1" applyAlignment="1">
      <alignment horizontal="center" vertical="center"/>
    </xf>
    <xf numFmtId="0" fontId="7" fillId="0" borderId="26" xfId="64" applyFont="1" applyFill="1" applyBorder="1" applyAlignment="1">
      <alignment horizontal="center" vertical="center"/>
    </xf>
    <xf numFmtId="0" fontId="7" fillId="0" borderId="21" xfId="64" applyFont="1" applyFill="1" applyBorder="1" applyAlignment="1">
      <alignment horizontal="center" vertical="center"/>
    </xf>
    <xf numFmtId="0" fontId="7" fillId="0" borderId="1" xfId="66" applyFont="1" applyBorder="1" applyAlignment="1">
      <alignment horizontal="center" vertical="center"/>
    </xf>
    <xf numFmtId="0" fontId="2" fillId="0" borderId="1" xfId="66" applyFont="1" applyBorder="1" applyAlignment="1">
      <alignment horizontal="center" vertical="center"/>
    </xf>
    <xf numFmtId="0" fontId="21" fillId="0" borderId="1" xfId="66" applyFont="1" applyBorder="1" applyAlignment="1">
      <alignment horizontal="center" vertical="center"/>
    </xf>
    <xf numFmtId="0" fontId="9" fillId="0" borderId="1" xfId="66" applyFont="1" applyBorder="1" applyAlignment="1">
      <alignment horizontal="center" vertical="center"/>
    </xf>
    <xf numFmtId="0" fontId="7" fillId="0" borderId="26" xfId="66" applyFont="1" applyFill="1" applyBorder="1" applyAlignment="1">
      <alignment horizontal="center" vertical="center"/>
    </xf>
    <xf numFmtId="0" fontId="7" fillId="0" borderId="21" xfId="66" applyFont="1" applyFill="1" applyBorder="1" applyAlignment="1">
      <alignment horizontal="center" vertical="center"/>
    </xf>
    <xf numFmtId="0" fontId="67" fillId="0" borderId="0" xfId="66" applyFont="1" applyAlignment="1">
      <alignment horizontal="center" vertical="center"/>
    </xf>
    <xf numFmtId="0" fontId="7" fillId="0" borderId="22" xfId="66" applyFont="1" applyBorder="1" applyAlignment="1">
      <alignment horizontal="center" vertical="center"/>
    </xf>
    <xf numFmtId="0" fontId="7" fillId="0" borderId="23" xfId="66" applyFont="1" applyBorder="1" applyAlignment="1">
      <alignment horizontal="center" vertical="center"/>
    </xf>
    <xf numFmtId="0" fontId="7" fillId="0" borderId="27" xfId="66" applyFont="1" applyBorder="1" applyAlignment="1">
      <alignment horizontal="center" vertical="center"/>
    </xf>
    <xf numFmtId="0" fontId="7" fillId="0" borderId="1" xfId="62" applyFont="1" applyBorder="1" applyAlignment="1">
      <alignment horizontal="center" vertical="center"/>
    </xf>
    <xf numFmtId="0" fontId="2" fillId="0" borderId="1" xfId="62" applyFont="1" applyBorder="1" applyAlignment="1">
      <alignment horizontal="center" vertical="center"/>
    </xf>
    <xf numFmtId="0" fontId="21" fillId="0" borderId="1" xfId="62" applyFont="1" applyBorder="1" applyAlignment="1">
      <alignment horizontal="center" vertical="center"/>
    </xf>
    <xf numFmtId="0" fontId="9" fillId="0" borderId="1" xfId="62" applyFont="1" applyBorder="1" applyAlignment="1">
      <alignment horizontal="center" vertical="center"/>
    </xf>
    <xf numFmtId="0" fontId="7" fillId="0" borderId="26" xfId="62" applyFont="1" applyFill="1" applyBorder="1" applyAlignment="1">
      <alignment horizontal="center" vertical="center"/>
    </xf>
    <xf numFmtId="0" fontId="7" fillId="0" borderId="21" xfId="62" applyFont="1" applyFill="1" applyBorder="1" applyAlignment="1">
      <alignment horizontal="center" vertical="center"/>
    </xf>
    <xf numFmtId="0" fontId="10" fillId="0" borderId="23" xfId="72" applyNumberFormat="1" applyFont="1" applyBorder="1" applyAlignment="1">
      <alignment horizontal="left" vertical="top" wrapText="1"/>
    </xf>
    <xf numFmtId="0" fontId="10" fillId="0" borderId="23" xfId="72" applyNumberFormat="1" applyFont="1" applyBorder="1" applyAlignment="1">
      <alignment horizontal="center" vertical="center"/>
    </xf>
    <xf numFmtId="0" fontId="10" fillId="0" borderId="27" xfId="72" applyNumberFormat="1" applyFont="1" applyBorder="1" applyAlignment="1">
      <alignment horizontal="center" vertical="center"/>
    </xf>
    <xf numFmtId="0" fontId="10" fillId="0" borderId="28" xfId="72" applyNumberFormat="1" applyFont="1" applyBorder="1" applyAlignment="1">
      <alignment horizontal="center" vertical="center"/>
    </xf>
    <xf numFmtId="0" fontId="10" fillId="0" borderId="20" xfId="72" applyNumberFormat="1" applyFont="1" applyBorder="1" applyAlignment="1">
      <alignment horizontal="center" vertical="center"/>
    </xf>
    <xf numFmtId="0" fontId="10" fillId="0" borderId="0" xfId="72" applyNumberFormat="1" applyFont="1" applyAlignment="1">
      <alignment horizontal="left" vertical="top" wrapText="1"/>
    </xf>
  </cellXfs>
  <cellStyles count="130">
    <cellStyle name="?" xfId="1" xr:uid="{00000000-0005-0000-0000-000000000000}"/>
    <cellStyle name="?_105優存設算表(4)-上下限調整機制修開會表件1040811-Final" xfId="2" xr:uid="{00000000-0005-0000-0000-000001000000}"/>
    <cellStyle name="_1000803-101公共建設比較表（部會別、計畫別）" xfId="3" xr:uid="{00000000-0005-0000-0000-000002000000}"/>
    <cellStyle name="_1000803-公共建設比較表" xfId="4" xr:uid="{00000000-0005-0000-0000-000003000000}"/>
    <cellStyle name="_1000805-特別預算未完計畫101年度編列情形表(數字未定，塞交通部)(6版)" xfId="5" xr:uid="{00000000-0005-0000-0000-000004000000}"/>
    <cellStyle name="_101公共建設更新法定數-彙總檔" xfId="6" xr:uid="{00000000-0005-0000-0000-000005000000}"/>
    <cellStyle name="_101計畫型補助(教育部主管)" xfId="7" xr:uid="{00000000-0005-0000-0000-000006000000}"/>
    <cellStyle name="_101預算案補助綜整" xfId="8" xr:uid="{00000000-0005-0000-0000-000007000000}"/>
    <cellStyle name="_101預算案補助綜整0817晚" xfId="9" xr:uid="{00000000-0005-0000-0000-000008000000}"/>
    <cellStyle name="_1020802院長簡報(財劃法)總表(燕雪修)" xfId="10" xr:uid="{00000000-0005-0000-0000-000009000000}"/>
    <cellStyle name="_102公共建設核列數-0813全體會議後調整" xfId="11" xr:uid="{00000000-0005-0000-0000-00000A000000}"/>
    <cellStyle name="_102公共建設核列數-0823院會後調整" xfId="12" xr:uid="{00000000-0005-0000-0000-00000B000000}"/>
    <cellStyle name="_102核列數(含農村及統籌)-加交通部請增數-定案版" xfId="13" xr:uid="{00000000-0005-0000-0000-00000C000000}"/>
    <cellStyle name="_1030811--104保障財源補助及總表（會後桃園員額納入改制新增經費負擔補助）-進榮" xfId="14" xr:uid="{00000000-0005-0000-0000-00000D000000}"/>
    <cellStyle name="_104簽院附表" xfId="15" xr:uid="{00000000-0005-0000-0000-00000E000000}"/>
    <cellStyle name="_4-1-11" xfId="16" xr:uid="{00000000-0005-0000-0000-00000F000000}"/>
    <cellStyle name="20% - 輔色1" xfId="17" builtinId="30" customBuiltin="1"/>
    <cellStyle name="20% - 輔色2" xfId="18" builtinId="34" customBuiltin="1"/>
    <cellStyle name="20% - 輔色3" xfId="19" builtinId="38" customBuiltin="1"/>
    <cellStyle name="20% - 輔色4" xfId="20" builtinId="42" customBuiltin="1"/>
    <cellStyle name="20% - 輔色5" xfId="21" builtinId="46" customBuiltin="1"/>
    <cellStyle name="20% - 輔色6" xfId="22" builtinId="50" customBuiltin="1"/>
    <cellStyle name="40% - 輔色1" xfId="23" builtinId="31" customBuiltin="1"/>
    <cellStyle name="40% - 輔色2" xfId="24" builtinId="35" customBuiltin="1"/>
    <cellStyle name="40% - 輔色3" xfId="25" builtinId="39" customBuiltin="1"/>
    <cellStyle name="40% - 輔色4" xfId="26" builtinId="43" customBuiltin="1"/>
    <cellStyle name="40% - 輔色5" xfId="27" builtinId="47" customBuiltin="1"/>
    <cellStyle name="40% - 輔色6" xfId="28" builtinId="51" customBuiltin="1"/>
    <cellStyle name="60% - 輔色1" xfId="29" builtinId="32" customBuiltin="1"/>
    <cellStyle name="60% - 輔色2" xfId="30" builtinId="36" customBuiltin="1"/>
    <cellStyle name="60% - 輔色3" xfId="31" builtinId="40" customBuiltin="1"/>
    <cellStyle name="60% - 輔色4" xfId="32" builtinId="44" customBuiltin="1"/>
    <cellStyle name="60% - 輔色5" xfId="33" builtinId="48" customBuiltin="1"/>
    <cellStyle name="60% - 輔色6" xfId="34" builtinId="52" customBuiltin="1"/>
    <cellStyle name="eng" xfId="35" xr:uid="{00000000-0005-0000-0000-000022000000}"/>
    <cellStyle name="Heading" xfId="112" xr:uid="{00000000-0005-0000-0000-000076000000}"/>
    <cellStyle name="Heading1" xfId="113" xr:uid="{00000000-0005-0000-0000-000077000000}"/>
    <cellStyle name="lu" xfId="36" xr:uid="{00000000-0005-0000-0000-000023000000}"/>
    <cellStyle name="n.0" xfId="37" xr:uid="{00000000-0005-0000-0000-000024000000}"/>
    <cellStyle name="n.01" xfId="38" xr:uid="{00000000-0005-0000-0000-000025000000}"/>
    <cellStyle name="n.1" xfId="39" xr:uid="{00000000-0005-0000-0000-000026000000}"/>
    <cellStyle name="n0" xfId="40" xr:uid="{00000000-0005-0000-0000-000027000000}"/>
    <cellStyle name="n1" xfId="41" xr:uid="{00000000-0005-0000-0000-000028000000}"/>
    <cellStyle name="Normal - Style1" xfId="42" xr:uid="{00000000-0005-0000-0000-000029000000}"/>
    <cellStyle name="Normal_Basic Assumptions" xfId="43" xr:uid="{00000000-0005-0000-0000-00002A000000}"/>
    <cellStyle name="Result" xfId="114" xr:uid="{00000000-0005-0000-0000-000078000000}"/>
    <cellStyle name="Result2" xfId="115" xr:uid="{00000000-0005-0000-0000-000079000000}"/>
    <cellStyle name="Style 21" xfId="44" xr:uid="{00000000-0005-0000-0000-00002B000000}"/>
    <cellStyle name="Style 22" xfId="45" xr:uid="{00000000-0005-0000-0000-00002C000000}"/>
    <cellStyle name="Style 23" xfId="46" xr:uid="{00000000-0005-0000-0000-00002D000000}"/>
    <cellStyle name="Style 24" xfId="47" xr:uid="{00000000-0005-0000-0000-00002E000000}"/>
    <cellStyle name="Style 24 2" xfId="117" xr:uid="{00000000-0005-0000-0000-00002E000000}"/>
    <cellStyle name="Style 25" xfId="48" xr:uid="{00000000-0005-0000-0000-00002F000000}"/>
    <cellStyle name="Style 25 2" xfId="118" xr:uid="{00000000-0005-0000-0000-00002F000000}"/>
    <cellStyle name="Style 26" xfId="49" xr:uid="{00000000-0005-0000-0000-000030000000}"/>
    <cellStyle name="styleColumnTitles" xfId="50" xr:uid="{00000000-0005-0000-0000-000031000000}"/>
    <cellStyle name="styleDateRange" xfId="51" xr:uid="{00000000-0005-0000-0000-000032000000}"/>
    <cellStyle name="styleHidden" xfId="52" xr:uid="{00000000-0005-0000-0000-000033000000}"/>
    <cellStyle name="styleNormal" xfId="53" xr:uid="{00000000-0005-0000-0000-000034000000}"/>
    <cellStyle name="styleSeriesAttributes" xfId="54" xr:uid="{00000000-0005-0000-0000-000035000000}"/>
    <cellStyle name="styleSeriesData" xfId="55" xr:uid="{00000000-0005-0000-0000-000036000000}"/>
    <cellStyle name="styleSeriesDataForecast" xfId="56" xr:uid="{00000000-0005-0000-0000-000037000000}"/>
    <cellStyle name="styleSeriesDataForecastNA" xfId="57" xr:uid="{00000000-0005-0000-0000-000038000000}"/>
    <cellStyle name="styleSeriesDataNA" xfId="58" xr:uid="{00000000-0005-0000-0000-000039000000}"/>
    <cellStyle name="一般" xfId="0" builtinId="0"/>
    <cellStyle name="一般 2" xfId="59" xr:uid="{00000000-0005-0000-0000-00003B000000}"/>
    <cellStyle name="一般 2 2" xfId="119" xr:uid="{00000000-0005-0000-0000-00003B000000}"/>
    <cellStyle name="一般 3" xfId="60" xr:uid="{00000000-0005-0000-0000-00003C000000}"/>
    <cellStyle name="一般 4" xfId="111" xr:uid="{00000000-0005-0000-0000-00007A000000}"/>
    <cellStyle name="一般 6" xfId="61" xr:uid="{00000000-0005-0000-0000-00003D000000}"/>
    <cellStyle name="一般_100-102易淹水第3期特別預算案綜整" xfId="62" xr:uid="{00000000-0005-0000-0000-00003E000000}"/>
    <cellStyle name="一般_100計畫型補助(空白表)" xfId="63" xr:uid="{00000000-0005-0000-0000-00003F000000}"/>
    <cellStyle name="一般_103計畫型補助(彙總檔)" xfId="64" xr:uid="{00000000-0005-0000-0000-000040000000}"/>
    <cellStyle name="一般_1050729--106總預算(案)及特別預算(法定預算)計畫型補助款(空白表)" xfId="65" xr:uid="{00000000-0005-0000-0000-000041000000}"/>
    <cellStyle name="一般_105計畫型補助(流域治理特別預算案彙)" xfId="66" xr:uid="{00000000-0005-0000-0000-000042000000}"/>
    <cellStyle name="一般_3.105國中" xfId="67" xr:uid="{00000000-0005-0000-0000-000043000000}"/>
    <cellStyle name="一般_99年度計畫補助款調查表-彙" xfId="68" xr:uid="{00000000-0005-0000-0000-000044000000}"/>
    <cellStyle name="一般_重要經濟指標" xfId="69" xr:uid="{00000000-0005-0000-0000-000047000000}"/>
    <cellStyle name="一般_重要經濟指標_92概淨收支表" xfId="70" xr:uid="{00000000-0005-0000-0000-000048000000}"/>
    <cellStyle name="一般_重要經濟指標_95簡明參考表6(法)" xfId="71" xr:uid="{00000000-0005-0000-0000-000049000000}"/>
    <cellStyle name="一般_縣市收支估計" xfId="72" xr:uid="{00000000-0005-0000-0000-00004B000000}"/>
    <cellStyle name="千分位" xfId="73" builtinId="3"/>
    <cellStyle name="千分位 2" xfId="74" xr:uid="{00000000-0005-0000-0000-00004D000000}"/>
    <cellStyle name="千分位 2 2" xfId="110" xr:uid="{E6724354-FD13-4F77-9467-F3EDD51C51D1}"/>
    <cellStyle name="千分位 2 2 2" xfId="75" xr:uid="{00000000-0005-0000-0000-00004E000000}"/>
    <cellStyle name="千分位 2 2 2 2" xfId="122" xr:uid="{00000000-0005-0000-0000-00004E000000}"/>
    <cellStyle name="千分位 2 2 3" xfId="129" xr:uid="{E6724354-FD13-4F77-9467-F3EDD51C51D1}"/>
    <cellStyle name="千分位 2 3" xfId="121" xr:uid="{00000000-0005-0000-0000-00004D000000}"/>
    <cellStyle name="千分位 2 5" xfId="76" xr:uid="{00000000-0005-0000-0000-00004F000000}"/>
    <cellStyle name="千分位 2 5 2" xfId="123" xr:uid="{00000000-0005-0000-0000-00004F000000}"/>
    <cellStyle name="千分位 3" xfId="116" xr:uid="{00000000-0005-0000-0000-00007B000000}"/>
    <cellStyle name="千分位 4" xfId="77" xr:uid="{00000000-0005-0000-0000-000050000000}"/>
    <cellStyle name="千分位 4 2" xfId="124" xr:uid="{00000000-0005-0000-0000-000050000000}"/>
    <cellStyle name="千分位 5" xfId="78" xr:uid="{00000000-0005-0000-0000-000051000000}"/>
    <cellStyle name="千分位 5 2" xfId="125" xr:uid="{00000000-0005-0000-0000-000051000000}"/>
    <cellStyle name="千分位 6" xfId="79" xr:uid="{00000000-0005-0000-0000-000052000000}"/>
    <cellStyle name="千分位 6 2" xfId="126" xr:uid="{00000000-0005-0000-0000-000052000000}"/>
    <cellStyle name="千分位 7" xfId="120" xr:uid="{00000000-0005-0000-0000-000086000000}"/>
    <cellStyle name="中等" xfId="80" builtinId="28" customBuiltin="1"/>
    <cellStyle name="合計" xfId="81" builtinId="25" customBuiltin="1"/>
    <cellStyle name="好" xfId="82" builtinId="26" customBuiltin="1"/>
    <cellStyle name="好_990720--愛台12建設預算調查表(Judy-100彙整)" xfId="83" xr:uid="{00000000-0005-0000-0000-000056000000}"/>
    <cellStyle name="百分比 2" xfId="84" xr:uid="{00000000-0005-0000-0000-000057000000}"/>
    <cellStyle name="百分比 2 2" xfId="127" xr:uid="{00000000-0005-0000-0000-000057000000}"/>
    <cellStyle name="百分比 3" xfId="85" xr:uid="{00000000-0005-0000-0000-000058000000}"/>
    <cellStyle name="百分比 3 2" xfId="128" xr:uid="{00000000-0005-0000-0000-000058000000}"/>
    <cellStyle name="計算方式" xfId="86" builtinId="22" customBuiltin="1"/>
    <cellStyle name="貨幣[0]_85TAB1" xfId="87" xr:uid="{00000000-0005-0000-0000-00005A000000}"/>
    <cellStyle name="連結的儲存格" xfId="88" builtinId="24" customBuiltin="1"/>
    <cellStyle name="備註" xfId="89" builtinId="10" customBuiltin="1"/>
    <cellStyle name="置中左右齊自動換列" xfId="90" xr:uid="{00000000-0005-0000-0000-00005D000000}"/>
    <cellStyle name="說明文字" xfId="91" builtinId="53" customBuiltin="1"/>
    <cellStyle name="輔色1" xfId="92" builtinId="29" customBuiltin="1"/>
    <cellStyle name="輔色2" xfId="93" builtinId="33" customBuiltin="1"/>
    <cellStyle name="輔色3" xfId="94" builtinId="37" customBuiltin="1"/>
    <cellStyle name="輔色4" xfId="95" builtinId="41" customBuiltin="1"/>
    <cellStyle name="輔色5" xfId="96" builtinId="45" customBuiltin="1"/>
    <cellStyle name="輔色6" xfId="97" builtinId="49" customBuiltin="1"/>
    <cellStyle name="標題" xfId="98" builtinId="15" customBuiltin="1"/>
    <cellStyle name="標題 1" xfId="99" builtinId="16" customBuiltin="1"/>
    <cellStyle name="標題 2" xfId="100" builtinId="17" customBuiltin="1"/>
    <cellStyle name="標題 3" xfId="101" builtinId="18" customBuiltin="1"/>
    <cellStyle name="標題 4" xfId="102" builtinId="19" customBuiltin="1"/>
    <cellStyle name="樣式 1" xfId="103" xr:uid="{00000000-0005-0000-0000-00006A000000}"/>
    <cellStyle name="輸入" xfId="104" builtinId="20" customBuiltin="1"/>
    <cellStyle name="輸出" xfId="105" builtinId="21" customBuiltin="1"/>
    <cellStyle name="檢查儲存格" xfId="106" builtinId="23" customBuiltin="1"/>
    <cellStyle name="壞" xfId="107" builtinId="27" customBuiltin="1"/>
    <cellStyle name="壞_990720--愛台12建設預算調查表(Judy-100彙整)" xfId="108" xr:uid="{00000000-0005-0000-0000-00006F000000}"/>
    <cellStyle name="警告文字" xfId="109" builtinId="11" customBuiltin="1"/>
  </cellStyles>
  <dxfs count="0"/>
  <tableStyles count="0" defaultTableStyle="TableStyleMedium2" defaultPivotStyle="PivotStyleLight16"/>
  <colors>
    <mruColors>
      <color rgb="FF0000FF"/>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0.xml"/><Relationship Id="rId21" Type="http://schemas.openxmlformats.org/officeDocument/2006/relationships/worksheet" Target="worksheets/sheet21.xml"/><Relationship Id="rId34" Type="http://schemas.openxmlformats.org/officeDocument/2006/relationships/externalLink" Target="externalLinks/externalLink5.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50" Type="http://schemas.openxmlformats.org/officeDocument/2006/relationships/externalLink" Target="externalLinks/externalLink21.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2.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8" Type="http://schemas.openxmlformats.org/officeDocument/2006/relationships/worksheet" Target="worksheets/sheet8.xml"/><Relationship Id="rId51" Type="http://schemas.openxmlformats.org/officeDocument/2006/relationships/externalLink" Target="externalLinks/externalLink22.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34157;&#20809;&#36066;-7452\91MONRH\89month\86DATA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6989;&#21209;&#35519;&#25972;/&#20778;&#23384;&#25765;&#27454;/103&#24180;/&#21488;&#37504;&#32034;&#21462;&#36039;&#26009;/102&#24180;&#22320;&#26041;&#25919;&#24220;&#20778;&#23384;&#36039;&#26009;/102&#24180;&#22320;&#26041;&#25919;&#24220;&#20778;&#23384;&#36039;&#26009;/102&#24180;&#22320;&#26041;R323--FM&#36039;&#35338;&#34389;103022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huan/AppData/Local/Microsoft/Windows/Temporary%20Internet%20Files/Content.IE5/35QT5PYH/&#38928;&#31639;/89&#38928;&#31639;/bgt89-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8928;&#31639;/89&#38928;&#31639;/bgt89-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8joan/Desktop/&#24037;&#20316;/&#20845;&#31185;/4.&#35336;&#30059;&#22411;/&#28136;&#25910;&#25903;&#36039;&#26009;/107&#27861;&#23450;/&#26680;&#23565;&#36039;&#26009;/1070201-107&#24180;&#24230;&#27506;&#20837;&#20358;&#28304;&#21029;&#38928;&#27770;&#31639;&#35519;&#26597;&#34920;-&#27861;&#23450;(&#24409;)-&#36001;&#25919;&#37096;&#21487;&#33021;&#35201;&#20877;&#2591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1.6&#31185;&#26989;&#21209;/1.&#35336;&#30059;&#22411;/&#28136;&#25910;&#25903;&#36039;&#26009;/111&#27861;&#23450;/&#26680;&#23565;&#36039;&#26009;/110-00000-&#21407;&#38928;&#31639;&#26360;&#34920;&#32232;&#36655;-&#27506;&#20837;&#20358;&#28304;&#21029;&#38928;&#31639;&#27604;&#36611;&#32317;&#34920;_2021021908275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8joan/Desktop/&#24037;&#20316;/&#20845;&#31185;/4.&#35336;&#30059;&#22411;/&#28136;&#25910;&#25903;&#36039;&#26009;/107&#27861;&#23450;/&#26680;&#23565;&#36039;&#26009;/&#26680;&#23565;&#29992;-107&#21508;&#37096;&#26371;&#27861;&#23450;&#35519;&#26597;&#3492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8joan/Desktop/&#24037;&#20316;/&#20845;&#31185;/4.&#35336;&#30059;&#22411;/&#28136;&#25910;&#25903;&#36039;&#26009;/107&#27861;&#23450;/&#26680;&#23565;&#36039;&#26009;/107-&#21407;&#38928;&#31639;&#26360;&#34920;&#32232;&#36655;-&#27506;&#20986;&#25919;&#20107;&#21029;&#38928;&#31639;&#27604;&#36611;&#32317;&#34920;_2018020917304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4037;&#20316;/&#20845;&#31185;/4.&#35336;&#30059;&#22411;/&#28136;&#25910;&#25903;&#36039;&#26009;/108&#27861;&#23450;/&#26680;&#23565;&#36039;&#26009;/1060905-106-107&#21069;&#30651;&#22522;&#30990;&#24314;&#35373;&#20013;&#22830;&#23565;&#22320;&#26041;&#25919;&#24220;&#35036;&#21161;&#27454;(&#27861;&#23450;)(&#24409;&#2597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8joan/Desktop/&#24037;&#20316;/&#20845;&#31185;/4.&#35336;&#30059;&#22411;/&#28136;&#25910;&#25903;&#36039;&#26009;/107&#27861;&#23450;/107&#38928;&#32317;&#30452;&#36676;&#24066;&#21450;&#32291;&#24066;(&#27861;&#2345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osephine.INTRANET/Desktop/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605/Local%20Settings/Temporary%20Internet%20Files/Content.IE5/5CS7XDOL/89&#38928;&#31639;/89&#22283;&#20013;&#20154;&#26989;&#32147;&#36027;&#27010;&#3163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20844;&#25991;&#27284;/&#22320;&#26041;&#35036;&#21161;&#31185;/&#28113;&#29572;/&#28136;&#25910;&#25903;/105&#24180;&#24230;&#26696;/105&#38928;&#28136;&#25910;&#25903;&#34920;-&#38928;&#31639;&#2669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8joan/Desktop/&#24037;&#20316;/&#20845;&#31185;/&#35336;&#30059;&#22411;/&#35336;&#30059;&#22411;/&#28136;&#25910;&#25903;&#36039;&#26009;/106&#27861;&#23450;/1060208--106&#38928;&#28136;&#25910;&#25903;&#34920;&#65288;&#27861;&#23450;&#65289;.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4037;&#20316;/&#20845;&#31185;/4.&#35336;&#30059;&#22411;/&#28136;&#25910;&#25903;&#36039;&#26009;/108&#27861;&#23450;/&#26680;&#23565;&#36039;&#26009;/&#21069;&#30651;&#31532;1&#26399;&#27506;&#20986;&#25919;&#20107;&#21029;&#38928;&#31639;&#34920;%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BS5/BS518/article/&#23560;&#36617;/97/97&#26399;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108\C\&#27665;&#29151;&#21270;\&#27665;&#29151;&#21270;&#25910;&#25903;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A309/Local%20Settings/Temporary%20Internet%20Files/Content.IE5/WXKLM5O7/970730&#39340;&#32317;&#32113;&#25919;&#35211;98&#32232;&#21015;&#35519;&#26597;&#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108\B89TT\B89TT\meet\89b-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34157;&#20809;&#36066;-7452\91MONRH\89month\86month\86DATA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huan/AppData/Local/Microsoft/Windows/Temporary%20Internet%20Files/Content.IE5/35QT5PYH/&#38928;&#31639;/89&#38928;&#31639;/&#38928;&#31639;/88&#38928;&#31639;/88bgt-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8928;&#31639;/89&#38928;&#31639;/&#38928;&#31639;/88&#38928;&#31639;/88bgt-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6年度總表"/>
      <sheetName val="主管明細"/>
      <sheetName val="0000"/>
      <sheetName val="經資併計"/>
      <sheetName val="工作表1"/>
      <sheetName val="銷貨收入"/>
      <sheetName val="exp彙計"/>
      <sheetName val="外幣收支彙計"/>
      <sheetName val="其他營業收入"/>
      <sheetName val="車輛_(1)"/>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23_X"/>
      <sheetName val="R323_02_X"/>
      <sheetName val="R323_Z"/>
      <sheetName val="R323_02_Z"/>
      <sheetName val="X整理"/>
      <sheetName val="Z整理"/>
    </sheetNames>
    <sheetDataSet>
      <sheetData sheetId="0" refreshError="1"/>
      <sheetData sheetId="1">
        <row r="1">
          <cell r="A1" t="str">
            <v>支給機關代號+性質別</v>
          </cell>
          <cell r="B1" t="str">
            <v>支給機關代號</v>
          </cell>
          <cell r="C1" t="str">
            <v>性質別</v>
          </cell>
          <cell r="D1" t="str">
            <v>支給機關名稱</v>
          </cell>
          <cell r="E1" t="str">
            <v>主辦行</v>
          </cell>
          <cell r="F1" t="str">
            <v>地區別</v>
          </cell>
          <cell r="G1" t="str">
            <v>差額利息</v>
          </cell>
        </row>
        <row r="2">
          <cell r="A2">
            <v>2001000016</v>
          </cell>
          <cell r="B2">
            <v>20010000</v>
          </cell>
          <cell r="C2">
            <v>16</v>
          </cell>
          <cell r="D2" t="str">
            <v xml:space="preserve">臺北市政府                               </v>
          </cell>
          <cell r="E2">
            <v>3</v>
          </cell>
          <cell r="F2" t="str">
            <v>地方</v>
          </cell>
          <cell r="G2">
            <v>49890</v>
          </cell>
        </row>
        <row r="3">
          <cell r="A3">
            <v>2009000016</v>
          </cell>
          <cell r="B3">
            <v>20090000</v>
          </cell>
          <cell r="C3">
            <v>16</v>
          </cell>
          <cell r="D3" t="str">
            <v xml:space="preserve">臺北市政府教育局                         </v>
          </cell>
          <cell r="E3">
            <v>3</v>
          </cell>
          <cell r="F3" t="str">
            <v>地方</v>
          </cell>
          <cell r="G3">
            <v>322165</v>
          </cell>
        </row>
        <row r="4">
          <cell r="A4">
            <v>2026010016</v>
          </cell>
          <cell r="B4">
            <v>20260100</v>
          </cell>
          <cell r="C4">
            <v>16</v>
          </cell>
          <cell r="D4" t="str">
            <v xml:space="preserve">臺北市立聯合醫院                         </v>
          </cell>
          <cell r="E4">
            <v>3</v>
          </cell>
          <cell r="F4" t="str">
            <v>地方</v>
          </cell>
          <cell r="G4">
            <v>511</v>
          </cell>
        </row>
        <row r="5">
          <cell r="A5">
            <v>4010010016</v>
          </cell>
          <cell r="B5">
            <v>40100100</v>
          </cell>
          <cell r="C5">
            <v>16</v>
          </cell>
          <cell r="D5" t="str">
            <v xml:space="preserve">基隆市政府                               </v>
          </cell>
          <cell r="E5">
            <v>12</v>
          </cell>
          <cell r="F5" t="str">
            <v>地方</v>
          </cell>
          <cell r="G5">
            <v>5667</v>
          </cell>
        </row>
        <row r="6">
          <cell r="A6">
            <v>4020010016</v>
          </cell>
          <cell r="B6">
            <v>40200100</v>
          </cell>
          <cell r="C6">
            <v>16</v>
          </cell>
          <cell r="D6" t="str">
            <v xml:space="preserve">臺中市政府                               </v>
          </cell>
          <cell r="E6">
            <v>10</v>
          </cell>
          <cell r="F6" t="str">
            <v>地方</v>
          </cell>
          <cell r="G6">
            <v>135</v>
          </cell>
        </row>
        <row r="7">
          <cell r="A7">
            <v>4030010016</v>
          </cell>
          <cell r="B7">
            <v>40300100</v>
          </cell>
          <cell r="C7">
            <v>16</v>
          </cell>
          <cell r="D7" t="str">
            <v xml:space="preserve">臺南市政府                               </v>
          </cell>
          <cell r="E7">
            <v>9</v>
          </cell>
          <cell r="F7" t="str">
            <v>地方</v>
          </cell>
          <cell r="G7">
            <v>433</v>
          </cell>
        </row>
        <row r="8">
          <cell r="A8">
            <v>4040010016</v>
          </cell>
          <cell r="B8">
            <v>40400100</v>
          </cell>
          <cell r="C8">
            <v>16</v>
          </cell>
          <cell r="D8" t="str">
            <v xml:space="preserve">高雄市政府                               </v>
          </cell>
          <cell r="E8">
            <v>11</v>
          </cell>
          <cell r="F8" t="str">
            <v>地方</v>
          </cell>
          <cell r="G8">
            <v>21138</v>
          </cell>
        </row>
        <row r="9">
          <cell r="A9">
            <v>4040030416</v>
          </cell>
          <cell r="B9">
            <v>40400304</v>
          </cell>
          <cell r="C9">
            <v>16</v>
          </cell>
          <cell r="D9" t="str">
            <v xml:space="preserve">高雄市政府教育局                         </v>
          </cell>
          <cell r="E9">
            <v>11</v>
          </cell>
          <cell r="F9" t="str">
            <v>地方</v>
          </cell>
          <cell r="G9">
            <v>13875</v>
          </cell>
        </row>
        <row r="10">
          <cell r="A10">
            <v>4050010016</v>
          </cell>
          <cell r="B10">
            <v>40500100</v>
          </cell>
          <cell r="C10">
            <v>16</v>
          </cell>
          <cell r="D10" t="str">
            <v xml:space="preserve">新竹市政府                               </v>
          </cell>
          <cell r="E10">
            <v>15</v>
          </cell>
          <cell r="F10" t="str">
            <v>地方</v>
          </cell>
          <cell r="G10">
            <v>4768</v>
          </cell>
        </row>
        <row r="11">
          <cell r="A11">
            <v>4060010016</v>
          </cell>
          <cell r="B11">
            <v>40600100</v>
          </cell>
          <cell r="C11">
            <v>16</v>
          </cell>
          <cell r="D11" t="str">
            <v xml:space="preserve">嘉義市政府                               </v>
          </cell>
          <cell r="E11">
            <v>14</v>
          </cell>
          <cell r="F11" t="str">
            <v>地方</v>
          </cell>
          <cell r="G11">
            <v>465</v>
          </cell>
        </row>
        <row r="12">
          <cell r="A12">
            <v>5010010016</v>
          </cell>
          <cell r="B12">
            <v>50100100</v>
          </cell>
          <cell r="C12">
            <v>16</v>
          </cell>
          <cell r="D12" t="str">
            <v xml:space="preserve">新北市政府                               </v>
          </cell>
          <cell r="E12">
            <v>27</v>
          </cell>
          <cell r="F12" t="str">
            <v>地方</v>
          </cell>
          <cell r="G12">
            <v>17445</v>
          </cell>
        </row>
        <row r="13">
          <cell r="A13">
            <v>5010011616</v>
          </cell>
          <cell r="B13">
            <v>50100116</v>
          </cell>
          <cell r="C13">
            <v>16</v>
          </cell>
          <cell r="D13" t="str">
            <v xml:space="preserve">新北市政府教育局                         </v>
          </cell>
          <cell r="E13">
            <v>27</v>
          </cell>
          <cell r="F13" t="str">
            <v>地方</v>
          </cell>
          <cell r="G13">
            <v>35041</v>
          </cell>
        </row>
        <row r="14">
          <cell r="A14">
            <v>5020010016</v>
          </cell>
          <cell r="B14">
            <v>50200100</v>
          </cell>
          <cell r="C14">
            <v>16</v>
          </cell>
          <cell r="D14" t="str">
            <v xml:space="preserve">桃園縣政府                               </v>
          </cell>
          <cell r="E14">
            <v>26</v>
          </cell>
          <cell r="F14" t="str">
            <v>地方</v>
          </cell>
          <cell r="G14">
            <v>39847</v>
          </cell>
        </row>
        <row r="15">
          <cell r="A15">
            <v>5028020016</v>
          </cell>
          <cell r="B15">
            <v>50280200</v>
          </cell>
          <cell r="C15">
            <v>16</v>
          </cell>
          <cell r="D15" t="str">
            <v xml:space="preserve">桃園縣中壢市公所                         </v>
          </cell>
          <cell r="E15">
            <v>26</v>
          </cell>
          <cell r="F15" t="str">
            <v>地方</v>
          </cell>
          <cell r="G15">
            <v>137</v>
          </cell>
        </row>
        <row r="16">
          <cell r="A16">
            <v>5030010016</v>
          </cell>
          <cell r="B16">
            <v>50300100</v>
          </cell>
          <cell r="C16">
            <v>16</v>
          </cell>
          <cell r="D16" t="str">
            <v xml:space="preserve">新竹縣政府                               </v>
          </cell>
          <cell r="E16">
            <v>68</v>
          </cell>
          <cell r="F16" t="str">
            <v>地方</v>
          </cell>
          <cell r="G16">
            <v>40639</v>
          </cell>
        </row>
        <row r="17">
          <cell r="A17">
            <v>5038090016</v>
          </cell>
          <cell r="B17">
            <v>50380900</v>
          </cell>
          <cell r="C17">
            <v>16</v>
          </cell>
          <cell r="D17" t="str">
            <v xml:space="preserve">新竹縣寶山鄉公所                         </v>
          </cell>
          <cell r="E17">
            <v>68</v>
          </cell>
          <cell r="F17" t="str">
            <v>地方</v>
          </cell>
          <cell r="G17">
            <v>101</v>
          </cell>
        </row>
        <row r="18">
          <cell r="A18">
            <v>5040010016</v>
          </cell>
          <cell r="B18">
            <v>50400100</v>
          </cell>
          <cell r="C18">
            <v>16</v>
          </cell>
          <cell r="D18" t="str">
            <v xml:space="preserve">苗栗縣政府                               </v>
          </cell>
          <cell r="E18">
            <v>29</v>
          </cell>
          <cell r="F18" t="str">
            <v>地方</v>
          </cell>
          <cell r="G18">
            <v>912</v>
          </cell>
        </row>
        <row r="19">
          <cell r="A19">
            <v>5048110016</v>
          </cell>
          <cell r="B19">
            <v>50481100</v>
          </cell>
          <cell r="C19">
            <v>16</v>
          </cell>
          <cell r="D19" t="str">
            <v xml:space="preserve">苗栗縣苑裡鎮公所                         </v>
          </cell>
          <cell r="E19">
            <v>29</v>
          </cell>
          <cell r="F19" t="str">
            <v>地方</v>
          </cell>
          <cell r="G19">
            <v>2804</v>
          </cell>
        </row>
        <row r="20">
          <cell r="A20">
            <v>5050010016</v>
          </cell>
          <cell r="B20">
            <v>50500100</v>
          </cell>
          <cell r="C20">
            <v>16</v>
          </cell>
          <cell r="D20" t="str">
            <v xml:space="preserve">臺中市政府  (  原臺中縣政府  )           </v>
          </cell>
          <cell r="E20">
            <v>10</v>
          </cell>
          <cell r="F20" t="str">
            <v>地方</v>
          </cell>
          <cell r="G20">
            <v>3400</v>
          </cell>
        </row>
        <row r="21">
          <cell r="A21">
            <v>5058050016</v>
          </cell>
          <cell r="B21">
            <v>50580500</v>
          </cell>
          <cell r="C21">
            <v>16</v>
          </cell>
          <cell r="D21" t="str">
            <v xml:space="preserve">臺中市清水區公所                         </v>
          </cell>
          <cell r="E21">
            <v>10</v>
          </cell>
          <cell r="F21" t="str">
            <v>地方</v>
          </cell>
          <cell r="G21">
            <v>251</v>
          </cell>
        </row>
        <row r="22">
          <cell r="A22">
            <v>5058210016</v>
          </cell>
          <cell r="B22">
            <v>50582100</v>
          </cell>
          <cell r="C22">
            <v>16</v>
          </cell>
          <cell r="D22" t="str">
            <v xml:space="preserve">臺中市東勢區公所                         </v>
          </cell>
          <cell r="E22">
            <v>10</v>
          </cell>
          <cell r="F22" t="str">
            <v>地方</v>
          </cell>
          <cell r="G22">
            <v>75</v>
          </cell>
        </row>
        <row r="23">
          <cell r="A23">
            <v>5058220016</v>
          </cell>
          <cell r="B23">
            <v>50582200</v>
          </cell>
          <cell r="C23">
            <v>16</v>
          </cell>
          <cell r="D23" t="str">
            <v xml:space="preserve">臺中市龍井區公所                         </v>
          </cell>
          <cell r="E23">
            <v>10</v>
          </cell>
          <cell r="F23" t="str">
            <v>地方</v>
          </cell>
          <cell r="G23">
            <v>1438</v>
          </cell>
        </row>
        <row r="24">
          <cell r="A24">
            <v>5060010016</v>
          </cell>
          <cell r="B24">
            <v>50600100</v>
          </cell>
          <cell r="C24">
            <v>16</v>
          </cell>
          <cell r="D24" t="str">
            <v xml:space="preserve">彰化縣政府                               </v>
          </cell>
          <cell r="E24">
            <v>16</v>
          </cell>
          <cell r="F24" t="str">
            <v>地方</v>
          </cell>
          <cell r="G24">
            <v>10528</v>
          </cell>
        </row>
        <row r="25">
          <cell r="A25">
            <v>5060040016</v>
          </cell>
          <cell r="B25">
            <v>50600400</v>
          </cell>
          <cell r="C25">
            <v>16</v>
          </cell>
          <cell r="D25" t="str">
            <v xml:space="preserve">彰化縣警察局 ( 支給警察局 )              </v>
          </cell>
          <cell r="E25">
            <v>16</v>
          </cell>
          <cell r="F25" t="str">
            <v>地方</v>
          </cell>
          <cell r="G25">
            <v>1760</v>
          </cell>
        </row>
        <row r="26">
          <cell r="A26">
            <v>5068020016</v>
          </cell>
          <cell r="B26">
            <v>50680200</v>
          </cell>
          <cell r="C26">
            <v>16</v>
          </cell>
          <cell r="D26" t="str">
            <v xml:space="preserve">彰化縣彰化市公所                         </v>
          </cell>
          <cell r="E26">
            <v>16</v>
          </cell>
          <cell r="F26" t="str">
            <v>地方</v>
          </cell>
          <cell r="G26">
            <v>4322</v>
          </cell>
        </row>
        <row r="27">
          <cell r="A27">
            <v>5068110016</v>
          </cell>
          <cell r="B27">
            <v>50681100</v>
          </cell>
          <cell r="C27">
            <v>16</v>
          </cell>
          <cell r="D27" t="str">
            <v xml:space="preserve">彰化縣永靖鄉公所                         </v>
          </cell>
          <cell r="E27">
            <v>16</v>
          </cell>
          <cell r="F27" t="str">
            <v>地方</v>
          </cell>
          <cell r="G27">
            <v>4621</v>
          </cell>
        </row>
        <row r="28">
          <cell r="A28">
            <v>5068210016</v>
          </cell>
          <cell r="B28">
            <v>50682100</v>
          </cell>
          <cell r="C28">
            <v>16</v>
          </cell>
          <cell r="D28" t="str">
            <v xml:space="preserve">彰化縣北斗鎮公所                         </v>
          </cell>
          <cell r="E28">
            <v>16</v>
          </cell>
          <cell r="F28" t="str">
            <v>地方</v>
          </cell>
          <cell r="G28">
            <v>366</v>
          </cell>
        </row>
        <row r="29">
          <cell r="A29">
            <v>5068240016</v>
          </cell>
          <cell r="B29">
            <v>50682400</v>
          </cell>
          <cell r="C29">
            <v>16</v>
          </cell>
          <cell r="D29" t="str">
            <v xml:space="preserve">彰化縣竹塘鄉公所                         </v>
          </cell>
          <cell r="E29">
            <v>16</v>
          </cell>
          <cell r="F29" t="str">
            <v>地方</v>
          </cell>
          <cell r="G29">
            <v>126</v>
          </cell>
        </row>
        <row r="30">
          <cell r="A30">
            <v>5070010016</v>
          </cell>
          <cell r="B30">
            <v>50700100</v>
          </cell>
          <cell r="C30">
            <v>16</v>
          </cell>
          <cell r="D30" t="str">
            <v xml:space="preserve">南投縣政府                               </v>
          </cell>
          <cell r="E30">
            <v>32</v>
          </cell>
          <cell r="F30" t="str">
            <v>地方</v>
          </cell>
          <cell r="G30">
            <v>639</v>
          </cell>
        </row>
        <row r="31">
          <cell r="A31">
            <v>5078060016</v>
          </cell>
          <cell r="B31">
            <v>50780600</v>
          </cell>
          <cell r="C31">
            <v>16</v>
          </cell>
          <cell r="D31" t="str">
            <v xml:space="preserve">南投縣竹山鎮公所                         </v>
          </cell>
          <cell r="E31">
            <v>32</v>
          </cell>
          <cell r="F31" t="str">
            <v>地方</v>
          </cell>
          <cell r="G31">
            <v>50</v>
          </cell>
        </row>
        <row r="32">
          <cell r="A32">
            <v>5078100016</v>
          </cell>
          <cell r="B32">
            <v>50781000</v>
          </cell>
          <cell r="C32">
            <v>16</v>
          </cell>
          <cell r="D32" t="str">
            <v xml:space="preserve">南投縣名間鄉公所                         </v>
          </cell>
          <cell r="E32">
            <v>32</v>
          </cell>
          <cell r="F32" t="str">
            <v>地方</v>
          </cell>
          <cell r="G32">
            <v>389</v>
          </cell>
        </row>
        <row r="33">
          <cell r="A33">
            <v>5080010016</v>
          </cell>
          <cell r="B33">
            <v>50800100</v>
          </cell>
          <cell r="C33">
            <v>16</v>
          </cell>
          <cell r="D33" t="str">
            <v xml:space="preserve">雲林縣政府                               </v>
          </cell>
          <cell r="E33">
            <v>31</v>
          </cell>
          <cell r="F33" t="str">
            <v>地方</v>
          </cell>
          <cell r="G33">
            <v>764</v>
          </cell>
        </row>
        <row r="34">
          <cell r="A34">
            <v>5088060016</v>
          </cell>
          <cell r="B34">
            <v>50880600</v>
          </cell>
          <cell r="C34">
            <v>16</v>
          </cell>
          <cell r="D34" t="str">
            <v xml:space="preserve">雲林縣虎尾鎮公所                         </v>
          </cell>
          <cell r="E34">
            <v>31</v>
          </cell>
          <cell r="F34" t="str">
            <v>地方</v>
          </cell>
          <cell r="G34">
            <v>25</v>
          </cell>
        </row>
        <row r="35">
          <cell r="A35">
            <v>5090010016</v>
          </cell>
          <cell r="B35">
            <v>50900100</v>
          </cell>
          <cell r="C35">
            <v>16</v>
          </cell>
          <cell r="D35" t="str">
            <v xml:space="preserve">嘉義縣政府                               </v>
          </cell>
          <cell r="E35">
            <v>67</v>
          </cell>
          <cell r="F35" t="str">
            <v>地方</v>
          </cell>
          <cell r="G35">
            <v>375</v>
          </cell>
        </row>
        <row r="36">
          <cell r="A36">
            <v>5100010016</v>
          </cell>
          <cell r="B36">
            <v>51000100</v>
          </cell>
          <cell r="C36">
            <v>16</v>
          </cell>
          <cell r="D36" t="str">
            <v xml:space="preserve">臺南市政府  (  原臺南縣政府  )           </v>
          </cell>
          <cell r="E36">
            <v>9</v>
          </cell>
          <cell r="F36" t="str">
            <v>地方</v>
          </cell>
          <cell r="G36">
            <v>1778</v>
          </cell>
        </row>
        <row r="37">
          <cell r="A37">
            <v>5100130016</v>
          </cell>
          <cell r="B37">
            <v>51001300</v>
          </cell>
          <cell r="C37">
            <v>16</v>
          </cell>
          <cell r="D37" t="str">
            <v xml:space="preserve">臺南市學甲區公所                         </v>
          </cell>
          <cell r="E37">
            <v>9</v>
          </cell>
          <cell r="F37" t="str">
            <v>地方</v>
          </cell>
          <cell r="G37">
            <v>171</v>
          </cell>
        </row>
        <row r="38">
          <cell r="A38">
            <v>5110010016</v>
          </cell>
          <cell r="B38">
            <v>51100100</v>
          </cell>
          <cell r="C38">
            <v>16</v>
          </cell>
          <cell r="D38" t="str">
            <v xml:space="preserve">高雄市政府  (  原高雄縣政府  )           </v>
          </cell>
          <cell r="E38">
            <v>11</v>
          </cell>
          <cell r="F38" t="str">
            <v>地方</v>
          </cell>
          <cell r="G38">
            <v>115828</v>
          </cell>
        </row>
        <row r="39">
          <cell r="A39">
            <v>5118050016</v>
          </cell>
          <cell r="B39">
            <v>51180500</v>
          </cell>
          <cell r="C39">
            <v>16</v>
          </cell>
          <cell r="D39" t="str">
            <v xml:space="preserve">高雄市美濃區公所                         </v>
          </cell>
          <cell r="E39">
            <v>11</v>
          </cell>
          <cell r="F39" t="str">
            <v>地方</v>
          </cell>
          <cell r="G39">
            <v>671</v>
          </cell>
        </row>
        <row r="40">
          <cell r="A40">
            <v>5118060016</v>
          </cell>
          <cell r="B40">
            <v>51180600</v>
          </cell>
          <cell r="C40">
            <v>16</v>
          </cell>
          <cell r="D40" t="str">
            <v xml:space="preserve">高雄市鳥松區公所                         </v>
          </cell>
          <cell r="E40">
            <v>11</v>
          </cell>
          <cell r="F40" t="str">
            <v>地方</v>
          </cell>
          <cell r="G40">
            <v>9054</v>
          </cell>
        </row>
        <row r="41">
          <cell r="A41">
            <v>5118150016</v>
          </cell>
          <cell r="B41">
            <v>51181500</v>
          </cell>
          <cell r="C41">
            <v>16</v>
          </cell>
          <cell r="D41" t="str">
            <v xml:space="preserve">高雄市大社區公所                         </v>
          </cell>
          <cell r="E41">
            <v>11</v>
          </cell>
          <cell r="F41" t="str">
            <v>地方</v>
          </cell>
          <cell r="G41">
            <v>539</v>
          </cell>
        </row>
        <row r="42">
          <cell r="A42">
            <v>5118180016</v>
          </cell>
          <cell r="B42">
            <v>51181800</v>
          </cell>
          <cell r="C42">
            <v>16</v>
          </cell>
          <cell r="D42" t="str">
            <v xml:space="preserve">高雄市六龜區公所                         </v>
          </cell>
          <cell r="E42">
            <v>11</v>
          </cell>
          <cell r="F42" t="str">
            <v>地方</v>
          </cell>
          <cell r="G42">
            <v>120</v>
          </cell>
        </row>
        <row r="43">
          <cell r="A43">
            <v>5118210016</v>
          </cell>
          <cell r="B43">
            <v>51182100</v>
          </cell>
          <cell r="C43">
            <v>16</v>
          </cell>
          <cell r="D43" t="str">
            <v xml:space="preserve">高雄市彌陀區公所                         </v>
          </cell>
          <cell r="E43">
            <v>11</v>
          </cell>
          <cell r="F43" t="str">
            <v>地方</v>
          </cell>
          <cell r="G43">
            <v>32</v>
          </cell>
        </row>
        <row r="44">
          <cell r="A44">
            <v>5120010016</v>
          </cell>
          <cell r="B44">
            <v>51200100</v>
          </cell>
          <cell r="C44">
            <v>16</v>
          </cell>
          <cell r="D44" t="str">
            <v xml:space="preserve">屏東縣政府                               </v>
          </cell>
          <cell r="E44">
            <v>17</v>
          </cell>
          <cell r="F44" t="str">
            <v>地方</v>
          </cell>
          <cell r="G44">
            <v>6134</v>
          </cell>
        </row>
        <row r="45">
          <cell r="A45">
            <v>5128020016</v>
          </cell>
          <cell r="B45">
            <v>51280200</v>
          </cell>
          <cell r="C45">
            <v>16</v>
          </cell>
          <cell r="D45" t="str">
            <v xml:space="preserve">屏東縣屏東市公所                         </v>
          </cell>
          <cell r="E45">
            <v>17</v>
          </cell>
          <cell r="F45" t="str">
            <v>地方</v>
          </cell>
          <cell r="G45">
            <v>495</v>
          </cell>
        </row>
        <row r="46">
          <cell r="A46">
            <v>5130010016</v>
          </cell>
          <cell r="B46">
            <v>51300100</v>
          </cell>
          <cell r="C46">
            <v>16</v>
          </cell>
          <cell r="D46" t="str">
            <v xml:space="preserve">宜蘭縣政府                               </v>
          </cell>
          <cell r="E46">
            <v>22</v>
          </cell>
          <cell r="F46" t="str">
            <v>地方</v>
          </cell>
          <cell r="G46">
            <v>1062</v>
          </cell>
        </row>
        <row r="47">
          <cell r="A47">
            <v>5140010016</v>
          </cell>
          <cell r="B47">
            <v>51400100</v>
          </cell>
          <cell r="C47">
            <v>16</v>
          </cell>
          <cell r="D47" t="str">
            <v xml:space="preserve">花蓮縣政府                               </v>
          </cell>
          <cell r="E47">
            <v>18</v>
          </cell>
          <cell r="F47" t="str">
            <v>地方</v>
          </cell>
          <cell r="G47">
            <v>19</v>
          </cell>
        </row>
        <row r="48">
          <cell r="A48">
            <v>5150010016</v>
          </cell>
          <cell r="B48">
            <v>51500100</v>
          </cell>
          <cell r="C48">
            <v>16</v>
          </cell>
          <cell r="D48" t="str">
            <v xml:space="preserve">臺東縣政府                               </v>
          </cell>
          <cell r="E48">
            <v>23</v>
          </cell>
          <cell r="F48" t="str">
            <v>地方</v>
          </cell>
          <cell r="G48">
            <v>27794</v>
          </cell>
        </row>
        <row r="49">
          <cell r="A49">
            <v>5158150016</v>
          </cell>
          <cell r="B49">
            <v>51581500</v>
          </cell>
          <cell r="C49">
            <v>16</v>
          </cell>
          <cell r="D49" t="str">
            <v xml:space="preserve">臺東縣太麻里鄉公所                       </v>
          </cell>
          <cell r="E49">
            <v>23</v>
          </cell>
          <cell r="F49" t="str">
            <v>地方</v>
          </cell>
          <cell r="G49">
            <v>1818</v>
          </cell>
        </row>
        <row r="50">
          <cell r="A50">
            <v>5160010016</v>
          </cell>
          <cell r="B50">
            <v>51600100</v>
          </cell>
          <cell r="C50">
            <v>16</v>
          </cell>
          <cell r="D50" t="str">
            <v xml:space="preserve">澎湖縣政府                               </v>
          </cell>
          <cell r="E50">
            <v>24</v>
          </cell>
          <cell r="F50" t="str">
            <v>地方</v>
          </cell>
          <cell r="G50">
            <v>75</v>
          </cell>
        </row>
        <row r="51">
          <cell r="A51">
            <v>5160040016</v>
          </cell>
          <cell r="B51">
            <v>51600400</v>
          </cell>
          <cell r="C51">
            <v>16</v>
          </cell>
          <cell r="D51" t="str">
            <v xml:space="preserve">澎湖縣政府警察局                         </v>
          </cell>
          <cell r="E51">
            <v>24</v>
          </cell>
          <cell r="F51" t="str">
            <v>地方</v>
          </cell>
          <cell r="G51">
            <v>2814</v>
          </cell>
        </row>
        <row r="52">
          <cell r="A52">
            <v>6010010016</v>
          </cell>
          <cell r="B52">
            <v>60100100</v>
          </cell>
          <cell r="C52">
            <v>16</v>
          </cell>
          <cell r="D52" t="str">
            <v xml:space="preserve">金門縣政府                               </v>
          </cell>
          <cell r="E52">
            <v>38</v>
          </cell>
          <cell r="F52" t="str">
            <v>地方</v>
          </cell>
          <cell r="G52">
            <v>185</v>
          </cell>
        </row>
        <row r="53">
          <cell r="A53">
            <v>6020010016</v>
          </cell>
          <cell r="B53">
            <v>60200100</v>
          </cell>
          <cell r="C53">
            <v>16</v>
          </cell>
          <cell r="D53" t="str">
            <v xml:space="preserve">福建省連江縣政府                         </v>
          </cell>
          <cell r="E53">
            <v>39</v>
          </cell>
          <cell r="F53" t="str">
            <v>地方</v>
          </cell>
          <cell r="G53">
            <v>525</v>
          </cell>
        </row>
        <row r="54">
          <cell r="G54">
            <v>754216</v>
          </cell>
        </row>
      </sheetData>
      <sheetData sheetId="2" refreshError="1"/>
      <sheetData sheetId="3">
        <row r="1">
          <cell r="A1" t="str">
            <v>支給機關代號+性質別</v>
          </cell>
          <cell r="B1" t="str">
            <v>支給機關代號</v>
          </cell>
          <cell r="C1" t="str">
            <v>性質別</v>
          </cell>
          <cell r="D1" t="str">
            <v>支給機關名稱</v>
          </cell>
          <cell r="E1" t="str">
            <v>主辦行</v>
          </cell>
          <cell r="F1" t="str">
            <v>地區別</v>
          </cell>
          <cell r="G1" t="str">
            <v>差額利息</v>
          </cell>
        </row>
        <row r="2">
          <cell r="A2">
            <v>2001000016</v>
          </cell>
          <cell r="B2">
            <v>20010000</v>
          </cell>
          <cell r="C2">
            <v>16</v>
          </cell>
          <cell r="D2" t="str">
            <v xml:space="preserve">臺北市政府                               </v>
          </cell>
          <cell r="E2">
            <v>3</v>
          </cell>
          <cell r="F2" t="str">
            <v>地方</v>
          </cell>
          <cell r="G2">
            <v>595434</v>
          </cell>
        </row>
        <row r="3">
          <cell r="A3">
            <v>2009000016</v>
          </cell>
          <cell r="B3">
            <v>20090000</v>
          </cell>
          <cell r="C3">
            <v>16</v>
          </cell>
          <cell r="D3" t="str">
            <v xml:space="preserve">臺北市政府教育局                         </v>
          </cell>
          <cell r="E3">
            <v>3</v>
          </cell>
          <cell r="F3" t="str">
            <v>地方</v>
          </cell>
          <cell r="G3">
            <v>1488070</v>
          </cell>
        </row>
        <row r="4">
          <cell r="A4">
            <v>4020010016</v>
          </cell>
          <cell r="B4">
            <v>40200100</v>
          </cell>
          <cell r="C4">
            <v>16</v>
          </cell>
          <cell r="D4" t="str">
            <v xml:space="preserve">臺中市政府                               </v>
          </cell>
          <cell r="E4">
            <v>10</v>
          </cell>
          <cell r="F4" t="str">
            <v>地方</v>
          </cell>
          <cell r="G4">
            <v>5341</v>
          </cell>
        </row>
        <row r="5">
          <cell r="A5">
            <v>4040010016</v>
          </cell>
          <cell r="B5">
            <v>40400100</v>
          </cell>
          <cell r="C5">
            <v>16</v>
          </cell>
          <cell r="D5" t="str">
            <v xml:space="preserve">高雄市政府                               </v>
          </cell>
          <cell r="E5">
            <v>11</v>
          </cell>
          <cell r="F5" t="str">
            <v>地方</v>
          </cell>
          <cell r="G5">
            <v>1704</v>
          </cell>
        </row>
        <row r="6">
          <cell r="A6">
            <v>4040030416</v>
          </cell>
          <cell r="B6">
            <v>40400304</v>
          </cell>
          <cell r="C6">
            <v>16</v>
          </cell>
          <cell r="D6" t="str">
            <v xml:space="preserve">高雄市政府教育局                         </v>
          </cell>
          <cell r="E6">
            <v>11</v>
          </cell>
          <cell r="F6" t="str">
            <v>地方</v>
          </cell>
          <cell r="G6">
            <v>288665</v>
          </cell>
        </row>
        <row r="7">
          <cell r="A7">
            <v>5010010016</v>
          </cell>
          <cell r="B7">
            <v>50100100</v>
          </cell>
          <cell r="C7">
            <v>16</v>
          </cell>
          <cell r="D7" t="str">
            <v xml:space="preserve">新北市政府                               </v>
          </cell>
          <cell r="E7">
            <v>27</v>
          </cell>
          <cell r="F7" t="str">
            <v>地方</v>
          </cell>
          <cell r="G7">
            <v>564</v>
          </cell>
        </row>
        <row r="8">
          <cell r="A8">
            <v>5020010016</v>
          </cell>
          <cell r="B8">
            <v>50200100</v>
          </cell>
          <cell r="C8">
            <v>16</v>
          </cell>
          <cell r="D8" t="str">
            <v xml:space="preserve">桃園縣政府                               </v>
          </cell>
          <cell r="E8">
            <v>26</v>
          </cell>
          <cell r="F8" t="str">
            <v>地方</v>
          </cell>
          <cell r="G8">
            <v>5008</v>
          </cell>
        </row>
        <row r="9">
          <cell r="A9">
            <v>5070010016</v>
          </cell>
          <cell r="B9">
            <v>50700100</v>
          </cell>
          <cell r="C9">
            <v>16</v>
          </cell>
          <cell r="D9" t="str">
            <v xml:space="preserve">南投縣政府                               </v>
          </cell>
          <cell r="E9">
            <v>32</v>
          </cell>
          <cell r="F9" t="str">
            <v>地方</v>
          </cell>
          <cell r="G9">
            <v>26</v>
          </cell>
        </row>
        <row r="10">
          <cell r="A10">
            <v>5110010016</v>
          </cell>
          <cell r="B10">
            <v>51100100</v>
          </cell>
          <cell r="C10">
            <v>16</v>
          </cell>
          <cell r="D10" t="str">
            <v xml:space="preserve">高雄市政府  (  原高雄縣政府  )           </v>
          </cell>
          <cell r="E10">
            <v>11</v>
          </cell>
          <cell r="F10" t="str">
            <v>地方</v>
          </cell>
          <cell r="G10">
            <v>621593</v>
          </cell>
        </row>
        <row r="11">
          <cell r="G11">
            <v>3006405</v>
          </cell>
        </row>
      </sheetData>
      <sheetData sheetId="4" refreshError="1"/>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人事費(2)"/>
      <sheetName val="約聘(1)"/>
      <sheetName val="員額 (1)"/>
      <sheetName val="員額(2)"/>
      <sheetName val="車輛"/>
      <sheetName val="房舍"/>
      <sheetName val="轉帳"/>
      <sheetName val="出國-總"/>
      <sheetName val="出國-考察"/>
      <sheetName val="出國-開會"/>
      <sheetName val="出國-進修"/>
      <sheetName val="出國刪減"/>
      <sheetName val="職能"/>
      <sheetName val="職能 (2)"/>
      <sheetName val="移轉性支付預算表"/>
      <sheetName val="員額_2_"/>
      <sheetName val="員工人數及給與計算表old"/>
      <sheetName val="員額_(1)"/>
      <sheetName val="職能_(2)"/>
      <sheetName val="員額_(1)1"/>
      <sheetName val="職能_(2)1"/>
      <sheetName val="員額_(1)3"/>
      <sheetName val="職能_(2)3"/>
      <sheetName val="員額_(1)2"/>
      <sheetName val="職能_(2)2"/>
      <sheetName val="員額_(1)4"/>
      <sheetName val="職能_(2)4"/>
      <sheetName val="員額_(1)5"/>
      <sheetName val="職能_(2)5"/>
      <sheetName val="員額_(1)6"/>
      <sheetName val="職能_(2)6"/>
      <sheetName val="員額_(1)7"/>
      <sheetName val="職能_(2)7"/>
      <sheetName val="員額_(1)8"/>
      <sheetName val="職能_(2)8"/>
      <sheetName val="員額_(1)9"/>
      <sheetName val="職能_(2)9"/>
      <sheetName val="員額_(1)10"/>
      <sheetName val="職能_(2)10"/>
      <sheetName val="員額_(1)11"/>
      <sheetName val="職能_(2)11"/>
      <sheetName val="員額_(1)12"/>
      <sheetName val="職能_(2)12"/>
      <sheetName val="員額_(1)13"/>
      <sheetName val="職能_(2)13"/>
      <sheetName val="員額_(1)14"/>
      <sheetName val="職能_(2)14"/>
      <sheetName val="員額_(1)15"/>
      <sheetName val="職能_(2)15"/>
      <sheetName val="員額_(1)16"/>
      <sheetName val="職能_(2)16"/>
      <sheetName val="員額_(1)20"/>
      <sheetName val="職能_(2)20"/>
      <sheetName val="員額_(1)17"/>
      <sheetName val="職能_(2)17"/>
      <sheetName val="員額_(1)18"/>
      <sheetName val="職能_(2)18"/>
      <sheetName val="員額_(1)19"/>
      <sheetName val="職能_(2)19"/>
      <sheetName val="員額_(1)21"/>
      <sheetName val="職能_(2)21"/>
      <sheetName val="員額_(1)22"/>
      <sheetName val="職能_(2)22"/>
      <sheetName val="員額_(1)23"/>
      <sheetName val="職能_(2)23"/>
      <sheetName val="員額_(1)29"/>
      <sheetName val="職能_(2)29"/>
      <sheetName val="員額_(1)24"/>
      <sheetName val="職能_(2)24"/>
      <sheetName val="員額_(1)25"/>
      <sheetName val="職能_(2)25"/>
      <sheetName val="員額_(1)26"/>
      <sheetName val="職能_(2)26"/>
      <sheetName val="員額_(1)28"/>
      <sheetName val="職能_(2)28"/>
      <sheetName val="員額_(1)27"/>
      <sheetName val="職能_(2)27"/>
    </sheetNames>
    <sheetDataSet>
      <sheetData sheetId="0" refreshError="1"/>
      <sheetData sheetId="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十來源政事(美珍+湘羚)-未完成"/>
      <sheetName val="11來源(湘羚)-未完成"/>
      <sheetName val="107退回重編說明"/>
      <sheetName val="22-2簽院表ok"/>
      <sheetName val="總說明(舊)-千元版"/>
      <sheetName val="總說明-新-億元-致委員"/>
      <sheetName val="總說明-重大增減變動"/>
      <sheetName val="來源別-簡明對照表"/>
      <sheetName val="機關別-千元版"/>
      <sheetName val="行政院主管"/>
      <sheetName val="彙總"/>
      <sheetName val="總統府主管"/>
      <sheetName val="行政院"/>
      <sheetName val="主計總處主管"/>
      <sheetName val="人事總處及所屬"/>
      <sheetName val="故宮主管"/>
      <sheetName val="國發會主管"/>
      <sheetName val="原民會主管"/>
      <sheetName val="客委會主管"/>
      <sheetName val="中選會"/>
      <sheetName val="公平會主管"/>
      <sheetName val="通傳會"/>
      <sheetName val="陸委會"/>
      <sheetName val="飛安主管"/>
      <sheetName val="不當黨產會"/>
      <sheetName val="工程會"/>
      <sheetName val="立法院主管"/>
      <sheetName val="司法院主管"/>
      <sheetName val="考試院主管"/>
      <sheetName val="監察院主管"/>
      <sheetName val="內政部主管"/>
      <sheetName val="外交部主管"/>
      <sheetName val="國防部主管"/>
      <sheetName val="財政部主管"/>
      <sheetName val="教育部主管"/>
      <sheetName val="法務部主管"/>
      <sheetName val="經濟部主管"/>
      <sheetName val="交通部主管"/>
      <sheetName val="勞動部主管"/>
      <sheetName val="蒙藏委員會主管"/>
      <sheetName val="僑委會主管"/>
      <sheetName val="原能會主管"/>
      <sheetName val="農委會主管"/>
      <sheetName val="衛福部主管"/>
      <sheetName val="環保署主管"/>
      <sheetName val="文化部主管"/>
      <sheetName val="海巡署主管"/>
      <sheetName val="科技部主管"/>
      <sheetName val="金管會主管"/>
      <sheetName val="退輔會主管"/>
      <sheetName val="臺灣省政府"/>
      <sheetName val="臺灣省諮議會主管"/>
      <sheetName val="補助直轄市及縣市政府"/>
      <sheetName val="福建主管"/>
    </sheetNames>
    <sheetDataSet>
      <sheetData sheetId="0"/>
      <sheetData sheetId="1"/>
      <sheetData sheetId="2"/>
      <sheetData sheetId="3"/>
      <sheetData sheetId="4"/>
      <sheetData sheetId="5" refreshError="1">
        <row r="5">
          <cell r="B5">
            <v>1919175003.613837</v>
          </cell>
          <cell r="D5">
            <v>1841451404</v>
          </cell>
        </row>
        <row r="6">
          <cell r="D6">
            <v>1469310000</v>
          </cell>
        </row>
        <row r="13">
          <cell r="D13">
            <v>224406799</v>
          </cell>
        </row>
        <row r="14">
          <cell r="D14">
            <v>98978836</v>
          </cell>
        </row>
        <row r="17">
          <cell r="D17">
            <v>37340385</v>
          </cell>
        </row>
        <row r="18">
          <cell r="D18">
            <v>11415384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10-00000-原預算書表編輯-歲入來源別預算比較總表_2"/>
    </sheetNames>
    <sheetDataSet>
      <sheetData sheetId="0">
        <row r="6">
          <cell r="D6" t="str">
            <v>合         計</v>
          </cell>
          <cell r="E6">
            <v>2053366366</v>
          </cell>
          <cell r="F6">
            <v>2107027829</v>
          </cell>
        </row>
        <row r="7">
          <cell r="D7" t="str">
            <v>(1.稅課收入)</v>
          </cell>
          <cell r="E7">
            <v>1678542000</v>
          </cell>
          <cell r="F7">
            <v>1679592000</v>
          </cell>
        </row>
        <row r="8">
          <cell r="D8" t="str">
            <v>稅課收入</v>
          </cell>
          <cell r="E8">
            <v>1678542000</v>
          </cell>
          <cell r="F8">
            <v>1679592000</v>
          </cell>
        </row>
        <row r="9">
          <cell r="D9" t="str">
            <v>所得稅</v>
          </cell>
          <cell r="E9">
            <v>974944000</v>
          </cell>
          <cell r="F9">
            <v>997514000</v>
          </cell>
        </row>
        <row r="10">
          <cell r="D10" t="str">
            <v>遺產及贈與稅</v>
          </cell>
          <cell r="E10">
            <v>13537000</v>
          </cell>
          <cell r="F10">
            <v>13491000</v>
          </cell>
        </row>
        <row r="11">
          <cell r="D11" t="str">
            <v>關稅</v>
          </cell>
          <cell r="E11">
            <v>120764000</v>
          </cell>
          <cell r="F11">
            <v>119741000</v>
          </cell>
        </row>
        <row r="12">
          <cell r="D12" t="str">
            <v>貨物稅</v>
          </cell>
          <cell r="E12">
            <v>160637000</v>
          </cell>
          <cell r="F12">
            <v>160500000</v>
          </cell>
        </row>
        <row r="13">
          <cell r="D13" t="str">
            <v>證券交易稅</v>
          </cell>
          <cell r="E13">
            <v>119995000</v>
          </cell>
          <cell r="F13">
            <v>106475000</v>
          </cell>
        </row>
        <row r="14">
          <cell r="D14" t="str">
            <v>期貨交易稅</v>
          </cell>
          <cell r="E14">
            <v>5145000</v>
          </cell>
          <cell r="F14">
            <v>5145000</v>
          </cell>
        </row>
        <row r="15">
          <cell r="D15" t="str">
            <v>菸酒稅</v>
          </cell>
          <cell r="E15">
            <v>33080000</v>
          </cell>
          <cell r="F15">
            <v>33080000</v>
          </cell>
        </row>
        <row r="16">
          <cell r="D16" t="str">
            <v>特種貨物及勞務稅</v>
          </cell>
          <cell r="E16">
            <v>2508000</v>
          </cell>
          <cell r="F16">
            <v>2174000</v>
          </cell>
        </row>
        <row r="17">
          <cell r="D17" t="str">
            <v>營業稅</v>
          </cell>
          <cell r="E17">
            <v>247932000</v>
          </cell>
          <cell r="F17">
            <v>241472000</v>
          </cell>
        </row>
        <row r="18">
          <cell r="D18" t="str">
            <v>(3.規費及罰款收入)</v>
          </cell>
          <cell r="E18">
            <v>79002866</v>
          </cell>
          <cell r="F18">
            <v>123209133</v>
          </cell>
        </row>
        <row r="19">
          <cell r="D19" t="str">
            <v>罰款及賠償收入</v>
          </cell>
          <cell r="E19">
            <v>21071052</v>
          </cell>
          <cell r="F19">
            <v>20707399</v>
          </cell>
        </row>
        <row r="20">
          <cell r="D20" t="str">
            <v>罰金罰鍰及怠金</v>
          </cell>
          <cell r="E20">
            <v>16942499</v>
          </cell>
          <cell r="F20">
            <v>17007939</v>
          </cell>
        </row>
        <row r="21">
          <cell r="D21" t="str">
            <v>沒入及沒收財物</v>
          </cell>
          <cell r="E21">
            <v>2920059</v>
          </cell>
          <cell r="F21">
            <v>2592464</v>
          </cell>
        </row>
        <row r="22">
          <cell r="D22" t="str">
            <v>賠償收入</v>
          </cell>
          <cell r="E22">
            <v>1208494</v>
          </cell>
          <cell r="F22">
            <v>1106996</v>
          </cell>
        </row>
        <row r="23">
          <cell r="D23" t="str">
            <v>規費收入</v>
          </cell>
          <cell r="E23">
            <v>57931814</v>
          </cell>
          <cell r="F23">
            <v>102501734</v>
          </cell>
        </row>
        <row r="24">
          <cell r="D24" t="str">
            <v>行政規費收入</v>
          </cell>
          <cell r="E24">
            <v>19749317</v>
          </cell>
          <cell r="F24">
            <v>64394236</v>
          </cell>
        </row>
        <row r="25">
          <cell r="D25" t="str">
            <v>司法規費收入</v>
          </cell>
          <cell r="E25">
            <v>6144056</v>
          </cell>
          <cell r="F25">
            <v>6053006</v>
          </cell>
        </row>
        <row r="26">
          <cell r="D26" t="str">
            <v>使用規費收入</v>
          </cell>
          <cell r="E26">
            <v>32038441</v>
          </cell>
          <cell r="F26">
            <v>32054492</v>
          </cell>
        </row>
        <row r="27">
          <cell r="D27" t="str">
            <v>(4.財產收入)</v>
          </cell>
          <cell r="E27">
            <v>32159855</v>
          </cell>
          <cell r="F27">
            <v>48017875</v>
          </cell>
        </row>
        <row r="28">
          <cell r="D28" t="str">
            <v>財產收入</v>
          </cell>
          <cell r="E28">
            <v>32159855</v>
          </cell>
          <cell r="F28">
            <v>48017875</v>
          </cell>
        </row>
        <row r="29">
          <cell r="D29" t="str">
            <v>財產孳息</v>
          </cell>
          <cell r="E29">
            <v>9158143</v>
          </cell>
          <cell r="F29">
            <v>9784179</v>
          </cell>
        </row>
        <row r="30">
          <cell r="D30" t="str">
            <v>財產售價</v>
          </cell>
          <cell r="E30">
            <v>19476778</v>
          </cell>
          <cell r="F30">
            <v>9973235</v>
          </cell>
        </row>
        <row r="31">
          <cell r="D31" t="str">
            <v>財產作價</v>
          </cell>
          <cell r="E31">
            <v>3096460</v>
          </cell>
          <cell r="F31">
            <v>4896980</v>
          </cell>
        </row>
        <row r="32">
          <cell r="D32" t="str">
            <v>投資收回</v>
          </cell>
          <cell r="E32">
            <v>0</v>
          </cell>
          <cell r="F32">
            <v>22901142</v>
          </cell>
        </row>
        <row r="33">
          <cell r="D33" t="str">
            <v>廢舊物資售價</v>
          </cell>
          <cell r="E33">
            <v>428474</v>
          </cell>
          <cell r="F33">
            <v>462339</v>
          </cell>
        </row>
        <row r="34">
          <cell r="D34" t="str">
            <v>(2.營業盈餘及事業收入)</v>
          </cell>
          <cell r="E34">
            <v>241593740</v>
          </cell>
          <cell r="F34">
            <v>244253149</v>
          </cell>
        </row>
        <row r="35">
          <cell r="D35" t="str">
            <v>營業盈餘及事業收入</v>
          </cell>
          <cell r="E35">
            <v>241593740</v>
          </cell>
          <cell r="F35">
            <v>244253149</v>
          </cell>
        </row>
        <row r="36">
          <cell r="D36" t="str">
            <v>營業基金盈餘繳庫</v>
          </cell>
          <cell r="E36">
            <v>193772397</v>
          </cell>
          <cell r="F36">
            <v>204374350</v>
          </cell>
        </row>
        <row r="37">
          <cell r="D37" t="str">
            <v>非營業特種基金賸餘繳庫</v>
          </cell>
          <cell r="E37">
            <v>25783489</v>
          </cell>
          <cell r="F37">
            <v>17357114</v>
          </cell>
        </row>
        <row r="38">
          <cell r="D38" t="str">
            <v>投資收益</v>
          </cell>
          <cell r="E38">
            <v>22037854</v>
          </cell>
          <cell r="F38">
            <v>22521685</v>
          </cell>
        </row>
        <row r="39">
          <cell r="D39" t="str">
            <v>(5.其他收入)</v>
          </cell>
          <cell r="E39">
            <v>22067905</v>
          </cell>
          <cell r="F39">
            <v>11955672</v>
          </cell>
        </row>
        <row r="40">
          <cell r="D40" t="str">
            <v>捐獻及贈與收入</v>
          </cell>
          <cell r="E40" t="str">
            <v>-</v>
          </cell>
          <cell r="F40" t="str">
            <v>-</v>
          </cell>
        </row>
        <row r="41">
          <cell r="D41" t="str">
            <v>捐獻收入</v>
          </cell>
          <cell r="E41" t="str">
            <v>-</v>
          </cell>
          <cell r="F41" t="str">
            <v>-</v>
          </cell>
        </row>
        <row r="42">
          <cell r="D42" t="str">
            <v>其他收入</v>
          </cell>
          <cell r="E42">
            <v>22067905</v>
          </cell>
          <cell r="F42">
            <v>11955672</v>
          </cell>
        </row>
        <row r="43">
          <cell r="D43" t="str">
            <v>學雜費收入</v>
          </cell>
          <cell r="E43">
            <v>62742</v>
          </cell>
          <cell r="F43">
            <v>62604</v>
          </cell>
        </row>
        <row r="44">
          <cell r="D44" t="str">
            <v>雜項收入</v>
          </cell>
          <cell r="E44">
            <v>22005163</v>
          </cell>
          <cell r="F44">
            <v>11893068</v>
          </cell>
        </row>
      </sheetData>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一(經資門)"/>
      <sheetName val="核列比較"/>
      <sheetName val="106及107政事別"/>
      <sheetName val="政事比較說明"/>
      <sheetName val="14機關別-增減說明"/>
      <sheetName val="核對用-107各部會法定調查表"/>
    </sheetNames>
    <sheetDataSet>
      <sheetData sheetId="0" refreshError="1"/>
      <sheetData sheetId="1" refreshError="1"/>
      <sheetData sheetId="2" refreshError="1">
        <row r="5">
          <cell r="B5">
            <v>1973995947</v>
          </cell>
          <cell r="C5">
            <v>179704044</v>
          </cell>
          <cell r="D5">
            <v>307871518</v>
          </cell>
          <cell r="E5">
            <v>409351559</v>
          </cell>
          <cell r="F5">
            <v>259498043</v>
          </cell>
          <cell r="G5">
            <v>476613726</v>
          </cell>
          <cell r="H5">
            <v>17156817</v>
          </cell>
          <cell r="I5">
            <v>139839129</v>
          </cell>
          <cell r="J5">
            <v>112155738</v>
          </cell>
          <cell r="K5">
            <v>71805373</v>
          </cell>
        </row>
      </sheetData>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07-原預算書表編輯-歲出政事別預算比較總表_2018020"/>
    </sheetNames>
    <sheetDataSet>
      <sheetData sheetId="0" refreshError="1">
        <row r="6">
          <cell r="B6" t="str">
            <v>合   計</v>
          </cell>
          <cell r="C6">
            <v>1966862309</v>
          </cell>
          <cell r="D6">
            <v>1973995947</v>
          </cell>
        </row>
        <row r="7">
          <cell r="B7" t="str">
            <v>(1.一般政務支出)</v>
          </cell>
          <cell r="C7">
            <v>188370601</v>
          </cell>
          <cell r="D7">
            <v>179704044</v>
          </cell>
        </row>
        <row r="8">
          <cell r="B8" t="str">
            <v>國務支出</v>
          </cell>
          <cell r="C8">
            <v>1138815</v>
          </cell>
          <cell r="D8">
            <v>1153226</v>
          </cell>
        </row>
        <row r="9">
          <cell r="B9" t="str">
            <v>行政支出</v>
          </cell>
          <cell r="C9">
            <v>5248311</v>
          </cell>
          <cell r="D9">
            <v>5384735</v>
          </cell>
        </row>
        <row r="10">
          <cell r="B10" t="str">
            <v>立法支出</v>
          </cell>
          <cell r="C10">
            <v>3549918</v>
          </cell>
          <cell r="D10">
            <v>3462643</v>
          </cell>
        </row>
        <row r="11">
          <cell r="B11" t="str">
            <v>司法支出</v>
          </cell>
          <cell r="C11">
            <v>52917323</v>
          </cell>
          <cell r="D11">
            <v>51083533</v>
          </cell>
        </row>
        <row r="12">
          <cell r="B12" t="str">
            <v>考試支出</v>
          </cell>
          <cell r="C12">
            <v>1586125</v>
          </cell>
          <cell r="D12">
            <v>1569929</v>
          </cell>
        </row>
        <row r="13">
          <cell r="B13" t="str">
            <v>監察支出</v>
          </cell>
          <cell r="C13">
            <v>2170027</v>
          </cell>
          <cell r="D13">
            <v>2142315</v>
          </cell>
        </row>
        <row r="14">
          <cell r="B14" t="str">
            <v>民政支出</v>
          </cell>
          <cell r="C14">
            <v>36849089</v>
          </cell>
          <cell r="D14">
            <v>35754664</v>
          </cell>
        </row>
        <row r="15">
          <cell r="B15" t="str">
            <v>警政支出</v>
          </cell>
          <cell r="C15">
            <v>23055957</v>
          </cell>
          <cell r="D15">
            <v>21192006</v>
          </cell>
        </row>
        <row r="16">
          <cell r="B16" t="str">
            <v>外交支出</v>
          </cell>
          <cell r="C16">
            <v>26338900</v>
          </cell>
          <cell r="D16">
            <v>24327123</v>
          </cell>
        </row>
        <row r="17">
          <cell r="B17" t="str">
            <v>財務支出</v>
          </cell>
          <cell r="C17">
            <v>33960819</v>
          </cell>
          <cell r="D17">
            <v>32316620</v>
          </cell>
        </row>
        <row r="18">
          <cell r="B18" t="str">
            <v>僑務支出</v>
          </cell>
          <cell r="C18">
            <v>1555317</v>
          </cell>
          <cell r="D18">
            <v>1317250</v>
          </cell>
        </row>
        <row r="19">
          <cell r="B19" t="str">
            <v>(2.國防支出)</v>
          </cell>
          <cell r="C19">
            <v>315921458</v>
          </cell>
          <cell r="D19">
            <v>307871518</v>
          </cell>
        </row>
        <row r="20">
          <cell r="B20" t="str">
            <v>國防支出</v>
          </cell>
          <cell r="C20">
            <v>315921458</v>
          </cell>
          <cell r="D20">
            <v>307871518</v>
          </cell>
        </row>
        <row r="21">
          <cell r="B21" t="str">
            <v>(3.教育科學文化支出)</v>
          </cell>
          <cell r="C21">
            <v>395391062</v>
          </cell>
          <cell r="D21">
            <v>409351559</v>
          </cell>
        </row>
        <row r="22">
          <cell r="B22" t="str">
            <v>教育支出</v>
          </cell>
          <cell r="C22">
            <v>268709767</v>
          </cell>
          <cell r="D22">
            <v>264847258</v>
          </cell>
        </row>
        <row r="23">
          <cell r="B23" t="str">
            <v>科學支出</v>
          </cell>
          <cell r="C23">
            <v>100960620</v>
          </cell>
          <cell r="D23">
            <v>113409024</v>
          </cell>
        </row>
        <row r="24">
          <cell r="B24" t="str">
            <v>文化支出</v>
          </cell>
          <cell r="C24">
            <v>25720675</v>
          </cell>
          <cell r="D24">
            <v>31095277</v>
          </cell>
        </row>
        <row r="25">
          <cell r="B25" t="str">
            <v>(4.經濟發展支出)</v>
          </cell>
          <cell r="C25">
            <v>235203666</v>
          </cell>
          <cell r="D25">
            <v>259498043</v>
          </cell>
        </row>
        <row r="26">
          <cell r="B26" t="str">
            <v>農業支出</v>
          </cell>
          <cell r="C26">
            <v>92418704</v>
          </cell>
          <cell r="D26">
            <v>82186444</v>
          </cell>
        </row>
        <row r="27">
          <cell r="B27" t="str">
            <v>工業支出</v>
          </cell>
          <cell r="C27">
            <v>6540524</v>
          </cell>
          <cell r="D27">
            <v>5850494</v>
          </cell>
        </row>
        <row r="28">
          <cell r="B28" t="str">
            <v>交通支出</v>
          </cell>
          <cell r="C28">
            <v>83260628</v>
          </cell>
          <cell r="D28">
            <v>116059958</v>
          </cell>
        </row>
        <row r="29">
          <cell r="B29" t="str">
            <v>其他經濟服務支出</v>
          </cell>
          <cell r="C29">
            <v>52983810</v>
          </cell>
          <cell r="D29">
            <v>55401147</v>
          </cell>
        </row>
        <row r="30">
          <cell r="B30" t="str">
            <v>(5.社會福利支出)</v>
          </cell>
          <cell r="C30">
            <v>490681452</v>
          </cell>
          <cell r="D30">
            <v>476613726</v>
          </cell>
        </row>
        <row r="31">
          <cell r="B31" t="str">
            <v>社會保險支出</v>
          </cell>
          <cell r="C31">
            <v>352456041</v>
          </cell>
          <cell r="D31">
            <v>326587418</v>
          </cell>
        </row>
        <row r="32">
          <cell r="B32" t="str">
            <v>社會救助支出</v>
          </cell>
          <cell r="C32">
            <v>6464600</v>
          </cell>
          <cell r="D32">
            <v>6430947</v>
          </cell>
        </row>
        <row r="33">
          <cell r="B33" t="str">
            <v>福利服務支出</v>
          </cell>
          <cell r="C33">
            <v>112273602</v>
          </cell>
          <cell r="D33">
            <v>121146100</v>
          </cell>
        </row>
        <row r="34">
          <cell r="B34" t="str">
            <v>國民就業支出</v>
          </cell>
          <cell r="C34">
            <v>1722148</v>
          </cell>
          <cell r="D34">
            <v>1795336</v>
          </cell>
        </row>
        <row r="35">
          <cell r="B35" t="str">
            <v>醫療保健支出</v>
          </cell>
          <cell r="C35">
            <v>17765061</v>
          </cell>
          <cell r="D35">
            <v>20653925</v>
          </cell>
        </row>
        <row r="36">
          <cell r="B36" t="str">
            <v>(6.社區發展及環境保護支出)</v>
          </cell>
          <cell r="C36">
            <v>18346122</v>
          </cell>
          <cell r="D36">
            <v>17156817</v>
          </cell>
        </row>
        <row r="37">
          <cell r="B37" t="str">
            <v>環境保護支出</v>
          </cell>
          <cell r="C37">
            <v>18346122</v>
          </cell>
          <cell r="D37">
            <v>17156817</v>
          </cell>
        </row>
        <row r="38">
          <cell r="B38" t="str">
            <v>(7.退休撫卹支出)</v>
          </cell>
          <cell r="C38">
            <v>140437968</v>
          </cell>
          <cell r="D38">
            <v>139839129</v>
          </cell>
        </row>
        <row r="39">
          <cell r="B39" t="str">
            <v>退休撫卹給付支出</v>
          </cell>
          <cell r="C39">
            <v>140197138</v>
          </cell>
          <cell r="D39">
            <v>139631860</v>
          </cell>
        </row>
        <row r="40">
          <cell r="B40" t="str">
            <v>退休撫卹業務支出</v>
          </cell>
          <cell r="C40">
            <v>240830</v>
          </cell>
          <cell r="D40">
            <v>207269</v>
          </cell>
        </row>
        <row r="41">
          <cell r="B41" t="str">
            <v>(8.債務支出)</v>
          </cell>
          <cell r="C41">
            <v>115111817</v>
          </cell>
          <cell r="D41">
            <v>112155738</v>
          </cell>
        </row>
        <row r="42">
          <cell r="B42" t="str">
            <v>債務付息支出</v>
          </cell>
          <cell r="C42">
            <v>114704165</v>
          </cell>
          <cell r="D42">
            <v>111748086</v>
          </cell>
        </row>
        <row r="43">
          <cell r="B43" t="str">
            <v>還本付息事務支出</v>
          </cell>
          <cell r="C43">
            <v>407652</v>
          </cell>
          <cell r="D43">
            <v>407652</v>
          </cell>
        </row>
        <row r="44">
          <cell r="B44" t="str">
            <v>(9.補助及其他支出)</v>
          </cell>
          <cell r="C44">
            <v>67398163</v>
          </cell>
          <cell r="D44">
            <v>71805373</v>
          </cell>
        </row>
        <row r="45">
          <cell r="B45" t="str">
            <v>專案補助支出</v>
          </cell>
          <cell r="C45">
            <v>31523771</v>
          </cell>
          <cell r="D45">
            <v>34910003</v>
          </cell>
        </row>
        <row r="46">
          <cell r="B46" t="str">
            <v>平衡預算補助支出</v>
          </cell>
          <cell r="C46">
            <v>23500000</v>
          </cell>
          <cell r="D46">
            <v>24405280</v>
          </cell>
        </row>
        <row r="47">
          <cell r="B47" t="str">
            <v>其他支出</v>
          </cell>
          <cell r="C47">
            <v>4974392</v>
          </cell>
          <cell r="D47">
            <v>5090090</v>
          </cell>
        </row>
        <row r="48">
          <cell r="B48" t="str">
            <v>第二預備金</v>
          </cell>
          <cell r="C48">
            <v>7400000</v>
          </cell>
          <cell r="D48">
            <v>7400000</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7前瞻部會別(法)"/>
      <sheetName val="107前瞻計畫別(法)"/>
      <sheetName val="106前瞻部會別(法)"/>
      <sheetName val="106前瞻計畫別(法)"/>
      <sheetName val="106-107前瞻部會別(法) "/>
      <sheetName val="106-107前瞻計畫別(法) "/>
    </sheetNames>
    <sheetDataSet>
      <sheetData sheetId="0"/>
      <sheetData sheetId="1"/>
      <sheetData sheetId="2"/>
      <sheetData sheetId="3">
        <row r="5">
          <cell r="H5">
            <v>4381020</v>
          </cell>
          <cell r="K5">
            <v>1997274.67</v>
          </cell>
          <cell r="S5">
            <v>2263635.34</v>
          </cell>
          <cell r="AI5">
            <v>120110</v>
          </cell>
        </row>
        <row r="113">
          <cell r="H113">
            <v>200350</v>
          </cell>
        </row>
        <row r="114">
          <cell r="H114">
            <v>0</v>
          </cell>
        </row>
        <row r="115">
          <cell r="H115">
            <v>1259970</v>
          </cell>
        </row>
        <row r="116">
          <cell r="H116">
            <v>2303200</v>
          </cell>
        </row>
        <row r="117">
          <cell r="H117">
            <v>548500</v>
          </cell>
        </row>
        <row r="118">
          <cell r="H118">
            <v>69000</v>
          </cell>
        </row>
      </sheetData>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
      <sheetName val="總 (直轄市+山地原住民區)"/>
      <sheetName val="總 (縣市+鄉鎮市)"/>
      <sheetName val="總 (直轄市)"/>
      <sheetName val="總 (縣市)"/>
      <sheetName val="總 (臺灣省)"/>
      <sheetName val="總 (福建省)"/>
      <sheetName val="臺北市"/>
      <sheetName val="新北市"/>
      <sheetName val="桃園市"/>
      <sheetName val="臺中市"/>
      <sheetName val="臺南市"/>
      <sheetName val="高雄市"/>
      <sheetName val="宜縣"/>
      <sheetName val="竹縣"/>
      <sheetName val="苗縣"/>
      <sheetName val="彰縣"/>
      <sheetName val="投縣"/>
      <sheetName val="雲縣"/>
      <sheetName val="嘉縣"/>
      <sheetName val="屏縣"/>
      <sheetName val="東縣"/>
      <sheetName val="花縣"/>
      <sheetName val="澎縣"/>
      <sheetName val="基市"/>
      <sheetName val="竹市"/>
      <sheetName val="嘉市"/>
      <sheetName val="金縣"/>
      <sheetName val="連縣"/>
    </sheetNames>
    <sheetDataSet>
      <sheetData sheetId="0"/>
      <sheetData sheetId="1">
        <row r="6">
          <cell r="J6">
            <v>733974252</v>
          </cell>
        </row>
        <row r="7">
          <cell r="S7">
            <v>451744769</v>
          </cell>
        </row>
        <row r="8">
          <cell r="S8">
            <v>23286927</v>
          </cell>
        </row>
        <row r="9">
          <cell r="S9">
            <v>41611182</v>
          </cell>
        </row>
        <row r="10">
          <cell r="S10">
            <v>15512455</v>
          </cell>
        </row>
        <row r="11">
          <cell r="S11">
            <v>156322626</v>
          </cell>
        </row>
        <row r="14">
          <cell r="S14">
            <v>23227376</v>
          </cell>
        </row>
        <row r="16">
          <cell r="S16">
            <v>104969581</v>
          </cell>
        </row>
        <row r="17">
          <cell r="S17">
            <v>283782548</v>
          </cell>
        </row>
        <row r="18">
          <cell r="S18">
            <v>141459446</v>
          </cell>
        </row>
        <row r="19">
          <cell r="S19">
            <v>119044306</v>
          </cell>
        </row>
        <row r="20">
          <cell r="S20">
            <v>57007528</v>
          </cell>
        </row>
        <row r="21">
          <cell r="S21">
            <v>23332033</v>
          </cell>
        </row>
        <row r="22">
          <cell r="S22">
            <v>31063367</v>
          </cell>
        </row>
        <row r="23">
          <cell r="S23">
            <v>6168436</v>
          </cell>
        </row>
        <row r="24">
          <cell r="S24">
            <v>15693012</v>
          </cell>
        </row>
        <row r="28">
          <cell r="S28">
            <v>-70814922</v>
          </cell>
        </row>
      </sheetData>
      <sheetData sheetId="2">
        <row r="6">
          <cell r="J6">
            <v>377794731</v>
          </cell>
        </row>
        <row r="7">
          <cell r="S7">
            <v>169383714</v>
          </cell>
        </row>
        <row r="8">
          <cell r="S8">
            <v>3523214</v>
          </cell>
        </row>
        <row r="9">
          <cell r="S9">
            <v>10338707</v>
          </cell>
        </row>
        <row r="10">
          <cell r="S10">
            <v>7948579</v>
          </cell>
        </row>
        <row r="11">
          <cell r="S11">
            <v>181472110</v>
          </cell>
        </row>
        <row r="14">
          <cell r="S14">
            <v>15497861</v>
          </cell>
        </row>
        <row r="16">
          <cell r="S16">
            <v>71050116</v>
          </cell>
        </row>
        <row r="17">
          <cell r="S17">
            <v>113323426</v>
          </cell>
        </row>
        <row r="18">
          <cell r="S18">
            <v>82746140</v>
          </cell>
        </row>
        <row r="19">
          <cell r="S19">
            <v>49413434</v>
          </cell>
        </row>
        <row r="20">
          <cell r="S20">
            <v>20963581</v>
          </cell>
        </row>
        <row r="21">
          <cell r="S21">
            <v>41759912</v>
          </cell>
        </row>
        <row r="22">
          <cell r="S22">
            <v>15150177</v>
          </cell>
        </row>
        <row r="23">
          <cell r="S23">
            <v>3710772</v>
          </cell>
        </row>
        <row r="24">
          <cell r="S24">
            <v>10796576</v>
          </cell>
        </row>
        <row r="28">
          <cell r="S28">
            <v>-20749949</v>
          </cell>
        </row>
      </sheetData>
      <sheetData sheetId="3">
        <row r="6">
          <cell r="J6">
            <v>732113357</v>
          </cell>
        </row>
      </sheetData>
      <sheetData sheetId="4">
        <row r="6">
          <cell r="J6">
            <v>326380998</v>
          </cell>
        </row>
      </sheetData>
      <sheetData sheetId="5">
        <row r="6">
          <cell r="J6">
            <v>311228722</v>
          </cell>
        </row>
      </sheetData>
      <sheetData sheetId="6">
        <row r="6">
          <cell r="J6">
            <v>15152276</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2">
          <cell r="G2">
            <v>1440009000</v>
          </cell>
        </row>
        <row r="5">
          <cell r="G5">
            <v>51880533</v>
          </cell>
        </row>
        <row r="6">
          <cell r="G6">
            <v>238245009</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基表89"/>
      <sheetName val="基準表A3正反橫印"/>
      <sheetName val="正式人員估算表B4正反橫印"/>
      <sheetName val="國中概算B4正反直印"/>
      <sheetName val="人事費分析表"/>
      <sheetName val="用途別"/>
      <sheetName val="資本支出"/>
      <sheetName val="中程資本計畫"/>
      <sheetName val="工作表1"/>
      <sheetName val="人事費科目"/>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5計畫"/>
      <sheetName val="參11"/>
      <sheetName val="參12(105)"/>
      <sheetName val="參9 (104)"/>
      <sheetName val="參9 (比較)"/>
      <sheetName val="中央104"/>
      <sheetName val="直轄市104"/>
      <sheetName val="縣市104"/>
      <sheetName val="104計畫"/>
      <sheetName val="104流域治理"/>
      <sheetName val="中央105"/>
      <sheetName val="直轄市105"/>
      <sheetName val="縣市105"/>
      <sheetName val="105流域治理"/>
    </sheetNames>
    <sheetDataSet>
      <sheetData sheetId="0" refreshError="1"/>
      <sheetData sheetId="1" refreshError="1"/>
      <sheetData sheetId="2" refreshError="1"/>
      <sheetData sheetId="3" refreshError="1"/>
      <sheetData sheetId="4" refreshError="1"/>
      <sheetData sheetId="5" refreshError="1"/>
      <sheetData sheetId="6" refreshError="1">
        <row r="4">
          <cell r="B4">
            <v>517375</v>
          </cell>
        </row>
        <row r="5">
          <cell r="B5">
            <v>414762</v>
          </cell>
        </row>
        <row r="6">
          <cell r="B6">
            <v>16904</v>
          </cell>
        </row>
        <row r="7">
          <cell r="B7">
            <v>39370</v>
          </cell>
        </row>
        <row r="8">
          <cell r="B8">
            <v>34184</v>
          </cell>
        </row>
        <row r="9">
          <cell r="B9">
            <v>12155</v>
          </cell>
        </row>
        <row r="11">
          <cell r="B11">
            <v>136550</v>
          </cell>
        </row>
        <row r="12">
          <cell r="B12">
            <v>0</v>
          </cell>
        </row>
        <row r="13">
          <cell r="B13">
            <v>252996</v>
          </cell>
        </row>
        <row r="14">
          <cell r="B14">
            <v>124478</v>
          </cell>
        </row>
        <row r="15">
          <cell r="B15">
            <v>109870</v>
          </cell>
        </row>
        <row r="16">
          <cell r="B16">
            <v>50893</v>
          </cell>
        </row>
        <row r="17">
          <cell r="B17">
            <v>43797</v>
          </cell>
        </row>
        <row r="18">
          <cell r="B18">
            <v>7553</v>
          </cell>
        </row>
        <row r="19">
          <cell r="B19">
            <v>14807</v>
          </cell>
        </row>
        <row r="20">
          <cell r="B20">
            <v>-223569</v>
          </cell>
        </row>
      </sheetData>
      <sheetData sheetId="7" refreshError="1">
        <row r="4">
          <cell r="B4">
            <v>208122</v>
          </cell>
        </row>
        <row r="5">
          <cell r="B5">
            <v>151492</v>
          </cell>
        </row>
        <row r="6">
          <cell r="B6">
            <v>9537</v>
          </cell>
        </row>
        <row r="7">
          <cell r="B7">
            <v>11651</v>
          </cell>
        </row>
        <row r="8">
          <cell r="B8">
            <v>8844</v>
          </cell>
        </row>
        <row r="9">
          <cell r="B9">
            <v>26598</v>
          </cell>
        </row>
        <row r="11">
          <cell r="B11">
            <v>86394</v>
          </cell>
        </row>
        <row r="12">
          <cell r="B12">
            <v>0</v>
          </cell>
        </row>
        <row r="13">
          <cell r="B13">
            <v>108995</v>
          </cell>
        </row>
        <row r="14">
          <cell r="B14">
            <v>65242</v>
          </cell>
        </row>
        <row r="15">
          <cell r="B15">
            <v>45703</v>
          </cell>
        </row>
        <row r="16">
          <cell r="B16">
            <v>17415</v>
          </cell>
        </row>
        <row r="17">
          <cell r="B17">
            <v>41612</v>
          </cell>
        </row>
        <row r="18">
          <cell r="B18">
            <v>4572</v>
          </cell>
        </row>
        <row r="19">
          <cell r="B19">
            <v>10875</v>
          </cell>
        </row>
      </sheetData>
      <sheetData sheetId="8" refreshError="1"/>
      <sheetData sheetId="9" refreshError="1"/>
      <sheetData sheetId="10" refreshError="1">
        <row r="5">
          <cell r="B5">
            <v>1444138</v>
          </cell>
          <cell r="C5">
            <v>1440009</v>
          </cell>
        </row>
        <row r="6">
          <cell r="B6">
            <v>238270</v>
          </cell>
          <cell r="C6">
            <v>238270</v>
          </cell>
        </row>
        <row r="7">
          <cell r="B7">
            <v>78541</v>
          </cell>
          <cell r="C7">
            <v>78541</v>
          </cell>
        </row>
        <row r="8">
          <cell r="B8">
            <v>74635</v>
          </cell>
          <cell r="C8">
            <v>74635</v>
          </cell>
        </row>
        <row r="9">
          <cell r="B9">
            <v>13169</v>
          </cell>
          <cell r="C9">
            <v>13169</v>
          </cell>
        </row>
        <row r="11">
          <cell r="B11">
            <v>187103</v>
          </cell>
          <cell r="C11">
            <v>190524</v>
          </cell>
        </row>
        <row r="12">
          <cell r="B12">
            <v>311167</v>
          </cell>
          <cell r="C12">
            <v>311167</v>
          </cell>
        </row>
        <row r="13">
          <cell r="B13">
            <v>297936</v>
          </cell>
          <cell r="C13">
            <v>390125</v>
          </cell>
        </row>
        <row r="14">
          <cell r="B14">
            <v>202683</v>
          </cell>
          <cell r="C14">
            <v>274113</v>
          </cell>
        </row>
        <row r="15">
          <cell r="B15">
            <v>416638</v>
          </cell>
          <cell r="C15">
            <v>467065</v>
          </cell>
        </row>
        <row r="16">
          <cell r="B16">
            <v>4351</v>
          </cell>
          <cell r="C16">
            <v>18628</v>
          </cell>
        </row>
        <row r="17">
          <cell r="B17">
            <v>147212</v>
          </cell>
          <cell r="C17">
            <v>147212</v>
          </cell>
        </row>
        <row r="18">
          <cell r="B18">
            <v>123511</v>
          </cell>
          <cell r="C18">
            <v>123511</v>
          </cell>
        </row>
        <row r="19">
          <cell r="B19">
            <v>12978</v>
          </cell>
          <cell r="C19">
            <v>75847</v>
          </cell>
        </row>
      </sheetData>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參9 (104)"/>
      <sheetName val="參9 (104-105比較)"/>
      <sheetName val="參9 (105)"/>
      <sheetName val="參12(106)"/>
      <sheetName val="參9 (105-106比較)"/>
      <sheetName val="參11"/>
      <sheetName val="中央106(法)"/>
      <sheetName val="直轄市106(法)"/>
      <sheetName val="縣市106(法)"/>
      <sheetName val="106計畫型(法)"/>
      <sheetName val="106計畫型(案)"/>
      <sheetName val="106流域治理(法)"/>
      <sheetName val="中央105(法)"/>
      <sheetName val="直轄市105(法)"/>
      <sheetName val="縣市105(法)"/>
      <sheetName val="中央105(原法)"/>
      <sheetName val="直轄市105(原法)"/>
      <sheetName val="縣市105(原法)"/>
      <sheetName val="中央105(案)"/>
      <sheetName val="直轄市105(案)"/>
      <sheetName val="縣市105(案)"/>
      <sheetName val="105計畫(案)"/>
      <sheetName val="105流域治理(案)"/>
      <sheetName val="中央104(法)"/>
      <sheetName val="直轄市104(法)"/>
      <sheetName val="縣市104(法)"/>
      <sheetName val="104計畫(法)"/>
      <sheetName val="104流域治理(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
          <cell r="C5">
            <v>436560.98</v>
          </cell>
        </row>
        <row r="6">
          <cell r="C6">
            <v>21957.458999999999</v>
          </cell>
        </row>
        <row r="7">
          <cell r="C7">
            <v>41606.436000000002</v>
          </cell>
        </row>
        <row r="8">
          <cell r="C8">
            <v>24566.148000000001</v>
          </cell>
        </row>
        <row r="9">
          <cell r="C9">
            <v>166222.807</v>
          </cell>
        </row>
        <row r="11">
          <cell r="C11">
            <v>136574.046</v>
          </cell>
        </row>
        <row r="12">
          <cell r="C12">
            <v>0</v>
          </cell>
        </row>
        <row r="13">
          <cell r="C13">
            <v>273310.66200000001</v>
          </cell>
        </row>
        <row r="14">
          <cell r="C14">
            <v>140011.802</v>
          </cell>
        </row>
        <row r="15">
          <cell r="C15">
            <v>107863.588</v>
          </cell>
        </row>
        <row r="16">
          <cell r="C16">
            <v>56027.298000000003</v>
          </cell>
        </row>
        <row r="17">
          <cell r="C17">
            <v>22556.816999999999</v>
          </cell>
        </row>
        <row r="18">
          <cell r="C18">
            <v>7680</v>
          </cell>
        </row>
        <row r="19">
          <cell r="C19">
            <v>14519.27</v>
          </cell>
        </row>
      </sheetData>
      <sheetData sheetId="14" refreshError="1">
        <row r="5">
          <cell r="C5">
            <v>162108.49100000001</v>
          </cell>
        </row>
        <row r="6">
          <cell r="C6">
            <v>6529.652</v>
          </cell>
        </row>
        <row r="7">
          <cell r="C7">
            <v>10713.799000000001</v>
          </cell>
        </row>
        <row r="8">
          <cell r="C8">
            <v>9666.7430000000004</v>
          </cell>
        </row>
        <row r="9">
          <cell r="C9">
            <v>184088.66399999999</v>
          </cell>
        </row>
        <row r="11">
          <cell r="C11">
            <v>83391.289999999994</v>
          </cell>
        </row>
        <row r="12">
          <cell r="C12">
            <v>0</v>
          </cell>
        </row>
        <row r="13">
          <cell r="C13">
            <v>110590.105</v>
          </cell>
        </row>
        <row r="14">
          <cell r="C14">
            <v>70658.635999999999</v>
          </cell>
        </row>
        <row r="15">
          <cell r="C15">
            <v>46060.631999999998</v>
          </cell>
        </row>
        <row r="16">
          <cell r="C16">
            <v>18505.991000000002</v>
          </cell>
        </row>
        <row r="17">
          <cell r="C17">
            <v>41689.485000000001</v>
          </cell>
        </row>
        <row r="18">
          <cell r="C18">
            <v>4121.7659999999996</v>
          </cell>
        </row>
        <row r="19">
          <cell r="C19">
            <v>11055.248</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表-政事別表"/>
      <sheetName val="前瞻第1期歲出政事別預算表 (2)"/>
      <sheetName val="XX主管"/>
    </sheetNames>
    <sheetDataSet>
      <sheetData sheetId="0" refreshError="1">
        <row r="7">
          <cell r="E7" t="str">
            <v>名                  稱</v>
          </cell>
        </row>
        <row r="8">
          <cell r="E8" t="str">
            <v xml:space="preserve">  合           計</v>
          </cell>
        </row>
        <row r="9">
          <cell r="E9" t="str">
            <v xml:space="preserve">  (1.一般政務支出)</v>
          </cell>
        </row>
        <row r="10">
          <cell r="E10" t="str">
            <v>3300000000</v>
          </cell>
        </row>
        <row r="11">
          <cell r="E11" t="str">
            <v>行政支出</v>
          </cell>
        </row>
        <row r="12">
          <cell r="E12" t="str">
            <v xml:space="preserve">  3303010000</v>
          </cell>
        </row>
        <row r="13">
          <cell r="E13" t="str">
            <v xml:space="preserve">  行政院</v>
          </cell>
        </row>
        <row r="14">
          <cell r="E14" t="str">
            <v xml:space="preserve">    3303012500</v>
          </cell>
        </row>
        <row r="15">
          <cell r="E15" t="str">
            <v xml:space="preserve">    數位建設</v>
          </cell>
        </row>
        <row r="16">
          <cell r="E16" t="str">
            <v>3500000000</v>
          </cell>
        </row>
        <row r="17">
          <cell r="E17" t="str">
            <v>司法支出</v>
          </cell>
        </row>
        <row r="18">
          <cell r="E18" t="str">
            <v xml:space="preserve">  3523010000</v>
          </cell>
        </row>
        <row r="19">
          <cell r="E19" t="str">
            <v xml:space="preserve">  法務部</v>
          </cell>
        </row>
        <row r="20">
          <cell r="E20" t="str">
            <v xml:space="preserve">    3523014000</v>
          </cell>
        </row>
        <row r="21">
          <cell r="E21" t="str">
            <v xml:space="preserve">    數位建設</v>
          </cell>
        </row>
        <row r="22">
          <cell r="E22" t="str">
            <v>3800000000</v>
          </cell>
        </row>
        <row r="23">
          <cell r="E23" t="str">
            <v>民政支出</v>
          </cell>
        </row>
        <row r="24">
          <cell r="E24" t="str">
            <v xml:space="preserve">  3803610000</v>
          </cell>
        </row>
        <row r="25">
          <cell r="E25" t="str">
            <v xml:space="preserve">  原住民族委員會</v>
          </cell>
        </row>
        <row r="26">
          <cell r="E26" t="str">
            <v xml:space="preserve">    3803610400</v>
          </cell>
        </row>
        <row r="27">
          <cell r="E27" t="str">
            <v xml:space="preserve">    數位建設</v>
          </cell>
        </row>
        <row r="28">
          <cell r="E28" t="str">
            <v xml:space="preserve">    3803610500</v>
          </cell>
        </row>
        <row r="29">
          <cell r="E29" t="str">
            <v xml:space="preserve">    城鄉建設</v>
          </cell>
        </row>
        <row r="30">
          <cell r="E30" t="str">
            <v xml:space="preserve">  3808010000</v>
          </cell>
        </row>
        <row r="31">
          <cell r="E31" t="str">
            <v xml:space="preserve">  內政部</v>
          </cell>
        </row>
        <row r="32">
          <cell r="E32" t="str">
            <v xml:space="preserve">    3808011000</v>
          </cell>
        </row>
        <row r="33">
          <cell r="E33" t="str">
            <v xml:space="preserve">    數位建設</v>
          </cell>
        </row>
        <row r="34">
          <cell r="E34" t="str">
            <v xml:space="preserve">    3808012000</v>
          </cell>
        </row>
        <row r="35">
          <cell r="E35" t="str">
            <v xml:space="preserve">    城鄉建設</v>
          </cell>
        </row>
        <row r="36">
          <cell r="E36" t="str">
            <v xml:space="preserve">  3808210000</v>
          </cell>
        </row>
        <row r="37">
          <cell r="E37" t="str">
            <v xml:space="preserve">  警政署及所屬</v>
          </cell>
        </row>
        <row r="38">
          <cell r="E38" t="str">
            <v xml:space="preserve">    3808212000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heetName val="DATA"/>
      <sheetName val="97TAB1"/>
      <sheetName val="97TAB2"/>
      <sheetName val="97TAB3 "/>
      <sheetName val="97TAB4"/>
      <sheetName val="97TAB5"/>
      <sheetName val="參照"/>
      <sheetName val="97TAB3_"/>
      <sheetName val="97TAB3_1"/>
      <sheetName val="97TAB3_2"/>
      <sheetName val="exp彙計"/>
      <sheetName val="外幣收支彙計"/>
      <sheetName val="97TAB3_3"/>
    </sheetNames>
    <sheetDataSet>
      <sheetData sheetId="0"/>
      <sheetData sheetId="1"/>
      <sheetData sheetId="2"/>
      <sheetData sheetId="3" refreshError="1"/>
      <sheetData sheetId="4" refreshError="1"/>
      <sheetData sheetId="5" refreshError="1"/>
      <sheetData sheetId="6" refreshError="1"/>
      <sheetData sheetId="7" refreshError="1"/>
      <sheetData sheetId="8"/>
      <sheetData sheetId="9"/>
      <sheetData sheetId="10"/>
      <sheetData sheetId="11" refreshError="1"/>
      <sheetData sheetId="12" refreshError="1"/>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部國營事業"/>
      <sheetName val="總預算編列部分"/>
      <sheetName val="全部省營事業 "/>
      <sheetName val="民營化進度-國"/>
      <sheetName val="民營化進度-省"/>
      <sheetName val="釋股情形"/>
      <sheetName val="歷年釋股(修)"/>
      <sheetName val="銷貨收入"/>
      <sheetName val="銷貨成本"/>
      <sheetName val="全部省營事業_"/>
      <sheetName val="全部省營事業_1"/>
      <sheetName val="全部省營事業_2"/>
      <sheetName val="員工人數及給與計算表old"/>
      <sheetName val="全部省營事業_3"/>
      <sheetName val="全部省營事業_4"/>
      <sheetName val="全部省營事業_7"/>
      <sheetName val="全部省營事業_5"/>
      <sheetName val="全部省營事業_6"/>
      <sheetName val="全部省營事業_8"/>
      <sheetName val="全部省營事業_9"/>
      <sheetName val="全部省營事業_10"/>
      <sheetName val="全部省營事業_11"/>
      <sheetName val="空白版"/>
      <sheetName val="全部省營事業_12"/>
      <sheetName val="全部省營事業_13"/>
      <sheetName val="全部省營事業_14"/>
      <sheetName val="全部省營事業_16"/>
      <sheetName val="全部省營事業_15"/>
      <sheetName val="全部省營事業_17"/>
      <sheetName val="全部省營事業_18"/>
    </sheetNames>
    <sheetDataSet>
      <sheetData sheetId="0"/>
      <sheetData sheetId="1"/>
      <sheetData sheetId="2"/>
      <sheetData sheetId="3"/>
      <sheetData sheetId="4"/>
      <sheetData sheetId="5"/>
      <sheetData sheetId="6"/>
      <sheetData sheetId="7" refreshError="1"/>
      <sheetData sheetId="8" refreshError="1"/>
      <sheetData sheetId="9" refreshError="1"/>
      <sheetData sheetId="10"/>
      <sheetData sheetId="11" refreshError="1"/>
      <sheetData sheetId="12" refreshError="1"/>
      <sheetData sheetId="13"/>
      <sheetData sheetId="14"/>
      <sheetData sheetId="15"/>
      <sheetData sheetId="16"/>
      <sheetData sheetId="17"/>
      <sheetData sheetId="18"/>
      <sheetData sheetId="19"/>
      <sheetData sheetId="20"/>
      <sheetData sheetId="21"/>
      <sheetData sheetId="22" refreshError="1"/>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總說明用"/>
      <sheetName val="總表"/>
      <sheetName val="彙整"/>
      <sheetName val="營業基金"/>
      <sheetName val="非營業基金"/>
      <sheetName val="新聞局"/>
      <sheetName val="青輔會.故宮"/>
      <sheetName val="經建會"/>
      <sheetName val="研考會"/>
      <sheetName val="陸委會"/>
      <sheetName val="文建會"/>
      <sheetName val="公平會"/>
      <sheetName val="原民會"/>
      <sheetName val="體委會"/>
      <sheetName val="客委會"/>
      <sheetName val="內政部"/>
      <sheetName val="外交部"/>
      <sheetName val="國防"/>
      <sheetName val="財政部"/>
      <sheetName val="教育部"/>
      <sheetName val="法務部"/>
      <sheetName val="經濟部"/>
      <sheetName val="交通部"/>
      <sheetName val="蒙藏"/>
      <sheetName val="僑委會"/>
      <sheetName val="退輔會"/>
      <sheetName val="消保會"/>
      <sheetName val="監察院"/>
      <sheetName val="國科會"/>
      <sheetName val="原能會"/>
      <sheetName val="農委會"/>
      <sheetName val="勞委會"/>
      <sheetName val="衛生署"/>
      <sheetName val="環保署"/>
      <sheetName val="海巡署"/>
      <sheetName val="Sheet1"/>
      <sheetName val="Sheet2"/>
      <sheetName val="Sheet3"/>
      <sheetName val="青輔會_故宮2"/>
      <sheetName val="青輔會_故宮"/>
      <sheetName val="青輔會_故宮1"/>
      <sheetName val="青輔會_故宮3"/>
      <sheetName val="青輔會_故宮4"/>
      <sheetName val="青輔會_故宮5"/>
      <sheetName val="青輔會_故宮6"/>
      <sheetName val="青輔會_故宮7"/>
      <sheetName val="青輔會_故宮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繳庫"/>
      <sheetName val="投資收益"/>
      <sheetName val="分析89"/>
      <sheetName val="88下及89中央 "/>
      <sheetName val="88下及89省"/>
      <sheetName val="釋股中央"/>
      <sheetName val="釋股省"/>
      <sheetName val="88下及89公賣利益"/>
      <sheetName val="股息紅利省"/>
      <sheetName val="股息紅利中央"/>
      <sheetName val="exp彙計"/>
      <sheetName val="外幣收支彙計"/>
      <sheetName val="88下及89中央_"/>
      <sheetName val="88下及89中央_1"/>
      <sheetName val="88下及89中央_2"/>
      <sheetName val="88下及89中央_3"/>
      <sheetName val="88下及89中央_4"/>
      <sheetName val="ft9001"/>
      <sheetName val="88下及89中央_5"/>
      <sheetName val="88下及89中央_6"/>
      <sheetName val="88下及89中央_7"/>
      <sheetName val="88下及89中央_10"/>
      <sheetName val="88下及89中央_8"/>
      <sheetName val="88下及89中央_9"/>
      <sheetName val="88下及89中央_11"/>
      <sheetName val="工作表2"/>
      <sheetName val="下拉式清單"/>
      <sheetName val="88下及89中央_12"/>
      <sheetName val="88下及89中央_1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sheetData sheetId="15"/>
      <sheetData sheetId="16"/>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月執行總表"/>
      <sheetName val="主管明細"/>
      <sheetName val="機關明細"/>
      <sheetName val="85年度總表無以前"/>
      <sheetName val="85年度執行總表"/>
      <sheetName val="DATA"/>
    </sheetNames>
    <sheetDataSet>
      <sheetData sheetId="0" refreshError="1"/>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人事費(2)"/>
      <sheetName val="員額(2)"/>
      <sheetName val="約聘(1)"/>
      <sheetName val="員額 (1)"/>
      <sheetName val="轉帳"/>
      <sheetName val="出國-總"/>
      <sheetName val="出國-考察"/>
      <sheetName val="出國-開會"/>
      <sheetName val="出國-進修"/>
      <sheetName val="出國刪減"/>
      <sheetName val="職能"/>
      <sheetName val="職能 (2)"/>
      <sheetName val="員額_2_"/>
      <sheetName val="員額_(1)"/>
      <sheetName val="職能_(2)"/>
      <sheetName val="員額_(1)1"/>
      <sheetName val="職能_(2)1"/>
      <sheetName val="員額_(1)3"/>
      <sheetName val="職能_(2)3"/>
      <sheetName val="員額_(1)2"/>
      <sheetName val="職能_(2)2"/>
      <sheetName val="員額_(1)4"/>
      <sheetName val="職能_(2)4"/>
      <sheetName val="員額_(1)5"/>
      <sheetName val="職能_(2)5"/>
      <sheetName val="員額_(1)6"/>
      <sheetName val="職能_(2)6"/>
      <sheetName val="員額_(1)7"/>
      <sheetName val="職能_(2)7"/>
      <sheetName val="員額_(1)8"/>
      <sheetName val="職能_(2)8"/>
      <sheetName val="員額_(1)9"/>
      <sheetName val="職能_(2)9"/>
      <sheetName val="員額_(1)10"/>
      <sheetName val="職能_(2)10"/>
      <sheetName val="員額_(1)11"/>
      <sheetName val="職能_(2)11"/>
      <sheetName val="員額_(1)12"/>
      <sheetName val="職能_(2)12"/>
      <sheetName val="員額_(1)13"/>
      <sheetName val="職能_(2)13"/>
      <sheetName val="員額_(1)14"/>
      <sheetName val="職能_(2)14"/>
      <sheetName val="員額_(1)15"/>
      <sheetName val="職能_(2)15"/>
      <sheetName val="員額_(1)16"/>
      <sheetName val="職能_(2)16"/>
      <sheetName val="員額_(1)20"/>
      <sheetName val="職能_(2)20"/>
      <sheetName val="員額_(1)17"/>
      <sheetName val="職能_(2)17"/>
      <sheetName val="員額_(1)18"/>
      <sheetName val="職能_(2)18"/>
      <sheetName val="員額_(1)19"/>
      <sheetName val="職能_(2)19"/>
      <sheetName val="員額_(1)21"/>
      <sheetName val="職能_(2)21"/>
      <sheetName val="員額_(1)22"/>
      <sheetName val="職能_(2)22"/>
      <sheetName val="員額_(1)23"/>
      <sheetName val="職能_(2)23"/>
      <sheetName val="員額_(1)24"/>
      <sheetName val="職能_(2)24"/>
      <sheetName val="員額_(1)29"/>
      <sheetName val="職能_(2)29"/>
      <sheetName val="員額_(1)25"/>
      <sheetName val="職能_(2)25"/>
      <sheetName val="員額_(1)26"/>
      <sheetName val="職能_(2)26"/>
      <sheetName val="人基表89"/>
      <sheetName val="員額_(1)28"/>
      <sheetName val="職能_(2)28"/>
      <sheetName val="員額_(1)27"/>
      <sheetName val="職能_(2)27"/>
      <sheetName val="機關明細"/>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sheetData sheetId="73"/>
      <sheetData sheetId="74"/>
      <sheetData sheetId="75"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F29"/>
  <sheetViews>
    <sheetView tabSelected="1" view="pageBreakPreview" zoomScaleNormal="70" zoomScaleSheetLayoutView="100" workbookViewId="0">
      <pane xSplit="2" ySplit="5" topLeftCell="C6" activePane="bottomRight" state="frozen"/>
      <selection activeCell="N13" sqref="N13"/>
      <selection pane="topRight" activeCell="N13" sqref="N13"/>
      <selection pane="bottomLeft" activeCell="N13" sqref="N13"/>
      <selection pane="bottomRight" activeCell="J10" sqref="J10"/>
    </sheetView>
  </sheetViews>
  <sheetFormatPr defaultColWidth="9.75" defaultRowHeight="16.5"/>
  <cols>
    <col min="1" max="1" width="9.125" style="58" customWidth="1"/>
    <col min="2" max="2" width="20.75" style="58" customWidth="1"/>
    <col min="3" max="5" width="23.75" style="60" customWidth="1"/>
    <col min="6" max="16384" width="9.75" style="58"/>
  </cols>
  <sheetData>
    <row r="1" spans="1:5" ht="26.25" customHeight="1">
      <c r="A1" s="529"/>
      <c r="C1" s="530" t="s">
        <v>2080</v>
      </c>
    </row>
    <row r="2" spans="1:5" ht="26.25" customHeight="1">
      <c r="A2" s="531" t="s">
        <v>2081</v>
      </c>
      <c r="C2" s="532" t="s">
        <v>2079</v>
      </c>
      <c r="D2" s="59"/>
      <c r="E2" s="59"/>
    </row>
    <row r="3" spans="1:5" ht="8.25" customHeight="1">
      <c r="B3" s="537"/>
      <c r="C3" s="15"/>
      <c r="D3" s="59"/>
      <c r="E3" s="59"/>
    </row>
    <row r="4" spans="1:5" s="4" customFormat="1" ht="18" customHeight="1">
      <c r="C4" s="533" t="s">
        <v>2082</v>
      </c>
      <c r="D4" s="5"/>
      <c r="E4" s="6" t="s">
        <v>78</v>
      </c>
    </row>
    <row r="5" spans="1:5" s="4" customFormat="1" ht="36" customHeight="1">
      <c r="A5" s="535" t="s">
        <v>2078</v>
      </c>
      <c r="B5" s="534"/>
      <c r="C5" s="7" t="s">
        <v>2077</v>
      </c>
      <c r="D5" s="7" t="s">
        <v>2076</v>
      </c>
      <c r="E5" s="536" t="s">
        <v>2075</v>
      </c>
    </row>
    <row r="6" spans="1:5" ht="35.25" customHeight="1">
      <c r="A6" s="982" t="s">
        <v>25</v>
      </c>
      <c r="C6" s="545">
        <v>3122648</v>
      </c>
      <c r="D6" s="545">
        <v>2895253</v>
      </c>
      <c r="E6" s="546">
        <v>227395</v>
      </c>
    </row>
    <row r="7" spans="1:5" ht="35.25" customHeight="1">
      <c r="A7" s="38" t="s">
        <v>2074</v>
      </c>
      <c r="C7" s="547">
        <v>2583702</v>
      </c>
      <c r="D7" s="547">
        <v>2336155</v>
      </c>
      <c r="E7" s="548">
        <v>247547</v>
      </c>
    </row>
    <row r="8" spans="1:5" ht="35.25" customHeight="1">
      <c r="A8" s="38" t="s">
        <v>2073</v>
      </c>
      <c r="C8" s="547">
        <v>298941</v>
      </c>
      <c r="D8" s="547">
        <v>291621</v>
      </c>
      <c r="E8" s="548">
        <v>7320</v>
      </c>
    </row>
    <row r="9" spans="1:5" ht="35.25" customHeight="1">
      <c r="A9" s="38" t="s">
        <v>2072</v>
      </c>
      <c r="C9" s="547">
        <v>135502</v>
      </c>
      <c r="D9" s="547">
        <v>137556</v>
      </c>
      <c r="E9" s="548">
        <v>-2054</v>
      </c>
    </row>
    <row r="10" spans="1:5" ht="35.25" customHeight="1">
      <c r="A10" s="38" t="s">
        <v>2071</v>
      </c>
      <c r="C10" s="547">
        <v>45912</v>
      </c>
      <c r="D10" s="547">
        <v>62088</v>
      </c>
      <c r="E10" s="548">
        <v>-16176</v>
      </c>
    </row>
    <row r="11" spans="1:5" ht="35.25" customHeight="1">
      <c r="A11" s="38" t="s">
        <v>2070</v>
      </c>
      <c r="C11" s="547">
        <v>58591</v>
      </c>
      <c r="D11" s="547">
        <v>67833</v>
      </c>
      <c r="E11" s="548">
        <v>-9242</v>
      </c>
    </row>
    <row r="12" spans="1:5" ht="23.25" customHeight="1">
      <c r="A12" s="982"/>
      <c r="C12" s="547"/>
      <c r="D12" s="547"/>
      <c r="E12" s="548"/>
    </row>
    <row r="13" spans="1:5" ht="35.25" customHeight="1">
      <c r="A13" s="982" t="s">
        <v>19</v>
      </c>
      <c r="C13" s="981">
        <v>3435430</v>
      </c>
      <c r="D13" s="981">
        <v>3678561</v>
      </c>
      <c r="E13" s="980">
        <v>-243131</v>
      </c>
    </row>
    <row r="14" spans="1:5" ht="35.25" customHeight="1">
      <c r="A14" s="38" t="s">
        <v>2069</v>
      </c>
      <c r="C14" s="547">
        <v>452811</v>
      </c>
      <c r="D14" s="547">
        <v>450771</v>
      </c>
      <c r="E14" s="548">
        <v>2040</v>
      </c>
    </row>
    <row r="15" spans="1:5" ht="35.25" customHeight="1">
      <c r="A15" s="39" t="s">
        <v>2068</v>
      </c>
      <c r="C15" s="547">
        <v>445259</v>
      </c>
      <c r="D15" s="547">
        <v>376884</v>
      </c>
      <c r="E15" s="548">
        <v>68375</v>
      </c>
    </row>
    <row r="16" spans="1:5" ht="35.25" customHeight="1">
      <c r="A16" s="39" t="s">
        <v>2067</v>
      </c>
      <c r="C16" s="547">
        <v>775883</v>
      </c>
      <c r="D16" s="547">
        <v>766318</v>
      </c>
      <c r="E16" s="548">
        <v>9565</v>
      </c>
    </row>
    <row r="17" spans="1:6" s="62" customFormat="1" ht="35.25" customHeight="1">
      <c r="A17" s="53" t="s">
        <v>2066</v>
      </c>
      <c r="C17" s="547">
        <v>514853</v>
      </c>
      <c r="D17" s="547">
        <v>746653</v>
      </c>
      <c r="E17" s="548">
        <v>-231800</v>
      </c>
    </row>
    <row r="18" spans="1:6" s="62" customFormat="1" ht="35.25" customHeight="1">
      <c r="A18" s="53" t="s">
        <v>2065</v>
      </c>
      <c r="C18" s="547">
        <v>773818</v>
      </c>
      <c r="D18" s="547">
        <v>876814</v>
      </c>
      <c r="E18" s="548">
        <v>-102996</v>
      </c>
    </row>
    <row r="19" spans="1:6" s="62" customFormat="1" ht="35.25" customHeight="1">
      <c r="A19" s="53" t="s">
        <v>2064</v>
      </c>
      <c r="C19" s="547">
        <v>97128</v>
      </c>
      <c r="D19" s="547">
        <v>91569</v>
      </c>
      <c r="E19" s="548">
        <v>5559</v>
      </c>
    </row>
    <row r="20" spans="1:6" ht="35.25" customHeight="1">
      <c r="A20" s="39" t="s">
        <v>2063</v>
      </c>
      <c r="C20" s="547">
        <v>210528</v>
      </c>
      <c r="D20" s="547">
        <v>212135</v>
      </c>
      <c r="E20" s="548">
        <v>-1607</v>
      </c>
    </row>
    <row r="21" spans="1:6" ht="35.25" customHeight="1">
      <c r="A21" s="39" t="s">
        <v>2062</v>
      </c>
      <c r="C21" s="547">
        <v>115277</v>
      </c>
      <c r="D21" s="547">
        <v>117133</v>
      </c>
      <c r="E21" s="548">
        <v>-1856</v>
      </c>
    </row>
    <row r="22" spans="1:6" ht="35.25" customHeight="1">
      <c r="A22" s="39" t="s">
        <v>2061</v>
      </c>
      <c r="C22" s="547">
        <v>49873</v>
      </c>
      <c r="D22" s="547">
        <v>40284</v>
      </c>
      <c r="E22" s="548">
        <v>9589</v>
      </c>
    </row>
    <row r="23" spans="1:6" ht="23.25" customHeight="1">
      <c r="A23" s="979"/>
      <c r="C23" s="547"/>
      <c r="D23" s="547"/>
      <c r="E23" s="548"/>
    </row>
    <row r="24" spans="1:6" ht="35.25" customHeight="1">
      <c r="A24" s="979" t="s">
        <v>17</v>
      </c>
      <c r="B24" s="979"/>
      <c r="C24" s="547">
        <v>-312782</v>
      </c>
      <c r="D24" s="547">
        <v>-783308</v>
      </c>
      <c r="E24" s="548">
        <v>470526</v>
      </c>
      <c r="F24" s="474"/>
    </row>
    <row r="25" spans="1:6" s="62" customFormat="1" ht="22.5" customHeight="1">
      <c r="A25" s="550"/>
      <c r="B25" s="550"/>
      <c r="C25" s="551"/>
      <c r="D25" s="551"/>
      <c r="E25" s="552"/>
    </row>
    <row r="26" spans="1:6" s="63" customFormat="1" ht="25.5" customHeight="1">
      <c r="A26" s="978" t="s">
        <v>2060</v>
      </c>
      <c r="B26" s="983" t="s">
        <v>2059</v>
      </c>
      <c r="C26" s="984"/>
      <c r="D26" s="984"/>
      <c r="E26" s="984"/>
      <c r="F26" s="977"/>
    </row>
    <row r="27" spans="1:6" s="976" customFormat="1" ht="72.95" customHeight="1">
      <c r="A27" s="57" t="s">
        <v>2058</v>
      </c>
      <c r="B27" s="985" t="s">
        <v>2083</v>
      </c>
      <c r="C27" s="986"/>
      <c r="D27" s="986"/>
      <c r="E27" s="986"/>
    </row>
    <row r="28" spans="1:6" ht="32.1" customHeight="1">
      <c r="B28" s="527"/>
      <c r="C28" s="975"/>
      <c r="D28" s="975"/>
      <c r="E28" s="975"/>
    </row>
    <row r="29" spans="1:6" ht="32.1" customHeight="1">
      <c r="B29" s="527"/>
      <c r="C29" s="975"/>
      <c r="D29" s="975"/>
      <c r="E29" s="975"/>
    </row>
  </sheetData>
  <mergeCells count="2">
    <mergeCell ref="B26:E26"/>
    <mergeCell ref="B27:E27"/>
  </mergeCells>
  <phoneticPr fontId="3" type="noConversion"/>
  <printOptions horizontalCentered="1"/>
  <pageMargins left="0.47244094488188981" right="0.47244094488188981" top="0.62992125984251968" bottom="0.39370078740157483" header="0.43307086614173229" footer="0.19685039370078741"/>
  <pageSetup paperSize="9" scale="92" pageOrder="overThenDown"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44"/>
  </sheetPr>
  <dimension ref="A1:AI19"/>
  <sheetViews>
    <sheetView view="pageBreakPreview" zoomScale="75" zoomScaleNormal="75" zoomScaleSheetLayoutView="75" workbookViewId="0">
      <pane xSplit="3" ySplit="5" topLeftCell="D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345" customWidth="1"/>
    <col min="2" max="2" width="11.5" style="345" customWidth="1"/>
    <col min="3" max="3" width="23" style="345" customWidth="1"/>
    <col min="4" max="4" width="7.875" style="345" customWidth="1"/>
    <col min="5" max="5" width="10.5" style="345" customWidth="1"/>
    <col min="6" max="6" width="11.5" style="345" customWidth="1"/>
    <col min="7" max="8" width="10.625" style="345" customWidth="1"/>
    <col min="9" max="15" width="8.25" style="345" customWidth="1"/>
    <col min="16" max="16" width="9.875" style="345" customWidth="1"/>
    <col min="17" max="20" width="8.25" style="345" customWidth="1"/>
    <col min="21" max="21" width="8.875" style="345" customWidth="1"/>
    <col min="22" max="22" width="10.375" style="383" customWidth="1"/>
    <col min="23" max="23" width="8.25" style="349" customWidth="1"/>
    <col min="24" max="31" width="8.25" style="345" customWidth="1"/>
    <col min="32" max="32" width="8.125" style="345" customWidth="1"/>
    <col min="33" max="34" width="8.25" style="345" customWidth="1"/>
    <col min="35" max="35" width="9.875" style="345" customWidth="1"/>
    <col min="36" max="16384" width="14.75" style="345"/>
  </cols>
  <sheetData>
    <row r="1" spans="1:35" s="342" customFormat="1" ht="42.6" customHeight="1">
      <c r="B1" s="343"/>
      <c r="C1" s="343"/>
      <c r="D1" s="1051" t="s">
        <v>855</v>
      </c>
      <c r="E1" s="1051"/>
      <c r="F1" s="1051"/>
      <c r="G1" s="1051"/>
      <c r="H1" s="1051"/>
      <c r="I1" s="1051"/>
      <c r="J1" s="1051"/>
      <c r="K1" s="1051"/>
      <c r="L1" s="1051"/>
      <c r="M1" s="1051"/>
      <c r="N1" s="1051"/>
      <c r="O1" s="1051"/>
      <c r="P1" s="1051"/>
      <c r="Q1" s="1051"/>
      <c r="R1" s="1051"/>
      <c r="S1" s="1050" t="s">
        <v>856</v>
      </c>
      <c r="T1" s="1050"/>
      <c r="U1" s="1050"/>
      <c r="V1" s="1050"/>
      <c r="W1" s="1050"/>
      <c r="X1" s="1050"/>
      <c r="Y1" s="1050"/>
      <c r="Z1" s="1050"/>
      <c r="AA1" s="1050"/>
      <c r="AB1" s="1050"/>
      <c r="AC1" s="1050"/>
      <c r="AD1" s="1050"/>
      <c r="AE1" s="1050"/>
      <c r="AF1" s="1050"/>
      <c r="AG1" s="1050"/>
      <c r="AH1" s="1050"/>
    </row>
    <row r="2" spans="1:35" ht="28.9" customHeight="1">
      <c r="A2" s="344"/>
      <c r="R2" s="346" t="s">
        <v>157</v>
      </c>
      <c r="U2" s="347"/>
      <c r="V2" s="348"/>
      <c r="AH2" s="346" t="s">
        <v>157</v>
      </c>
    </row>
    <row r="3" spans="1:35" s="354" customFormat="1" ht="35.1" customHeight="1">
      <c r="A3" s="994" t="s">
        <v>158</v>
      </c>
      <c r="B3" s="994" t="s">
        <v>159</v>
      </c>
      <c r="C3" s="994" t="s">
        <v>160</v>
      </c>
      <c r="D3" s="996" t="s">
        <v>161</v>
      </c>
      <c r="E3" s="351" t="s">
        <v>162</v>
      </c>
      <c r="F3" s="352"/>
      <c r="G3" s="353"/>
      <c r="H3" s="991" t="s">
        <v>163</v>
      </c>
      <c r="I3" s="992"/>
      <c r="J3" s="992"/>
      <c r="K3" s="992"/>
      <c r="L3" s="992"/>
      <c r="M3" s="992"/>
      <c r="N3" s="992"/>
      <c r="O3" s="993"/>
      <c r="P3" s="991" t="s">
        <v>851</v>
      </c>
      <c r="Q3" s="992"/>
      <c r="R3" s="993"/>
      <c r="S3" s="988" t="s">
        <v>852</v>
      </c>
      <c r="T3" s="989"/>
      <c r="U3" s="989"/>
      <c r="V3" s="989"/>
      <c r="W3" s="989"/>
      <c r="X3" s="989"/>
      <c r="Y3" s="989"/>
      <c r="Z3" s="989"/>
      <c r="AA3" s="989"/>
      <c r="AB3" s="989"/>
      <c r="AC3" s="989"/>
      <c r="AD3" s="989"/>
      <c r="AE3" s="990"/>
      <c r="AF3" s="991" t="s">
        <v>165</v>
      </c>
      <c r="AG3" s="992"/>
      <c r="AH3" s="993"/>
      <c r="AI3" s="354" t="s">
        <v>378</v>
      </c>
    </row>
    <row r="4" spans="1:35" s="354" customFormat="1" ht="35.1" customHeight="1">
      <c r="A4" s="995"/>
      <c r="B4" s="995"/>
      <c r="C4" s="995"/>
      <c r="D4" s="997"/>
      <c r="E4" s="355"/>
      <c r="F4" s="356" t="s">
        <v>166</v>
      </c>
      <c r="G4" s="356" t="s">
        <v>167</v>
      </c>
      <c r="H4" s="357"/>
      <c r="I4" s="481" t="s">
        <v>169</v>
      </c>
      <c r="J4" s="481" t="s">
        <v>463</v>
      </c>
      <c r="K4" s="482" t="s">
        <v>491</v>
      </c>
      <c r="L4" s="350" t="s">
        <v>170</v>
      </c>
      <c r="M4" s="350" t="s">
        <v>464</v>
      </c>
      <c r="N4" s="350" t="s">
        <v>172</v>
      </c>
      <c r="O4" s="356" t="s">
        <v>173</v>
      </c>
      <c r="P4" s="355"/>
      <c r="Q4" s="358" t="s">
        <v>174</v>
      </c>
      <c r="R4" s="350" t="s">
        <v>56</v>
      </c>
      <c r="S4" s="359" t="s">
        <v>57</v>
      </c>
      <c r="T4" s="359" t="s">
        <v>58</v>
      </c>
      <c r="U4" s="359" t="s">
        <v>59</v>
      </c>
      <c r="V4" s="359" t="s">
        <v>60</v>
      </c>
      <c r="W4" s="359" t="s">
        <v>61</v>
      </c>
      <c r="X4" s="359" t="s">
        <v>62</v>
      </c>
      <c r="Y4" s="359" t="s">
        <v>465</v>
      </c>
      <c r="Z4" s="359" t="s">
        <v>64</v>
      </c>
      <c r="AA4" s="359" t="s">
        <v>65</v>
      </c>
      <c r="AB4" s="359" t="s">
        <v>66</v>
      </c>
      <c r="AC4" s="359" t="s">
        <v>67</v>
      </c>
      <c r="AD4" s="359" t="s">
        <v>68</v>
      </c>
      <c r="AE4" s="357" t="s">
        <v>173</v>
      </c>
      <c r="AF4" s="360"/>
      <c r="AG4" s="350" t="s">
        <v>175</v>
      </c>
      <c r="AH4" s="350" t="s">
        <v>176</v>
      </c>
    </row>
    <row r="5" spans="1:35" s="404" customFormat="1" ht="26.1" customHeight="1">
      <c r="A5" s="419" t="s">
        <v>863</v>
      </c>
      <c r="B5" s="420"/>
      <c r="C5" s="421"/>
      <c r="D5" s="422"/>
      <c r="E5" s="402">
        <f t="shared" ref="E5:AH5" si="0">E6+E7+E8</f>
        <v>4948500</v>
      </c>
      <c r="F5" s="402">
        <f t="shared" si="0"/>
        <v>41500</v>
      </c>
      <c r="G5" s="402">
        <f t="shared" si="0"/>
        <v>4907000</v>
      </c>
      <c r="H5" s="402">
        <f t="shared" si="0"/>
        <v>1960650</v>
      </c>
      <c r="I5" s="402">
        <f t="shared" si="0"/>
        <v>130281</v>
      </c>
      <c r="J5" s="402">
        <f t="shared" si="0"/>
        <v>29946</v>
      </c>
      <c r="K5" s="402">
        <f t="shared" si="0"/>
        <v>270445</v>
      </c>
      <c r="L5" s="402">
        <f t="shared" si="0"/>
        <v>234945</v>
      </c>
      <c r="M5" s="402">
        <f t="shared" si="0"/>
        <v>797250</v>
      </c>
      <c r="N5" s="402">
        <f t="shared" si="0"/>
        <v>497783</v>
      </c>
      <c r="O5" s="402">
        <f t="shared" si="0"/>
        <v>0</v>
      </c>
      <c r="P5" s="402">
        <f t="shared" si="0"/>
        <v>2977750</v>
      </c>
      <c r="Q5" s="402">
        <f t="shared" si="0"/>
        <v>320536</v>
      </c>
      <c r="R5" s="402">
        <f t="shared" si="0"/>
        <v>27951</v>
      </c>
      <c r="S5" s="402">
        <f t="shared" si="0"/>
        <v>133755</v>
      </c>
      <c r="T5" s="402">
        <f t="shared" si="0"/>
        <v>712304</v>
      </c>
      <c r="U5" s="402">
        <f t="shared" si="0"/>
        <v>61293</v>
      </c>
      <c r="V5" s="402">
        <f t="shared" si="0"/>
        <v>578627</v>
      </c>
      <c r="W5" s="402">
        <f t="shared" si="0"/>
        <v>483852</v>
      </c>
      <c r="X5" s="402">
        <f t="shared" si="0"/>
        <v>387509</v>
      </c>
      <c r="Y5" s="402">
        <f t="shared" si="0"/>
        <v>69536</v>
      </c>
      <c r="Z5" s="402">
        <f t="shared" si="0"/>
        <v>37780</v>
      </c>
      <c r="AA5" s="402">
        <f t="shared" si="0"/>
        <v>8390</v>
      </c>
      <c r="AB5" s="402">
        <f t="shared" si="0"/>
        <v>61072</v>
      </c>
      <c r="AC5" s="402">
        <f t="shared" si="0"/>
        <v>66462</v>
      </c>
      <c r="AD5" s="402">
        <f t="shared" si="0"/>
        <v>28683</v>
      </c>
      <c r="AE5" s="402">
        <f t="shared" si="0"/>
        <v>0</v>
      </c>
      <c r="AF5" s="402">
        <f t="shared" si="0"/>
        <v>10100</v>
      </c>
      <c r="AG5" s="402">
        <f t="shared" si="0"/>
        <v>10100</v>
      </c>
      <c r="AH5" s="402">
        <f t="shared" si="0"/>
        <v>0</v>
      </c>
      <c r="AI5" s="417">
        <f t="shared" ref="AI5:AI16" si="1">IF(+F5+G5=E5,0,FALSE)</f>
        <v>0</v>
      </c>
    </row>
    <row r="6" spans="1:35" s="410" customFormat="1" ht="23.45" customHeight="1">
      <c r="A6" s="431" t="s">
        <v>116</v>
      </c>
      <c r="B6" s="412" t="s">
        <v>114</v>
      </c>
      <c r="C6" s="413" t="s">
        <v>882</v>
      </c>
      <c r="D6" s="414">
        <v>6</v>
      </c>
      <c r="E6" s="415">
        <f>SUM(H6,P6,AF6)</f>
        <v>915000</v>
      </c>
      <c r="F6" s="415">
        <v>0</v>
      </c>
      <c r="G6" s="415">
        <v>915000</v>
      </c>
      <c r="H6" s="415">
        <f>SUM(I6:O6)</f>
        <v>329400</v>
      </c>
      <c r="I6" s="415">
        <v>81281</v>
      </c>
      <c r="J6" s="415">
        <v>29946</v>
      </c>
      <c r="K6" s="415">
        <v>29945</v>
      </c>
      <c r="L6" s="415">
        <v>29945</v>
      </c>
      <c r="M6" s="415">
        <v>124060</v>
      </c>
      <c r="N6" s="415">
        <v>34223</v>
      </c>
      <c r="O6" s="416">
        <v>0</v>
      </c>
      <c r="P6" s="416">
        <f>SUM(Q6:AE6)</f>
        <v>579500</v>
      </c>
      <c r="Q6" s="415">
        <v>166826</v>
      </c>
      <c r="R6" s="415">
        <v>3951</v>
      </c>
      <c r="S6" s="415">
        <v>37755</v>
      </c>
      <c r="T6" s="415">
        <v>114144</v>
      </c>
      <c r="U6" s="415">
        <v>12293</v>
      </c>
      <c r="V6" s="415">
        <v>23707</v>
      </c>
      <c r="W6" s="415">
        <v>48292</v>
      </c>
      <c r="X6" s="415">
        <v>13609</v>
      </c>
      <c r="Y6" s="415">
        <v>10536</v>
      </c>
      <c r="Z6" s="415">
        <v>8780</v>
      </c>
      <c r="AA6" s="415">
        <v>4390</v>
      </c>
      <c r="AB6" s="415">
        <v>57072</v>
      </c>
      <c r="AC6" s="415">
        <v>61462</v>
      </c>
      <c r="AD6" s="415">
        <v>16683</v>
      </c>
      <c r="AE6" s="415">
        <v>0</v>
      </c>
      <c r="AF6" s="415">
        <f>SUM(AG6:AH6)</f>
        <v>6100</v>
      </c>
      <c r="AG6" s="415">
        <v>6100</v>
      </c>
      <c r="AH6" s="415">
        <v>0</v>
      </c>
      <c r="AI6" s="417">
        <f t="shared" si="1"/>
        <v>0</v>
      </c>
    </row>
    <row r="7" spans="1:35" s="410" customFormat="1" ht="24" customHeight="1">
      <c r="A7" s="431" t="s">
        <v>916</v>
      </c>
      <c r="B7" s="412" t="s">
        <v>918</v>
      </c>
      <c r="C7" s="413" t="s">
        <v>1040</v>
      </c>
      <c r="D7" s="414">
        <v>4</v>
      </c>
      <c r="E7" s="415">
        <f>SUM(H7,P7,AF7)</f>
        <v>3749500</v>
      </c>
      <c r="F7" s="415">
        <v>17500</v>
      </c>
      <c r="G7" s="415">
        <v>3732000</v>
      </c>
      <c r="H7" s="415">
        <f>SUM(I7:O7)</f>
        <v>1506500</v>
      </c>
      <c r="I7" s="415">
        <v>49000</v>
      </c>
      <c r="J7" s="415">
        <v>0</v>
      </c>
      <c r="K7" s="415">
        <v>232000</v>
      </c>
      <c r="L7" s="415">
        <v>205000</v>
      </c>
      <c r="M7" s="415">
        <v>585500</v>
      </c>
      <c r="N7" s="415">
        <v>435000</v>
      </c>
      <c r="O7" s="416">
        <v>0</v>
      </c>
      <c r="P7" s="416">
        <f>SUM(Q7:AE7)</f>
        <v>2239000</v>
      </c>
      <c r="Q7" s="415">
        <v>120000</v>
      </c>
      <c r="R7" s="415">
        <v>24000</v>
      </c>
      <c r="S7" s="415">
        <v>96000</v>
      </c>
      <c r="T7" s="415">
        <v>557000</v>
      </c>
      <c r="U7" s="415">
        <v>49000</v>
      </c>
      <c r="V7" s="415">
        <v>529000</v>
      </c>
      <c r="W7" s="415">
        <v>406000</v>
      </c>
      <c r="X7" s="415">
        <v>345000</v>
      </c>
      <c r="Y7" s="415">
        <v>59000</v>
      </c>
      <c r="Z7" s="415">
        <v>29000</v>
      </c>
      <c r="AA7" s="415">
        <v>4000</v>
      </c>
      <c r="AB7" s="415">
        <v>4000</v>
      </c>
      <c r="AC7" s="415">
        <v>5000</v>
      </c>
      <c r="AD7" s="415">
        <v>12000</v>
      </c>
      <c r="AE7" s="415">
        <v>0</v>
      </c>
      <c r="AF7" s="415">
        <f>SUM(AG7:AH7)</f>
        <v>4000</v>
      </c>
      <c r="AG7" s="415">
        <v>4000</v>
      </c>
      <c r="AH7" s="415">
        <v>0</v>
      </c>
      <c r="AI7" s="417">
        <f t="shared" si="1"/>
        <v>0</v>
      </c>
    </row>
    <row r="8" spans="1:35" s="404" customFormat="1" ht="24" customHeight="1">
      <c r="A8" s="398" t="s">
        <v>941</v>
      </c>
      <c r="B8" s="399"/>
      <c r="C8" s="400"/>
      <c r="D8" s="401"/>
      <c r="E8" s="402">
        <f t="shared" ref="E8:AH8" si="2">SUM(E9:E11)</f>
        <v>284000</v>
      </c>
      <c r="F8" s="402">
        <f t="shared" si="2"/>
        <v>24000</v>
      </c>
      <c r="G8" s="402">
        <f t="shared" si="2"/>
        <v>260000</v>
      </c>
      <c r="H8" s="402">
        <f t="shared" si="2"/>
        <v>124750</v>
      </c>
      <c r="I8" s="402">
        <f t="shared" si="2"/>
        <v>0</v>
      </c>
      <c r="J8" s="402">
        <f t="shared" si="2"/>
        <v>0</v>
      </c>
      <c r="K8" s="402">
        <f t="shared" si="2"/>
        <v>8500</v>
      </c>
      <c r="L8" s="402">
        <f t="shared" si="2"/>
        <v>0</v>
      </c>
      <c r="M8" s="402">
        <f t="shared" si="2"/>
        <v>87690</v>
      </c>
      <c r="N8" s="402">
        <f t="shared" si="2"/>
        <v>28560</v>
      </c>
      <c r="O8" s="402">
        <f t="shared" si="2"/>
        <v>0</v>
      </c>
      <c r="P8" s="402">
        <f t="shared" si="2"/>
        <v>159250</v>
      </c>
      <c r="Q8" s="402">
        <f t="shared" si="2"/>
        <v>33710</v>
      </c>
      <c r="R8" s="402">
        <f t="shared" si="2"/>
        <v>0</v>
      </c>
      <c r="S8" s="402">
        <f t="shared" si="2"/>
        <v>0</v>
      </c>
      <c r="T8" s="402">
        <f t="shared" si="2"/>
        <v>41160</v>
      </c>
      <c r="U8" s="402">
        <f t="shared" si="2"/>
        <v>0</v>
      </c>
      <c r="V8" s="402">
        <f t="shared" si="2"/>
        <v>25920</v>
      </c>
      <c r="W8" s="402">
        <f t="shared" si="2"/>
        <v>29560</v>
      </c>
      <c r="X8" s="402">
        <f t="shared" si="2"/>
        <v>28900</v>
      </c>
      <c r="Y8" s="402">
        <f t="shared" si="2"/>
        <v>0</v>
      </c>
      <c r="Z8" s="402">
        <f t="shared" si="2"/>
        <v>0</v>
      </c>
      <c r="AA8" s="402">
        <f t="shared" si="2"/>
        <v>0</v>
      </c>
      <c r="AB8" s="402">
        <f t="shared" si="2"/>
        <v>0</v>
      </c>
      <c r="AC8" s="402">
        <f t="shared" si="2"/>
        <v>0</v>
      </c>
      <c r="AD8" s="402">
        <f t="shared" si="2"/>
        <v>0</v>
      </c>
      <c r="AE8" s="402">
        <f t="shared" si="2"/>
        <v>0</v>
      </c>
      <c r="AF8" s="402">
        <f t="shared" si="2"/>
        <v>0</v>
      </c>
      <c r="AG8" s="402">
        <f t="shared" si="2"/>
        <v>0</v>
      </c>
      <c r="AH8" s="402">
        <f t="shared" si="2"/>
        <v>0</v>
      </c>
      <c r="AI8" s="403">
        <f t="shared" si="1"/>
        <v>0</v>
      </c>
    </row>
    <row r="9" spans="1:35" s="363" customFormat="1" ht="29.45" customHeight="1">
      <c r="A9" s="364" t="s">
        <v>178</v>
      </c>
      <c r="B9" s="365" t="s">
        <v>179</v>
      </c>
      <c r="C9" s="366" t="s">
        <v>509</v>
      </c>
      <c r="D9" s="367">
        <v>4</v>
      </c>
      <c r="E9" s="385">
        <f t="shared" ref="E9:E15" si="3">SUM(H9,P9,AF9)</f>
        <v>10000</v>
      </c>
      <c r="F9" s="368">
        <v>0</v>
      </c>
      <c r="G9" s="368">
        <v>10000</v>
      </c>
      <c r="H9" s="384">
        <f t="shared" ref="H9:H15" si="4">SUM(I9:O9)</f>
        <v>10000</v>
      </c>
      <c r="I9" s="368">
        <v>0</v>
      </c>
      <c r="J9" s="368">
        <v>0</v>
      </c>
      <c r="K9" s="368">
        <v>0</v>
      </c>
      <c r="L9" s="368">
        <v>0</v>
      </c>
      <c r="M9" s="368">
        <v>0</v>
      </c>
      <c r="N9" s="368">
        <v>10000</v>
      </c>
      <c r="O9" s="369">
        <v>0</v>
      </c>
      <c r="P9" s="386">
        <f t="shared" ref="P9:P15" si="5">SUM(Q9:AE9)</f>
        <v>0</v>
      </c>
      <c r="Q9" s="368">
        <v>0</v>
      </c>
      <c r="R9" s="368">
        <v>0</v>
      </c>
      <c r="S9" s="368">
        <v>0</v>
      </c>
      <c r="T9" s="368">
        <v>0</v>
      </c>
      <c r="U9" s="368">
        <v>0</v>
      </c>
      <c r="V9" s="368">
        <v>0</v>
      </c>
      <c r="W9" s="368">
        <v>0</v>
      </c>
      <c r="X9" s="368">
        <v>0</v>
      </c>
      <c r="Y9" s="368">
        <v>0</v>
      </c>
      <c r="Z9" s="368">
        <v>0</v>
      </c>
      <c r="AA9" s="368">
        <v>0</v>
      </c>
      <c r="AB9" s="368">
        <v>0</v>
      </c>
      <c r="AC9" s="368">
        <v>0</v>
      </c>
      <c r="AD9" s="368">
        <v>0</v>
      </c>
      <c r="AE9" s="368">
        <v>0</v>
      </c>
      <c r="AF9" s="385">
        <f t="shared" ref="AF9:AF15" si="6">SUM(AG9:AH9)</f>
        <v>0</v>
      </c>
      <c r="AG9" s="368"/>
      <c r="AH9" s="368"/>
      <c r="AI9" s="362">
        <f t="shared" si="1"/>
        <v>0</v>
      </c>
    </row>
    <row r="10" spans="1:35" s="363" customFormat="1" ht="27.95" customHeight="1">
      <c r="A10" s="364" t="s">
        <v>178</v>
      </c>
      <c r="B10" s="365" t="s">
        <v>407</v>
      </c>
      <c r="C10" s="366" t="s">
        <v>510</v>
      </c>
      <c r="D10" s="367">
        <v>4</v>
      </c>
      <c r="E10" s="385">
        <f t="shared" si="3"/>
        <v>190000</v>
      </c>
      <c r="F10" s="368">
        <v>0</v>
      </c>
      <c r="G10" s="368">
        <v>190000</v>
      </c>
      <c r="H10" s="384">
        <f t="shared" si="4"/>
        <v>86250</v>
      </c>
      <c r="I10" s="368">
        <v>0</v>
      </c>
      <c r="J10" s="368">
        <v>0</v>
      </c>
      <c r="K10" s="368">
        <v>0</v>
      </c>
      <c r="L10" s="368">
        <v>0</v>
      </c>
      <c r="M10" s="368">
        <v>77690</v>
      </c>
      <c r="N10" s="368">
        <v>8560</v>
      </c>
      <c r="O10" s="369">
        <v>0</v>
      </c>
      <c r="P10" s="386">
        <f t="shared" si="5"/>
        <v>103750</v>
      </c>
      <c r="Q10" s="368">
        <v>23710</v>
      </c>
      <c r="R10" s="368">
        <v>0</v>
      </c>
      <c r="S10" s="368">
        <v>0</v>
      </c>
      <c r="T10" s="368">
        <v>27160</v>
      </c>
      <c r="U10" s="368">
        <v>0</v>
      </c>
      <c r="V10" s="368">
        <v>9420</v>
      </c>
      <c r="W10" s="368">
        <v>19560</v>
      </c>
      <c r="X10" s="368">
        <v>23900</v>
      </c>
      <c r="Y10" s="368">
        <v>0</v>
      </c>
      <c r="Z10" s="368">
        <v>0</v>
      </c>
      <c r="AA10" s="368">
        <v>0</v>
      </c>
      <c r="AB10" s="368">
        <v>0</v>
      </c>
      <c r="AC10" s="368">
        <v>0</v>
      </c>
      <c r="AD10" s="368">
        <v>0</v>
      </c>
      <c r="AE10" s="368">
        <v>0</v>
      </c>
      <c r="AF10" s="385">
        <f t="shared" si="6"/>
        <v>0</v>
      </c>
      <c r="AG10" s="368"/>
      <c r="AH10" s="368"/>
      <c r="AI10" s="362">
        <f t="shared" si="1"/>
        <v>0</v>
      </c>
    </row>
    <row r="11" spans="1:35" s="363" customFormat="1" ht="29.45" customHeight="1">
      <c r="A11" s="364" t="s">
        <v>178</v>
      </c>
      <c r="B11" s="365" t="s">
        <v>9</v>
      </c>
      <c r="C11" s="366" t="s">
        <v>511</v>
      </c>
      <c r="D11" s="367">
        <v>4</v>
      </c>
      <c r="E11" s="385">
        <f t="shared" si="3"/>
        <v>84000</v>
      </c>
      <c r="F11" s="368">
        <v>24000</v>
      </c>
      <c r="G11" s="368">
        <v>60000</v>
      </c>
      <c r="H11" s="384">
        <f t="shared" si="4"/>
        <v>28500</v>
      </c>
      <c r="I11" s="368">
        <v>0</v>
      </c>
      <c r="J11" s="368">
        <v>0</v>
      </c>
      <c r="K11" s="368">
        <v>8500</v>
      </c>
      <c r="L11" s="368">
        <v>0</v>
      </c>
      <c r="M11" s="368">
        <v>10000</v>
      </c>
      <c r="N11" s="368">
        <v>10000</v>
      </c>
      <c r="O11" s="369">
        <v>0</v>
      </c>
      <c r="P11" s="386">
        <f t="shared" si="5"/>
        <v>55500</v>
      </c>
      <c r="Q11" s="368">
        <v>10000</v>
      </c>
      <c r="R11" s="368">
        <v>0</v>
      </c>
      <c r="S11" s="368">
        <v>0</v>
      </c>
      <c r="T11" s="368">
        <v>14000</v>
      </c>
      <c r="U11" s="368">
        <v>0</v>
      </c>
      <c r="V11" s="368">
        <v>16500</v>
      </c>
      <c r="W11" s="368">
        <v>10000</v>
      </c>
      <c r="X11" s="368">
        <v>5000</v>
      </c>
      <c r="Y11" s="368">
        <v>0</v>
      </c>
      <c r="Z11" s="368">
        <v>0</v>
      </c>
      <c r="AA11" s="368">
        <v>0</v>
      </c>
      <c r="AB11" s="368">
        <v>0</v>
      </c>
      <c r="AC11" s="368">
        <v>0</v>
      </c>
      <c r="AD11" s="368">
        <v>0</v>
      </c>
      <c r="AE11" s="368">
        <v>0</v>
      </c>
      <c r="AF11" s="385">
        <f t="shared" si="6"/>
        <v>0</v>
      </c>
      <c r="AG11" s="368"/>
      <c r="AH11" s="368"/>
      <c r="AI11" s="362">
        <f t="shared" si="1"/>
        <v>0</v>
      </c>
    </row>
    <row r="12" spans="1:35" s="363" customFormat="1" ht="24" customHeight="1">
      <c r="A12" s="364"/>
      <c r="B12" s="365"/>
      <c r="C12" s="366"/>
      <c r="D12" s="367"/>
      <c r="E12" s="385">
        <f t="shared" si="3"/>
        <v>0</v>
      </c>
      <c r="F12" s="368"/>
      <c r="G12" s="368"/>
      <c r="H12" s="384">
        <f t="shared" si="4"/>
        <v>0</v>
      </c>
      <c r="I12" s="368"/>
      <c r="J12" s="368"/>
      <c r="K12" s="368"/>
      <c r="L12" s="368"/>
      <c r="M12" s="368"/>
      <c r="N12" s="368"/>
      <c r="O12" s="369"/>
      <c r="P12" s="386">
        <f t="shared" si="5"/>
        <v>0</v>
      </c>
      <c r="Q12" s="368"/>
      <c r="R12" s="368"/>
      <c r="S12" s="368"/>
      <c r="T12" s="368"/>
      <c r="U12" s="368"/>
      <c r="V12" s="368"/>
      <c r="W12" s="368"/>
      <c r="X12" s="368"/>
      <c r="Y12" s="368"/>
      <c r="Z12" s="368"/>
      <c r="AA12" s="368"/>
      <c r="AB12" s="368"/>
      <c r="AC12" s="368"/>
      <c r="AD12" s="368"/>
      <c r="AE12" s="368"/>
      <c r="AF12" s="385">
        <f t="shared" si="6"/>
        <v>0</v>
      </c>
      <c r="AG12" s="368"/>
      <c r="AH12" s="368"/>
      <c r="AI12" s="362">
        <f t="shared" si="1"/>
        <v>0</v>
      </c>
    </row>
    <row r="13" spans="1:35" s="363" customFormat="1" ht="24" customHeight="1">
      <c r="A13" s="364"/>
      <c r="B13" s="365"/>
      <c r="C13" s="366"/>
      <c r="D13" s="367"/>
      <c r="E13" s="385">
        <f t="shared" si="3"/>
        <v>0</v>
      </c>
      <c r="F13" s="368"/>
      <c r="G13" s="368"/>
      <c r="H13" s="384">
        <f t="shared" si="4"/>
        <v>0</v>
      </c>
      <c r="I13" s="368"/>
      <c r="J13" s="368"/>
      <c r="K13" s="368"/>
      <c r="L13" s="368"/>
      <c r="M13" s="368"/>
      <c r="N13" s="368"/>
      <c r="O13" s="369"/>
      <c r="P13" s="386">
        <f t="shared" si="5"/>
        <v>0</v>
      </c>
      <c r="Q13" s="368"/>
      <c r="R13" s="368"/>
      <c r="S13" s="368"/>
      <c r="T13" s="368"/>
      <c r="U13" s="368"/>
      <c r="V13" s="368"/>
      <c r="W13" s="368"/>
      <c r="X13" s="368"/>
      <c r="Y13" s="368"/>
      <c r="Z13" s="368"/>
      <c r="AA13" s="368"/>
      <c r="AB13" s="368"/>
      <c r="AC13" s="368"/>
      <c r="AD13" s="368"/>
      <c r="AE13" s="368"/>
      <c r="AF13" s="385">
        <f t="shared" si="6"/>
        <v>0</v>
      </c>
      <c r="AG13" s="368"/>
      <c r="AH13" s="368"/>
      <c r="AI13" s="362">
        <f t="shared" si="1"/>
        <v>0</v>
      </c>
    </row>
    <row r="14" spans="1:35" s="363" customFormat="1" ht="24" customHeight="1">
      <c r="A14" s="364"/>
      <c r="B14" s="365"/>
      <c r="C14" s="365"/>
      <c r="D14" s="372"/>
      <c r="E14" s="385">
        <f t="shared" si="3"/>
        <v>0</v>
      </c>
      <c r="F14" s="368"/>
      <c r="G14" s="368"/>
      <c r="H14" s="384">
        <f t="shared" si="4"/>
        <v>0</v>
      </c>
      <c r="I14" s="361"/>
      <c r="J14" s="361"/>
      <c r="K14" s="361"/>
      <c r="L14" s="361"/>
      <c r="M14" s="361"/>
      <c r="N14" s="361"/>
      <c r="O14" s="373"/>
      <c r="P14" s="386">
        <f t="shared" si="5"/>
        <v>0</v>
      </c>
      <c r="Q14" s="361"/>
      <c r="R14" s="361"/>
      <c r="S14" s="361"/>
      <c r="T14" s="361"/>
      <c r="U14" s="361"/>
      <c r="V14" s="361"/>
      <c r="W14" s="361"/>
      <c r="X14" s="361"/>
      <c r="Y14" s="361"/>
      <c r="Z14" s="361"/>
      <c r="AA14" s="361"/>
      <c r="AB14" s="361"/>
      <c r="AC14" s="361"/>
      <c r="AD14" s="361"/>
      <c r="AE14" s="361"/>
      <c r="AF14" s="385">
        <f t="shared" si="6"/>
        <v>0</v>
      </c>
      <c r="AG14" s="361"/>
      <c r="AH14" s="361"/>
      <c r="AI14" s="362">
        <f t="shared" si="1"/>
        <v>0</v>
      </c>
    </row>
    <row r="15" spans="1:35" s="363" customFormat="1" ht="24" customHeight="1">
      <c r="A15" s="364"/>
      <c r="B15" s="365"/>
      <c r="C15" s="366"/>
      <c r="D15" s="367"/>
      <c r="E15" s="385">
        <f t="shared" si="3"/>
        <v>0</v>
      </c>
      <c r="F15" s="368"/>
      <c r="G15" s="368"/>
      <c r="H15" s="384">
        <f t="shared" si="4"/>
        <v>0</v>
      </c>
      <c r="I15" s="368"/>
      <c r="J15" s="368"/>
      <c r="K15" s="368"/>
      <c r="L15" s="368"/>
      <c r="M15" s="368"/>
      <c r="N15" s="368"/>
      <c r="O15" s="369"/>
      <c r="P15" s="386">
        <f t="shared" si="5"/>
        <v>0</v>
      </c>
      <c r="Q15" s="368"/>
      <c r="R15" s="368"/>
      <c r="S15" s="368"/>
      <c r="T15" s="368"/>
      <c r="U15" s="368"/>
      <c r="V15" s="368"/>
      <c r="W15" s="368"/>
      <c r="X15" s="368"/>
      <c r="Y15" s="368"/>
      <c r="Z15" s="368"/>
      <c r="AA15" s="368"/>
      <c r="AB15" s="368"/>
      <c r="AC15" s="368"/>
      <c r="AD15" s="368"/>
      <c r="AE15" s="368"/>
      <c r="AF15" s="385">
        <f t="shared" si="6"/>
        <v>0</v>
      </c>
      <c r="AG15" s="368"/>
      <c r="AH15" s="368"/>
      <c r="AI15" s="362">
        <f t="shared" si="1"/>
        <v>0</v>
      </c>
    </row>
    <row r="16" spans="1:35" ht="26.1" customHeight="1">
      <c r="A16" s="364"/>
      <c r="B16" s="364"/>
      <c r="C16" s="365"/>
      <c r="D16" s="372"/>
      <c r="E16" s="385"/>
      <c r="F16" s="368"/>
      <c r="G16" s="368"/>
      <c r="H16" s="385"/>
      <c r="I16" s="368"/>
      <c r="J16" s="368"/>
      <c r="K16" s="368"/>
      <c r="L16" s="368"/>
      <c r="M16" s="368"/>
      <c r="N16" s="368"/>
      <c r="O16" s="369"/>
      <c r="P16" s="386"/>
      <c r="Q16" s="368"/>
      <c r="R16" s="368"/>
      <c r="S16" s="368"/>
      <c r="T16" s="368"/>
      <c r="U16" s="368"/>
      <c r="V16" s="368"/>
      <c r="W16" s="368"/>
      <c r="X16" s="368"/>
      <c r="Y16" s="368"/>
      <c r="Z16" s="368"/>
      <c r="AA16" s="368"/>
      <c r="AB16" s="368"/>
      <c r="AC16" s="368"/>
      <c r="AD16" s="368"/>
      <c r="AE16" s="368"/>
      <c r="AF16" s="385"/>
      <c r="AG16" s="368"/>
      <c r="AH16" s="368"/>
      <c r="AI16" s="362">
        <f t="shared" si="1"/>
        <v>0</v>
      </c>
    </row>
    <row r="17" spans="1:35" s="382" customFormat="1" ht="26.1" customHeight="1">
      <c r="A17" s="374" t="s">
        <v>490</v>
      </c>
      <c r="B17" s="375"/>
      <c r="C17" s="376"/>
      <c r="D17" s="376"/>
      <c r="E17" s="377"/>
      <c r="F17" s="377"/>
      <c r="G17" s="377"/>
      <c r="H17" s="377"/>
      <c r="I17" s="377"/>
      <c r="J17" s="377"/>
      <c r="K17" s="377"/>
      <c r="L17" s="377"/>
      <c r="M17" s="377"/>
      <c r="N17" s="377"/>
      <c r="O17" s="378"/>
      <c r="P17" s="379"/>
      <c r="Q17" s="377"/>
      <c r="R17" s="377"/>
      <c r="S17" s="377"/>
      <c r="T17" s="377"/>
      <c r="U17" s="377"/>
      <c r="V17" s="377"/>
      <c r="W17" s="377"/>
      <c r="X17" s="377"/>
      <c r="Y17" s="377"/>
      <c r="Z17" s="377"/>
      <c r="AA17" s="377"/>
      <c r="AB17" s="377"/>
      <c r="AC17" s="377"/>
      <c r="AD17" s="377"/>
      <c r="AE17" s="377"/>
      <c r="AF17" s="380"/>
      <c r="AG17" s="377"/>
      <c r="AH17" s="377"/>
      <c r="AI17" s="381"/>
    </row>
    <row r="19" spans="1:35" ht="21">
      <c r="A19" s="440" t="s">
        <v>1039</v>
      </c>
    </row>
  </sheetData>
  <mergeCells count="10">
    <mergeCell ref="D1:R1"/>
    <mergeCell ref="S1:AH1"/>
    <mergeCell ref="A3:A4"/>
    <mergeCell ref="B3:B4"/>
    <mergeCell ref="C3:C4"/>
    <mergeCell ref="D3:D4"/>
    <mergeCell ref="H3:O3"/>
    <mergeCell ref="P3:R3"/>
    <mergeCell ref="S3:AE3"/>
    <mergeCell ref="AF3:AH3"/>
  </mergeCells>
  <phoneticPr fontId="3" type="noConversion"/>
  <pageMargins left="0.39370078740157483" right="0.39370078740157483" top="0.39370078740157483" bottom="0.39370078740157483" header="0.19685039370078741" footer="0.43307086614173229"/>
  <pageSetup paperSize="9" scale="70" orientation="landscape" r:id="rId1"/>
  <headerFooter alignWithMargins="0"/>
  <colBreaks count="1" manualBreakCount="1">
    <brk id="18" max="10" man="1"/>
  </col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indexed="44"/>
  </sheetPr>
  <dimension ref="A1:AI374"/>
  <sheetViews>
    <sheetView view="pageBreakPreview" zoomScale="75" zoomScaleNormal="75" zoomScaleSheetLayoutView="75" workbookViewId="0">
      <pane xSplit="3" ySplit="5" topLeftCell="D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345" customWidth="1"/>
    <col min="2" max="2" width="13.5" style="345" customWidth="1"/>
    <col min="3" max="3" width="29.5" style="345" customWidth="1"/>
    <col min="4" max="4" width="7.875" style="345" customWidth="1"/>
    <col min="5" max="5" width="13.25" style="345" customWidth="1"/>
    <col min="6" max="6" width="13.125" style="345" customWidth="1"/>
    <col min="7" max="7" width="13.25" style="345" customWidth="1"/>
    <col min="8" max="9" width="12.25" style="345" customWidth="1"/>
    <col min="10" max="10" width="12.125" style="345" customWidth="1"/>
    <col min="11" max="11" width="11.125" style="345" customWidth="1"/>
    <col min="12" max="12" width="11.75" style="345" customWidth="1"/>
    <col min="13" max="13" width="10.875" style="345" customWidth="1"/>
    <col min="14" max="14" width="11.875" style="345" customWidth="1"/>
    <col min="15" max="15" width="10.875" style="345" customWidth="1"/>
    <col min="16" max="16" width="11.5" style="345" customWidth="1"/>
    <col min="17" max="17" width="10.625" style="345" customWidth="1"/>
    <col min="18" max="18" width="10.5" style="345" customWidth="1"/>
    <col min="19" max="21" width="10.5" style="345" bestFit="1" customWidth="1"/>
    <col min="22" max="22" width="10.5" style="383" bestFit="1" customWidth="1"/>
    <col min="23" max="23" width="10.5" style="349" bestFit="1" customWidth="1"/>
    <col min="24" max="26" width="10.5" style="345" bestFit="1" customWidth="1"/>
    <col min="27" max="27" width="10.125" style="345" customWidth="1"/>
    <col min="28" max="29" width="10.5" style="345" bestFit="1" customWidth="1"/>
    <col min="30" max="30" width="9.875" style="345" customWidth="1"/>
    <col min="31" max="32" width="10.5" style="345" bestFit="1" customWidth="1"/>
    <col min="33" max="33" width="10.125" style="345" customWidth="1"/>
    <col min="34" max="34" width="10.625" style="345" customWidth="1"/>
    <col min="35" max="35" width="6.875" style="345" customWidth="1"/>
    <col min="36" max="16384" width="14.75" style="345"/>
  </cols>
  <sheetData>
    <row r="1" spans="1:35" s="342" customFormat="1" ht="42.6" customHeight="1">
      <c r="B1" s="343"/>
      <c r="C1" s="343"/>
      <c r="D1" s="998" t="s">
        <v>853</v>
      </c>
      <c r="E1" s="998"/>
      <c r="F1" s="998"/>
      <c r="G1" s="998"/>
      <c r="H1" s="998"/>
      <c r="I1" s="998"/>
      <c r="J1" s="998"/>
      <c r="K1" s="998"/>
      <c r="L1" s="998"/>
      <c r="M1" s="998"/>
      <c r="N1" s="998"/>
      <c r="O1" s="998"/>
      <c r="P1" s="998"/>
      <c r="Q1" s="998"/>
      <c r="R1" s="998"/>
      <c r="S1" s="987" t="s">
        <v>854</v>
      </c>
      <c r="T1" s="987"/>
      <c r="U1" s="987"/>
      <c r="V1" s="987"/>
      <c r="W1" s="987"/>
      <c r="X1" s="987"/>
      <c r="Y1" s="987"/>
      <c r="Z1" s="987"/>
      <c r="AA1" s="987"/>
      <c r="AB1" s="987"/>
      <c r="AC1" s="987"/>
      <c r="AD1" s="987"/>
      <c r="AE1" s="987"/>
      <c r="AF1" s="987"/>
      <c r="AG1" s="987"/>
      <c r="AH1" s="987"/>
    </row>
    <row r="2" spans="1:35" ht="28.9" customHeight="1">
      <c r="A2" s="344"/>
      <c r="R2" s="346" t="s">
        <v>157</v>
      </c>
      <c r="U2" s="347"/>
      <c r="V2" s="348"/>
      <c r="AH2" s="346" t="s">
        <v>157</v>
      </c>
    </row>
    <row r="3" spans="1:35" s="354" customFormat="1" ht="35.1" customHeight="1">
      <c r="A3" s="994" t="s">
        <v>158</v>
      </c>
      <c r="B3" s="994" t="s">
        <v>159</v>
      </c>
      <c r="C3" s="994" t="s">
        <v>160</v>
      </c>
      <c r="D3" s="996" t="s">
        <v>161</v>
      </c>
      <c r="E3" s="351" t="s">
        <v>162</v>
      </c>
      <c r="F3" s="352"/>
      <c r="G3" s="353"/>
      <c r="H3" s="991" t="s">
        <v>163</v>
      </c>
      <c r="I3" s="992"/>
      <c r="J3" s="992"/>
      <c r="K3" s="992"/>
      <c r="L3" s="992"/>
      <c r="M3" s="992"/>
      <c r="N3" s="992"/>
      <c r="O3" s="993"/>
      <c r="P3" s="991" t="s">
        <v>851</v>
      </c>
      <c r="Q3" s="992"/>
      <c r="R3" s="993"/>
      <c r="S3" s="988" t="s">
        <v>852</v>
      </c>
      <c r="T3" s="989"/>
      <c r="U3" s="989"/>
      <c r="V3" s="989"/>
      <c r="W3" s="989"/>
      <c r="X3" s="989"/>
      <c r="Y3" s="989"/>
      <c r="Z3" s="989"/>
      <c r="AA3" s="989"/>
      <c r="AB3" s="989"/>
      <c r="AC3" s="989"/>
      <c r="AD3" s="989"/>
      <c r="AE3" s="990"/>
      <c r="AF3" s="991" t="s">
        <v>165</v>
      </c>
      <c r="AG3" s="992"/>
      <c r="AH3" s="993"/>
      <c r="AI3" s="354" t="s">
        <v>378</v>
      </c>
    </row>
    <row r="4" spans="1:35" s="354" customFormat="1" ht="35.1" customHeight="1">
      <c r="A4" s="995"/>
      <c r="B4" s="995"/>
      <c r="C4" s="995"/>
      <c r="D4" s="997"/>
      <c r="E4" s="355"/>
      <c r="F4" s="356" t="s">
        <v>166</v>
      </c>
      <c r="G4" s="356" t="s">
        <v>167</v>
      </c>
      <c r="H4" s="357"/>
      <c r="I4" s="481" t="s">
        <v>169</v>
      </c>
      <c r="J4" s="481" t="s">
        <v>463</v>
      </c>
      <c r="K4" s="482" t="s">
        <v>491</v>
      </c>
      <c r="L4" s="350" t="s">
        <v>170</v>
      </c>
      <c r="M4" s="350" t="s">
        <v>464</v>
      </c>
      <c r="N4" s="350" t="s">
        <v>172</v>
      </c>
      <c r="O4" s="356" t="s">
        <v>173</v>
      </c>
      <c r="P4" s="355"/>
      <c r="Q4" s="358" t="s">
        <v>174</v>
      </c>
      <c r="R4" s="350" t="s">
        <v>56</v>
      </c>
      <c r="S4" s="359" t="s">
        <v>57</v>
      </c>
      <c r="T4" s="359" t="s">
        <v>58</v>
      </c>
      <c r="U4" s="359" t="s">
        <v>59</v>
      </c>
      <c r="V4" s="359" t="s">
        <v>60</v>
      </c>
      <c r="W4" s="359" t="s">
        <v>61</v>
      </c>
      <c r="X4" s="359" t="s">
        <v>62</v>
      </c>
      <c r="Y4" s="359" t="s">
        <v>465</v>
      </c>
      <c r="Z4" s="359" t="s">
        <v>64</v>
      </c>
      <c r="AA4" s="359" t="s">
        <v>65</v>
      </c>
      <c r="AB4" s="359" t="s">
        <v>66</v>
      </c>
      <c r="AC4" s="359" t="s">
        <v>67</v>
      </c>
      <c r="AD4" s="359" t="s">
        <v>68</v>
      </c>
      <c r="AE4" s="357" t="s">
        <v>173</v>
      </c>
      <c r="AF4" s="360"/>
      <c r="AG4" s="350" t="s">
        <v>175</v>
      </c>
      <c r="AH4" s="350" t="s">
        <v>176</v>
      </c>
    </row>
    <row r="5" spans="1:35" s="404" customFormat="1" ht="26.1" customHeight="1">
      <c r="A5" s="419" t="s">
        <v>863</v>
      </c>
      <c r="B5" s="420"/>
      <c r="C5" s="421"/>
      <c r="D5" s="422"/>
      <c r="E5" s="402">
        <f t="shared" ref="E5:AH5" si="0">E7+E14+E45+E60+E103+E111+E157+E172+E186+E219+E223+E312+E344+E348+E370</f>
        <v>146210949</v>
      </c>
      <c r="F5" s="402">
        <f t="shared" si="0"/>
        <v>88523996</v>
      </c>
      <c r="G5" s="402">
        <f t="shared" si="0"/>
        <v>57686953</v>
      </c>
      <c r="H5" s="402">
        <f t="shared" si="0"/>
        <v>93252388</v>
      </c>
      <c r="I5" s="402">
        <f t="shared" si="0"/>
        <v>15976697</v>
      </c>
      <c r="J5" s="402">
        <f t="shared" si="0"/>
        <v>15163918</v>
      </c>
      <c r="K5" s="402">
        <f t="shared" si="0"/>
        <v>8582628</v>
      </c>
      <c r="L5" s="402">
        <f t="shared" si="0"/>
        <v>19514622</v>
      </c>
      <c r="M5" s="402">
        <f t="shared" si="0"/>
        <v>7420158</v>
      </c>
      <c r="N5" s="402">
        <f t="shared" si="0"/>
        <v>18992338</v>
      </c>
      <c r="O5" s="402">
        <f t="shared" si="0"/>
        <v>7602027</v>
      </c>
      <c r="P5" s="402">
        <f t="shared" si="0"/>
        <v>49844415</v>
      </c>
      <c r="Q5" s="402">
        <f t="shared" si="0"/>
        <v>2905528</v>
      </c>
      <c r="R5" s="402">
        <f t="shared" si="0"/>
        <v>2719752</v>
      </c>
      <c r="S5" s="402">
        <f t="shared" si="0"/>
        <v>3319391</v>
      </c>
      <c r="T5" s="402">
        <f t="shared" si="0"/>
        <v>4830006</v>
      </c>
      <c r="U5" s="402">
        <f t="shared" si="0"/>
        <v>3076055</v>
      </c>
      <c r="V5" s="402">
        <f t="shared" si="0"/>
        <v>3261411</v>
      </c>
      <c r="W5" s="402">
        <f t="shared" si="0"/>
        <v>2745606</v>
      </c>
      <c r="X5" s="402">
        <f t="shared" si="0"/>
        <v>4379574</v>
      </c>
      <c r="Y5" s="402">
        <f t="shared" si="0"/>
        <v>2764977</v>
      </c>
      <c r="Z5" s="402">
        <f t="shared" si="0"/>
        <v>3300848</v>
      </c>
      <c r="AA5" s="402">
        <f t="shared" si="0"/>
        <v>1450269</v>
      </c>
      <c r="AB5" s="402">
        <f t="shared" si="0"/>
        <v>2148423</v>
      </c>
      <c r="AC5" s="402">
        <f t="shared" si="0"/>
        <v>2073826</v>
      </c>
      <c r="AD5" s="402">
        <f t="shared" si="0"/>
        <v>1752913</v>
      </c>
      <c r="AE5" s="402">
        <f t="shared" si="0"/>
        <v>9115836</v>
      </c>
      <c r="AF5" s="402">
        <f t="shared" si="0"/>
        <v>3114146</v>
      </c>
      <c r="AG5" s="402">
        <f t="shared" si="0"/>
        <v>1586454</v>
      </c>
      <c r="AH5" s="402">
        <f t="shared" si="0"/>
        <v>1527692</v>
      </c>
      <c r="AI5" s="387">
        <f t="shared" ref="AI5:AI68" si="1">IF(+F5+G5=E5,0,FALSE)</f>
        <v>0</v>
      </c>
    </row>
    <row r="6" spans="1:35" s="363" customFormat="1" ht="24" customHeight="1">
      <c r="A6" s="388" t="s">
        <v>1093</v>
      </c>
      <c r="B6" s="389"/>
      <c r="C6" s="390"/>
      <c r="D6" s="391"/>
      <c r="E6" s="392">
        <f t="shared" ref="E6:AH6" si="2">E7+E14+E45+E60+E111+E157+E172+E186+E219+E223+E312+E344+E348+E370+E104+E106+E109+E110</f>
        <v>136148169</v>
      </c>
      <c r="F6" s="392">
        <f t="shared" si="2"/>
        <v>78461216</v>
      </c>
      <c r="G6" s="392">
        <f t="shared" si="2"/>
        <v>57686953</v>
      </c>
      <c r="H6" s="392">
        <f t="shared" si="2"/>
        <v>86640678</v>
      </c>
      <c r="I6" s="392">
        <f t="shared" si="2"/>
        <v>14317857</v>
      </c>
      <c r="J6" s="392">
        <f t="shared" si="2"/>
        <v>13942762</v>
      </c>
      <c r="K6" s="392">
        <f t="shared" si="2"/>
        <v>7802256</v>
      </c>
      <c r="L6" s="392">
        <f t="shared" si="2"/>
        <v>18495778</v>
      </c>
      <c r="M6" s="392">
        <f t="shared" si="2"/>
        <v>6646505</v>
      </c>
      <c r="N6" s="392">
        <f t="shared" si="2"/>
        <v>17833493</v>
      </c>
      <c r="O6" s="392">
        <f t="shared" si="2"/>
        <v>7602027</v>
      </c>
      <c r="P6" s="392">
        <f t="shared" si="2"/>
        <v>46501195</v>
      </c>
      <c r="Q6" s="392">
        <f t="shared" si="2"/>
        <v>2730493</v>
      </c>
      <c r="R6" s="392">
        <f t="shared" si="2"/>
        <v>2520703</v>
      </c>
      <c r="S6" s="392">
        <f t="shared" si="2"/>
        <v>3064315</v>
      </c>
      <c r="T6" s="392">
        <f t="shared" si="2"/>
        <v>4381958</v>
      </c>
      <c r="U6" s="392">
        <f t="shared" si="2"/>
        <v>2789683</v>
      </c>
      <c r="V6" s="392">
        <f t="shared" si="2"/>
        <v>2906450</v>
      </c>
      <c r="W6" s="392">
        <f t="shared" si="2"/>
        <v>2472547</v>
      </c>
      <c r="X6" s="392">
        <f t="shared" si="2"/>
        <v>3948389</v>
      </c>
      <c r="Y6" s="392">
        <f t="shared" si="2"/>
        <v>2556365</v>
      </c>
      <c r="Z6" s="392">
        <f t="shared" si="2"/>
        <v>3088751</v>
      </c>
      <c r="AA6" s="392">
        <f t="shared" si="2"/>
        <v>1347491</v>
      </c>
      <c r="AB6" s="392">
        <f t="shared" si="2"/>
        <v>1994209</v>
      </c>
      <c r="AC6" s="392">
        <f t="shared" si="2"/>
        <v>1924854</v>
      </c>
      <c r="AD6" s="392">
        <f t="shared" si="2"/>
        <v>1659151</v>
      </c>
      <c r="AE6" s="392">
        <f t="shared" si="2"/>
        <v>9115836</v>
      </c>
      <c r="AF6" s="392">
        <f t="shared" si="2"/>
        <v>3006296</v>
      </c>
      <c r="AG6" s="392">
        <f t="shared" si="2"/>
        <v>1504899</v>
      </c>
      <c r="AH6" s="392">
        <f t="shared" si="2"/>
        <v>1501397</v>
      </c>
      <c r="AI6" s="387">
        <f t="shared" si="1"/>
        <v>0</v>
      </c>
    </row>
    <row r="7" spans="1:35" s="404" customFormat="1" ht="22.5" customHeight="1">
      <c r="A7" s="398" t="s">
        <v>943</v>
      </c>
      <c r="B7" s="399"/>
      <c r="C7" s="400"/>
      <c r="D7" s="401"/>
      <c r="E7" s="402">
        <f t="shared" ref="E7:AH7" si="3">SUM(E8:E13)</f>
        <v>100025</v>
      </c>
      <c r="F7" s="402">
        <f t="shared" si="3"/>
        <v>96675</v>
      </c>
      <c r="G7" s="402">
        <f t="shared" si="3"/>
        <v>3350</v>
      </c>
      <c r="H7" s="402">
        <f t="shared" si="3"/>
        <v>20500</v>
      </c>
      <c r="I7" s="402">
        <f t="shared" si="3"/>
        <v>3000</v>
      </c>
      <c r="J7" s="402">
        <f t="shared" si="3"/>
        <v>1000</v>
      </c>
      <c r="K7" s="402">
        <f t="shared" si="3"/>
        <v>3000</v>
      </c>
      <c r="L7" s="402">
        <f t="shared" si="3"/>
        <v>3000</v>
      </c>
      <c r="M7" s="402">
        <f t="shared" si="3"/>
        <v>3500</v>
      </c>
      <c r="N7" s="402">
        <f t="shared" si="3"/>
        <v>3500</v>
      </c>
      <c r="O7" s="402">
        <f t="shared" si="3"/>
        <v>3500</v>
      </c>
      <c r="P7" s="402">
        <f t="shared" si="3"/>
        <v>78025</v>
      </c>
      <c r="Q7" s="402">
        <f t="shared" si="3"/>
        <v>4400</v>
      </c>
      <c r="R7" s="402">
        <f t="shared" si="3"/>
        <v>3900</v>
      </c>
      <c r="S7" s="402">
        <f t="shared" si="3"/>
        <v>4900</v>
      </c>
      <c r="T7" s="402">
        <f t="shared" si="3"/>
        <v>4400</v>
      </c>
      <c r="U7" s="402">
        <f t="shared" si="3"/>
        <v>4400</v>
      </c>
      <c r="V7" s="402">
        <f t="shared" si="3"/>
        <v>4400</v>
      </c>
      <c r="W7" s="402">
        <f t="shared" si="3"/>
        <v>4900</v>
      </c>
      <c r="X7" s="402">
        <f t="shared" si="3"/>
        <v>4900</v>
      </c>
      <c r="Y7" s="402">
        <f t="shared" si="3"/>
        <v>11500</v>
      </c>
      <c r="Z7" s="402">
        <f t="shared" si="3"/>
        <v>4400</v>
      </c>
      <c r="AA7" s="402">
        <f t="shared" si="3"/>
        <v>6325</v>
      </c>
      <c r="AB7" s="402">
        <f t="shared" si="3"/>
        <v>3900</v>
      </c>
      <c r="AC7" s="402">
        <f t="shared" si="3"/>
        <v>3400</v>
      </c>
      <c r="AD7" s="402">
        <f t="shared" si="3"/>
        <v>3900</v>
      </c>
      <c r="AE7" s="402">
        <f t="shared" si="3"/>
        <v>8400</v>
      </c>
      <c r="AF7" s="402">
        <f t="shared" si="3"/>
        <v>1500</v>
      </c>
      <c r="AG7" s="402">
        <f t="shared" si="3"/>
        <v>0</v>
      </c>
      <c r="AH7" s="402">
        <f t="shared" si="3"/>
        <v>1500</v>
      </c>
      <c r="AI7" s="387">
        <f t="shared" si="1"/>
        <v>0</v>
      </c>
    </row>
    <row r="8" spans="1:35" s="393" customFormat="1" ht="35.450000000000003" customHeight="1">
      <c r="A8" s="397" t="s">
        <v>379</v>
      </c>
      <c r="B8" s="394" t="s">
        <v>1094</v>
      </c>
      <c r="C8" s="395" t="s">
        <v>944</v>
      </c>
      <c r="D8" s="396">
        <v>4</v>
      </c>
      <c r="E8" s="385">
        <f t="shared" ref="E8:E13" si="4">SUM(H8,P8,AF8)</f>
        <v>1500</v>
      </c>
      <c r="F8" s="368">
        <v>1000</v>
      </c>
      <c r="G8" s="368">
        <v>500</v>
      </c>
      <c r="H8" s="385">
        <f t="shared" ref="H8:H13" si="5">SUM(I8:O8)</f>
        <v>0</v>
      </c>
      <c r="I8" s="371"/>
      <c r="J8" s="371"/>
      <c r="K8" s="371"/>
      <c r="L8" s="371"/>
      <c r="M8" s="371"/>
      <c r="N8" s="371"/>
      <c r="O8" s="370"/>
      <c r="P8" s="386">
        <f t="shared" ref="P8:P13" si="6">SUM(Q8:AE8)</f>
        <v>0</v>
      </c>
      <c r="Q8" s="371"/>
      <c r="R8" s="371"/>
      <c r="S8" s="371"/>
      <c r="T8" s="371"/>
      <c r="U8" s="371"/>
      <c r="V8" s="371"/>
      <c r="W8" s="371"/>
      <c r="X8" s="371"/>
      <c r="Y8" s="371"/>
      <c r="Z8" s="371"/>
      <c r="AA8" s="371"/>
      <c r="AB8" s="371"/>
      <c r="AC8" s="371"/>
      <c r="AD8" s="371"/>
      <c r="AE8" s="371"/>
      <c r="AF8" s="385">
        <f t="shared" ref="AF8:AF13" si="7">SUM(AG8:AH8)</f>
        <v>1500</v>
      </c>
      <c r="AG8" s="371"/>
      <c r="AH8" s="371">
        <v>1500</v>
      </c>
      <c r="AI8" s="387">
        <f t="shared" si="1"/>
        <v>0</v>
      </c>
    </row>
    <row r="9" spans="1:35" s="393" customFormat="1" ht="36.950000000000003" customHeight="1">
      <c r="A9" s="397" t="s">
        <v>379</v>
      </c>
      <c r="B9" s="394" t="s">
        <v>1094</v>
      </c>
      <c r="C9" s="395" t="s">
        <v>945</v>
      </c>
      <c r="D9" s="396">
        <v>4</v>
      </c>
      <c r="E9" s="385">
        <f t="shared" si="4"/>
        <v>675</v>
      </c>
      <c r="F9" s="368">
        <v>675</v>
      </c>
      <c r="G9" s="368">
        <v>0</v>
      </c>
      <c r="H9" s="385">
        <f t="shared" si="5"/>
        <v>0</v>
      </c>
      <c r="I9" s="371"/>
      <c r="J9" s="371"/>
      <c r="K9" s="371"/>
      <c r="L9" s="371"/>
      <c r="M9" s="371"/>
      <c r="N9" s="371"/>
      <c r="O9" s="370"/>
      <c r="P9" s="386">
        <f t="shared" si="6"/>
        <v>675</v>
      </c>
      <c r="Q9" s="371"/>
      <c r="R9" s="371"/>
      <c r="S9" s="371"/>
      <c r="T9" s="371"/>
      <c r="U9" s="371"/>
      <c r="V9" s="371"/>
      <c r="W9" s="371"/>
      <c r="X9" s="371"/>
      <c r="Y9" s="371"/>
      <c r="Z9" s="371"/>
      <c r="AA9" s="371">
        <v>675</v>
      </c>
      <c r="AB9" s="371"/>
      <c r="AC9" s="371"/>
      <c r="AD9" s="371"/>
      <c r="AE9" s="371"/>
      <c r="AF9" s="385">
        <f t="shared" si="7"/>
        <v>0</v>
      </c>
      <c r="AG9" s="371"/>
      <c r="AH9" s="371"/>
      <c r="AI9" s="387">
        <f t="shared" si="1"/>
        <v>0</v>
      </c>
    </row>
    <row r="10" spans="1:35" s="393" customFormat="1" ht="36.6" customHeight="1">
      <c r="A10" s="397" t="s">
        <v>69</v>
      </c>
      <c r="B10" s="394" t="s">
        <v>1094</v>
      </c>
      <c r="C10" s="395" t="s">
        <v>946</v>
      </c>
      <c r="D10" s="396">
        <v>4</v>
      </c>
      <c r="E10" s="385">
        <f t="shared" si="4"/>
        <v>750</v>
      </c>
      <c r="F10" s="368">
        <v>400</v>
      </c>
      <c r="G10" s="368">
        <v>350</v>
      </c>
      <c r="H10" s="385">
        <f t="shared" si="5"/>
        <v>0</v>
      </c>
      <c r="I10" s="371"/>
      <c r="J10" s="371"/>
      <c r="K10" s="371"/>
      <c r="L10" s="371"/>
      <c r="M10" s="371"/>
      <c r="N10" s="371"/>
      <c r="O10" s="370"/>
      <c r="P10" s="386">
        <f t="shared" si="6"/>
        <v>750</v>
      </c>
      <c r="Q10" s="371"/>
      <c r="R10" s="371"/>
      <c r="S10" s="371"/>
      <c r="T10" s="371"/>
      <c r="U10" s="371"/>
      <c r="V10" s="371"/>
      <c r="W10" s="371"/>
      <c r="X10" s="371"/>
      <c r="Y10" s="371"/>
      <c r="Z10" s="371"/>
      <c r="AA10" s="371">
        <v>750</v>
      </c>
      <c r="AB10" s="371"/>
      <c r="AC10" s="371"/>
      <c r="AD10" s="371"/>
      <c r="AE10" s="371"/>
      <c r="AF10" s="385">
        <f t="shared" si="7"/>
        <v>0</v>
      </c>
      <c r="AG10" s="371"/>
      <c r="AH10" s="371"/>
      <c r="AI10" s="387">
        <f t="shared" si="1"/>
        <v>0</v>
      </c>
    </row>
    <row r="11" spans="1:35" s="393" customFormat="1" ht="36.950000000000003" customHeight="1">
      <c r="A11" s="397" t="s">
        <v>69</v>
      </c>
      <c r="B11" s="394" t="s">
        <v>1094</v>
      </c>
      <c r="C11" s="395" t="s">
        <v>947</v>
      </c>
      <c r="D11" s="396">
        <v>4</v>
      </c>
      <c r="E11" s="385">
        <f t="shared" si="4"/>
        <v>6600</v>
      </c>
      <c r="F11" s="368">
        <v>6600</v>
      </c>
      <c r="G11" s="368"/>
      <c r="H11" s="385">
        <f t="shared" si="5"/>
        <v>0</v>
      </c>
      <c r="I11" s="371"/>
      <c r="J11" s="371"/>
      <c r="K11" s="371"/>
      <c r="L11" s="371"/>
      <c r="M11" s="371"/>
      <c r="N11" s="371"/>
      <c r="O11" s="370"/>
      <c r="P11" s="386">
        <f t="shared" si="6"/>
        <v>6600</v>
      </c>
      <c r="Q11" s="371"/>
      <c r="R11" s="371"/>
      <c r="S11" s="371"/>
      <c r="T11" s="371"/>
      <c r="U11" s="371"/>
      <c r="V11" s="371"/>
      <c r="W11" s="371"/>
      <c r="X11" s="371"/>
      <c r="Y11" s="371">
        <v>6600</v>
      </c>
      <c r="Z11" s="371"/>
      <c r="AA11" s="371"/>
      <c r="AB11" s="371"/>
      <c r="AC11" s="371"/>
      <c r="AD11" s="371"/>
      <c r="AE11" s="371"/>
      <c r="AF11" s="385">
        <f t="shared" si="7"/>
        <v>0</v>
      </c>
      <c r="AG11" s="371"/>
      <c r="AH11" s="371"/>
      <c r="AI11" s="387">
        <f t="shared" si="1"/>
        <v>0</v>
      </c>
    </row>
    <row r="12" spans="1:35" s="393" customFormat="1" ht="28.5" customHeight="1">
      <c r="A12" s="397" t="s">
        <v>69</v>
      </c>
      <c r="B12" s="394" t="s">
        <v>1094</v>
      </c>
      <c r="C12" s="395" t="s">
        <v>653</v>
      </c>
      <c r="D12" s="396">
        <v>4</v>
      </c>
      <c r="E12" s="385">
        <f t="shared" si="4"/>
        <v>3500</v>
      </c>
      <c r="F12" s="368">
        <v>1000</v>
      </c>
      <c r="G12" s="368">
        <v>2500</v>
      </c>
      <c r="H12" s="385">
        <f t="shared" si="5"/>
        <v>3500</v>
      </c>
      <c r="I12" s="371"/>
      <c r="J12" s="371"/>
      <c r="K12" s="371"/>
      <c r="L12" s="371"/>
      <c r="M12" s="371"/>
      <c r="N12" s="371"/>
      <c r="O12" s="370">
        <v>3500</v>
      </c>
      <c r="P12" s="386">
        <f t="shared" si="6"/>
        <v>0</v>
      </c>
      <c r="Q12" s="371"/>
      <c r="R12" s="371"/>
      <c r="S12" s="371"/>
      <c r="T12" s="371"/>
      <c r="U12" s="371"/>
      <c r="V12" s="371"/>
      <c r="W12" s="371"/>
      <c r="X12" s="371"/>
      <c r="Y12" s="371"/>
      <c r="Z12" s="371"/>
      <c r="AA12" s="371"/>
      <c r="AB12" s="371"/>
      <c r="AC12" s="371"/>
      <c r="AD12" s="371"/>
      <c r="AE12" s="371"/>
      <c r="AF12" s="385">
        <f t="shared" si="7"/>
        <v>0</v>
      </c>
      <c r="AG12" s="371"/>
      <c r="AH12" s="371"/>
      <c r="AI12" s="387">
        <f t="shared" si="1"/>
        <v>0</v>
      </c>
    </row>
    <row r="13" spans="1:35" s="393" customFormat="1" ht="32.450000000000003" customHeight="1">
      <c r="A13" s="397" t="s">
        <v>379</v>
      </c>
      <c r="B13" s="394" t="s">
        <v>1094</v>
      </c>
      <c r="C13" s="395" t="s">
        <v>646</v>
      </c>
      <c r="D13" s="396">
        <v>4</v>
      </c>
      <c r="E13" s="385">
        <f t="shared" si="4"/>
        <v>87000</v>
      </c>
      <c r="F13" s="368">
        <v>87000</v>
      </c>
      <c r="G13" s="368"/>
      <c r="H13" s="385">
        <f t="shared" si="5"/>
        <v>17000</v>
      </c>
      <c r="I13" s="371">
        <v>3000</v>
      </c>
      <c r="J13" s="371">
        <v>1000</v>
      </c>
      <c r="K13" s="371">
        <v>3000</v>
      </c>
      <c r="L13" s="371">
        <v>3000</v>
      </c>
      <c r="M13" s="371">
        <v>3500</v>
      </c>
      <c r="N13" s="371">
        <v>3500</v>
      </c>
      <c r="O13" s="370">
        <v>0</v>
      </c>
      <c r="P13" s="386">
        <f t="shared" si="6"/>
        <v>70000</v>
      </c>
      <c r="Q13" s="371">
        <v>4400</v>
      </c>
      <c r="R13" s="371">
        <v>3900</v>
      </c>
      <c r="S13" s="371">
        <v>4900</v>
      </c>
      <c r="T13" s="371">
        <v>4400</v>
      </c>
      <c r="U13" s="371">
        <v>4400</v>
      </c>
      <c r="V13" s="371">
        <v>4400</v>
      </c>
      <c r="W13" s="371">
        <v>4900</v>
      </c>
      <c r="X13" s="371">
        <v>4900</v>
      </c>
      <c r="Y13" s="371">
        <v>4900</v>
      </c>
      <c r="Z13" s="371">
        <v>4400</v>
      </c>
      <c r="AA13" s="371">
        <v>4900</v>
      </c>
      <c r="AB13" s="371">
        <v>3900</v>
      </c>
      <c r="AC13" s="371">
        <v>3400</v>
      </c>
      <c r="AD13" s="371">
        <v>3900</v>
      </c>
      <c r="AE13" s="371">
        <v>8400</v>
      </c>
      <c r="AF13" s="385">
        <f t="shared" si="7"/>
        <v>0</v>
      </c>
      <c r="AG13" s="371"/>
      <c r="AH13" s="371"/>
      <c r="AI13" s="387">
        <f t="shared" si="1"/>
        <v>0</v>
      </c>
    </row>
    <row r="14" spans="1:35" s="404" customFormat="1" ht="24" customHeight="1">
      <c r="A14" s="398" t="s">
        <v>1014</v>
      </c>
      <c r="B14" s="399"/>
      <c r="C14" s="400"/>
      <c r="D14" s="401"/>
      <c r="E14" s="402">
        <f t="shared" ref="E14:AH14" si="8">E15+E44</f>
        <v>2013325</v>
      </c>
      <c r="F14" s="402">
        <f t="shared" si="8"/>
        <v>981234</v>
      </c>
      <c r="G14" s="402">
        <f t="shared" si="8"/>
        <v>1032091</v>
      </c>
      <c r="H14" s="402">
        <f t="shared" si="8"/>
        <v>341535</v>
      </c>
      <c r="I14" s="402">
        <f t="shared" si="8"/>
        <v>39971</v>
      </c>
      <c r="J14" s="402">
        <f t="shared" si="8"/>
        <v>5517</v>
      </c>
      <c r="K14" s="402">
        <f t="shared" si="8"/>
        <v>65131</v>
      </c>
      <c r="L14" s="402">
        <f t="shared" si="8"/>
        <v>54879</v>
      </c>
      <c r="M14" s="402">
        <f t="shared" si="8"/>
        <v>7598</v>
      </c>
      <c r="N14" s="402">
        <f t="shared" si="8"/>
        <v>120598</v>
      </c>
      <c r="O14" s="402">
        <f t="shared" si="8"/>
        <v>47841</v>
      </c>
      <c r="P14" s="402">
        <f t="shared" si="8"/>
        <v>1671460</v>
      </c>
      <c r="Q14" s="402">
        <f t="shared" si="8"/>
        <v>150797</v>
      </c>
      <c r="R14" s="402">
        <f t="shared" si="8"/>
        <v>145299</v>
      </c>
      <c r="S14" s="402">
        <f t="shared" si="8"/>
        <v>99456</v>
      </c>
      <c r="T14" s="402">
        <f t="shared" si="8"/>
        <v>3988</v>
      </c>
      <c r="U14" s="402">
        <f t="shared" si="8"/>
        <v>113938</v>
      </c>
      <c r="V14" s="402">
        <f t="shared" si="8"/>
        <v>2130</v>
      </c>
      <c r="W14" s="402">
        <f t="shared" si="8"/>
        <v>66711</v>
      </c>
      <c r="X14" s="402">
        <f t="shared" si="8"/>
        <v>276753</v>
      </c>
      <c r="Y14" s="402">
        <f t="shared" si="8"/>
        <v>293941</v>
      </c>
      <c r="Z14" s="402">
        <f t="shared" si="8"/>
        <v>252667</v>
      </c>
      <c r="AA14" s="402">
        <f t="shared" si="8"/>
        <v>912</v>
      </c>
      <c r="AB14" s="402">
        <f t="shared" si="8"/>
        <v>7553</v>
      </c>
      <c r="AC14" s="402">
        <f t="shared" si="8"/>
        <v>3302</v>
      </c>
      <c r="AD14" s="402">
        <f t="shared" si="8"/>
        <v>1551</v>
      </c>
      <c r="AE14" s="402">
        <f t="shared" si="8"/>
        <v>252462</v>
      </c>
      <c r="AF14" s="402">
        <f t="shared" si="8"/>
        <v>330</v>
      </c>
      <c r="AG14" s="402">
        <f t="shared" si="8"/>
        <v>165</v>
      </c>
      <c r="AH14" s="402">
        <f t="shared" si="8"/>
        <v>165</v>
      </c>
      <c r="AI14" s="387">
        <f t="shared" si="1"/>
        <v>0</v>
      </c>
    </row>
    <row r="15" spans="1:35" s="410" customFormat="1" ht="21.6" customHeight="1">
      <c r="A15" s="405" t="s">
        <v>1164</v>
      </c>
      <c r="B15" s="406"/>
      <c r="C15" s="407"/>
      <c r="D15" s="408"/>
      <c r="E15" s="409">
        <f t="shared" ref="E15:AH15" si="9">SUM(E16:E43)</f>
        <v>2002965</v>
      </c>
      <c r="F15" s="409">
        <f t="shared" si="9"/>
        <v>980154</v>
      </c>
      <c r="G15" s="409">
        <f t="shared" si="9"/>
        <v>1022811</v>
      </c>
      <c r="H15" s="409">
        <f t="shared" si="9"/>
        <v>338635</v>
      </c>
      <c r="I15" s="409">
        <f t="shared" si="9"/>
        <v>39421</v>
      </c>
      <c r="J15" s="409">
        <f t="shared" si="9"/>
        <v>5017</v>
      </c>
      <c r="K15" s="409">
        <f t="shared" si="9"/>
        <v>64631</v>
      </c>
      <c r="L15" s="409">
        <f t="shared" si="9"/>
        <v>54529</v>
      </c>
      <c r="M15" s="409">
        <f t="shared" si="9"/>
        <v>7098</v>
      </c>
      <c r="N15" s="409">
        <f t="shared" si="9"/>
        <v>120098</v>
      </c>
      <c r="O15" s="409">
        <f t="shared" si="9"/>
        <v>47841</v>
      </c>
      <c r="P15" s="409">
        <f t="shared" si="9"/>
        <v>1664000</v>
      </c>
      <c r="Q15" s="409">
        <f t="shared" si="9"/>
        <v>150097</v>
      </c>
      <c r="R15" s="409">
        <f t="shared" si="9"/>
        <v>144799</v>
      </c>
      <c r="S15" s="409">
        <f t="shared" si="9"/>
        <v>98706</v>
      </c>
      <c r="T15" s="409">
        <f t="shared" si="9"/>
        <v>3688</v>
      </c>
      <c r="U15" s="409">
        <f t="shared" si="9"/>
        <v>113938</v>
      </c>
      <c r="V15" s="409">
        <f t="shared" si="9"/>
        <v>2130</v>
      </c>
      <c r="W15" s="409">
        <f t="shared" si="9"/>
        <v>66501</v>
      </c>
      <c r="X15" s="409">
        <f t="shared" si="9"/>
        <v>275003</v>
      </c>
      <c r="Y15" s="409">
        <f t="shared" si="9"/>
        <v>292741</v>
      </c>
      <c r="Z15" s="409">
        <f t="shared" si="9"/>
        <v>251367</v>
      </c>
      <c r="AA15" s="409">
        <f t="shared" si="9"/>
        <v>912</v>
      </c>
      <c r="AB15" s="409">
        <f t="shared" si="9"/>
        <v>7303</v>
      </c>
      <c r="AC15" s="409">
        <f t="shared" si="9"/>
        <v>2802</v>
      </c>
      <c r="AD15" s="409">
        <f t="shared" si="9"/>
        <v>1551</v>
      </c>
      <c r="AE15" s="409">
        <f t="shared" si="9"/>
        <v>252462</v>
      </c>
      <c r="AF15" s="409">
        <f t="shared" si="9"/>
        <v>330</v>
      </c>
      <c r="AG15" s="409">
        <f t="shared" si="9"/>
        <v>165</v>
      </c>
      <c r="AH15" s="409">
        <f t="shared" si="9"/>
        <v>165</v>
      </c>
      <c r="AI15" s="387">
        <f t="shared" si="1"/>
        <v>0</v>
      </c>
    </row>
    <row r="16" spans="1:35" s="393" customFormat="1" ht="24" customHeight="1">
      <c r="A16" s="397" t="s">
        <v>379</v>
      </c>
      <c r="B16" s="394" t="s">
        <v>1095</v>
      </c>
      <c r="C16" s="395" t="s">
        <v>1015</v>
      </c>
      <c r="D16" s="396">
        <v>3</v>
      </c>
      <c r="E16" s="385">
        <f t="shared" ref="E16:E44" si="10">SUM(H16,P16,AF16)</f>
        <v>6900</v>
      </c>
      <c r="F16" s="368">
        <v>6400</v>
      </c>
      <c r="G16" s="368">
        <v>500</v>
      </c>
      <c r="H16" s="385">
        <f t="shared" ref="H16:H44" si="11">SUM(I16:O16)</f>
        <v>1290</v>
      </c>
      <c r="I16" s="371"/>
      <c r="J16" s="371"/>
      <c r="K16" s="371">
        <v>80</v>
      </c>
      <c r="L16" s="371">
        <v>80</v>
      </c>
      <c r="M16" s="371"/>
      <c r="N16" s="371">
        <v>110</v>
      </c>
      <c r="O16" s="370">
        <v>1020</v>
      </c>
      <c r="P16" s="386">
        <f t="shared" ref="P16:P44" si="12">SUM(Q16:AE16)</f>
        <v>5610</v>
      </c>
      <c r="Q16" s="371">
        <v>130</v>
      </c>
      <c r="R16" s="371">
        <v>140</v>
      </c>
      <c r="S16" s="371">
        <v>500</v>
      </c>
      <c r="T16" s="371"/>
      <c r="U16" s="371">
        <v>80</v>
      </c>
      <c r="V16" s="371"/>
      <c r="W16" s="371">
        <v>100</v>
      </c>
      <c r="X16" s="371">
        <v>1700</v>
      </c>
      <c r="Y16" s="371">
        <v>800</v>
      </c>
      <c r="Z16" s="371">
        <v>500</v>
      </c>
      <c r="AA16" s="371"/>
      <c r="AB16" s="371"/>
      <c r="AC16" s="371"/>
      <c r="AD16" s="371">
        <v>80</v>
      </c>
      <c r="AE16" s="371">
        <v>1580</v>
      </c>
      <c r="AF16" s="385">
        <f t="shared" ref="AF16:AF44" si="13">SUM(AG16:AH16)</f>
        <v>0</v>
      </c>
      <c r="AG16" s="371"/>
      <c r="AH16" s="371"/>
      <c r="AI16" s="387">
        <f t="shared" si="1"/>
        <v>0</v>
      </c>
    </row>
    <row r="17" spans="1:35" s="393" customFormat="1" ht="30" customHeight="1">
      <c r="A17" s="397" t="s">
        <v>379</v>
      </c>
      <c r="B17" s="394" t="s">
        <v>1095</v>
      </c>
      <c r="C17" s="395" t="s">
        <v>288</v>
      </c>
      <c r="D17" s="396">
        <v>3</v>
      </c>
      <c r="E17" s="385">
        <f t="shared" si="10"/>
        <v>73800</v>
      </c>
      <c r="F17" s="368">
        <v>73800</v>
      </c>
      <c r="G17" s="368"/>
      <c r="H17" s="385">
        <f t="shared" si="11"/>
        <v>3800</v>
      </c>
      <c r="I17" s="371">
        <v>600</v>
      </c>
      <c r="J17" s="371"/>
      <c r="K17" s="371">
        <v>280</v>
      </c>
      <c r="L17" s="371">
        <v>720</v>
      </c>
      <c r="M17" s="371"/>
      <c r="N17" s="371">
        <v>2200</v>
      </c>
      <c r="O17" s="370">
        <v>0</v>
      </c>
      <c r="P17" s="386">
        <f t="shared" si="12"/>
        <v>70000</v>
      </c>
      <c r="Q17" s="371">
        <v>4000</v>
      </c>
      <c r="R17" s="371">
        <v>4000</v>
      </c>
      <c r="S17" s="371">
        <v>680</v>
      </c>
      <c r="T17" s="371"/>
      <c r="U17" s="371">
        <v>7600</v>
      </c>
      <c r="V17" s="371"/>
      <c r="W17" s="371">
        <v>1000</v>
      </c>
      <c r="X17" s="371">
        <v>7800</v>
      </c>
      <c r="Y17" s="371">
        <v>18500</v>
      </c>
      <c r="Z17" s="371">
        <v>24200</v>
      </c>
      <c r="AA17" s="371"/>
      <c r="AB17" s="371"/>
      <c r="AC17" s="371"/>
      <c r="AD17" s="371"/>
      <c r="AE17" s="371">
        <v>2220</v>
      </c>
      <c r="AF17" s="385">
        <f t="shared" si="13"/>
        <v>0</v>
      </c>
      <c r="AG17" s="371"/>
      <c r="AH17" s="371"/>
      <c r="AI17" s="387">
        <f t="shared" si="1"/>
        <v>0</v>
      </c>
    </row>
    <row r="18" spans="1:35" s="393" customFormat="1" ht="24" customHeight="1">
      <c r="A18" s="397" t="s">
        <v>379</v>
      </c>
      <c r="B18" s="394" t="s">
        <v>1095</v>
      </c>
      <c r="C18" s="395" t="s">
        <v>1016</v>
      </c>
      <c r="D18" s="396">
        <v>3</v>
      </c>
      <c r="E18" s="385">
        <f t="shared" si="10"/>
        <v>10000</v>
      </c>
      <c r="F18" s="368">
        <v>10000</v>
      </c>
      <c r="G18" s="368"/>
      <c r="H18" s="385">
        <f t="shared" si="11"/>
        <v>0</v>
      </c>
      <c r="I18" s="371"/>
      <c r="J18" s="371"/>
      <c r="K18" s="371"/>
      <c r="L18" s="371"/>
      <c r="M18" s="371"/>
      <c r="N18" s="371"/>
      <c r="O18" s="370"/>
      <c r="P18" s="386">
        <f t="shared" si="12"/>
        <v>10000</v>
      </c>
      <c r="Q18" s="371"/>
      <c r="R18" s="371">
        <v>2000</v>
      </c>
      <c r="S18" s="371"/>
      <c r="T18" s="371"/>
      <c r="U18" s="371"/>
      <c r="V18" s="371"/>
      <c r="W18" s="371"/>
      <c r="X18" s="371">
        <v>8000</v>
      </c>
      <c r="Y18" s="371"/>
      <c r="Z18" s="371"/>
      <c r="AA18" s="371"/>
      <c r="AB18" s="371"/>
      <c r="AC18" s="371"/>
      <c r="AD18" s="371"/>
      <c r="AE18" s="371"/>
      <c r="AF18" s="385">
        <f t="shared" si="13"/>
        <v>0</v>
      </c>
      <c r="AG18" s="371"/>
      <c r="AH18" s="371"/>
      <c r="AI18" s="387">
        <f t="shared" si="1"/>
        <v>0</v>
      </c>
    </row>
    <row r="19" spans="1:35" s="393" customFormat="1" ht="35.1" customHeight="1">
      <c r="A19" s="397" t="s">
        <v>379</v>
      </c>
      <c r="B19" s="394" t="s">
        <v>1095</v>
      </c>
      <c r="C19" s="395" t="s">
        <v>1017</v>
      </c>
      <c r="D19" s="396">
        <v>3</v>
      </c>
      <c r="E19" s="385">
        <f t="shared" si="10"/>
        <v>15000</v>
      </c>
      <c r="F19" s="368">
        <v>11500</v>
      </c>
      <c r="G19" s="368">
        <v>3500</v>
      </c>
      <c r="H19" s="385">
        <f t="shared" si="11"/>
        <v>3380</v>
      </c>
      <c r="I19" s="371">
        <v>300</v>
      </c>
      <c r="J19" s="371">
        <v>200</v>
      </c>
      <c r="K19" s="371">
        <v>850</v>
      </c>
      <c r="L19" s="371">
        <v>400</v>
      </c>
      <c r="M19" s="371">
        <v>200</v>
      </c>
      <c r="N19" s="371">
        <v>1430</v>
      </c>
      <c r="O19" s="370"/>
      <c r="P19" s="386">
        <f t="shared" si="12"/>
        <v>11620</v>
      </c>
      <c r="Q19" s="371">
        <v>1000</v>
      </c>
      <c r="R19" s="371">
        <v>1000</v>
      </c>
      <c r="S19" s="371">
        <v>400</v>
      </c>
      <c r="T19" s="371">
        <v>200</v>
      </c>
      <c r="U19" s="371">
        <v>650</v>
      </c>
      <c r="V19" s="371">
        <v>100</v>
      </c>
      <c r="W19" s="371">
        <v>650</v>
      </c>
      <c r="X19" s="371">
        <v>700</v>
      </c>
      <c r="Y19" s="371">
        <v>3000</v>
      </c>
      <c r="Z19" s="371">
        <v>2950</v>
      </c>
      <c r="AA19" s="371">
        <v>100</v>
      </c>
      <c r="AB19" s="371">
        <v>200</v>
      </c>
      <c r="AC19" s="371">
        <v>200</v>
      </c>
      <c r="AD19" s="371">
        <v>100</v>
      </c>
      <c r="AE19" s="371">
        <v>370</v>
      </c>
      <c r="AF19" s="385">
        <f t="shared" si="13"/>
        <v>0</v>
      </c>
      <c r="AG19" s="371"/>
      <c r="AH19" s="371"/>
      <c r="AI19" s="387">
        <f t="shared" si="1"/>
        <v>0</v>
      </c>
    </row>
    <row r="20" spans="1:35" s="393" customFormat="1" ht="24" customHeight="1">
      <c r="A20" s="397" t="s">
        <v>379</v>
      </c>
      <c r="B20" s="394" t="s">
        <v>1095</v>
      </c>
      <c r="C20" s="395" t="s">
        <v>1018</v>
      </c>
      <c r="D20" s="396">
        <v>3</v>
      </c>
      <c r="E20" s="385">
        <f t="shared" si="10"/>
        <v>3000</v>
      </c>
      <c r="F20" s="368">
        <v>3000</v>
      </c>
      <c r="G20" s="368"/>
      <c r="H20" s="385">
        <f t="shared" si="11"/>
        <v>1000</v>
      </c>
      <c r="I20" s="371"/>
      <c r="J20" s="371"/>
      <c r="K20" s="371"/>
      <c r="L20" s="371"/>
      <c r="M20" s="371"/>
      <c r="N20" s="371"/>
      <c r="O20" s="370">
        <v>1000</v>
      </c>
      <c r="P20" s="386">
        <f t="shared" si="12"/>
        <v>2000</v>
      </c>
      <c r="Q20" s="371"/>
      <c r="R20" s="371"/>
      <c r="S20" s="371"/>
      <c r="T20" s="371"/>
      <c r="U20" s="371"/>
      <c r="V20" s="371"/>
      <c r="W20" s="371"/>
      <c r="X20" s="371"/>
      <c r="Y20" s="371"/>
      <c r="Z20" s="371"/>
      <c r="AA20" s="371"/>
      <c r="AB20" s="371"/>
      <c r="AC20" s="371"/>
      <c r="AD20" s="371"/>
      <c r="AE20" s="371">
        <v>2000</v>
      </c>
      <c r="AF20" s="385">
        <f t="shared" si="13"/>
        <v>0</v>
      </c>
      <c r="AG20" s="371"/>
      <c r="AH20" s="371"/>
      <c r="AI20" s="387">
        <f t="shared" si="1"/>
        <v>0</v>
      </c>
    </row>
    <row r="21" spans="1:35" s="393" customFormat="1" ht="35.1" customHeight="1">
      <c r="A21" s="397" t="s">
        <v>379</v>
      </c>
      <c r="B21" s="394" t="s">
        <v>1095</v>
      </c>
      <c r="C21" s="395" t="s">
        <v>1019</v>
      </c>
      <c r="D21" s="396">
        <v>3</v>
      </c>
      <c r="E21" s="385">
        <f t="shared" si="10"/>
        <v>26400</v>
      </c>
      <c r="F21" s="368">
        <v>26400</v>
      </c>
      <c r="G21" s="368"/>
      <c r="H21" s="385">
        <f t="shared" si="11"/>
        <v>5300</v>
      </c>
      <c r="I21" s="371"/>
      <c r="J21" s="371"/>
      <c r="K21" s="371"/>
      <c r="L21" s="371">
        <v>2400</v>
      </c>
      <c r="M21" s="371">
        <v>400</v>
      </c>
      <c r="N21" s="371">
        <v>2500</v>
      </c>
      <c r="O21" s="370"/>
      <c r="P21" s="386">
        <f t="shared" si="12"/>
        <v>21100</v>
      </c>
      <c r="Q21" s="371">
        <v>2500</v>
      </c>
      <c r="R21" s="371">
        <v>2400</v>
      </c>
      <c r="S21" s="371">
        <v>1600</v>
      </c>
      <c r="T21" s="371"/>
      <c r="U21" s="371">
        <v>2300</v>
      </c>
      <c r="V21" s="371"/>
      <c r="W21" s="371">
        <v>1400</v>
      </c>
      <c r="X21" s="371">
        <v>2350</v>
      </c>
      <c r="Y21" s="371">
        <v>2200</v>
      </c>
      <c r="Z21" s="371">
        <v>2500</v>
      </c>
      <c r="AA21" s="371"/>
      <c r="AB21" s="371">
        <v>1600</v>
      </c>
      <c r="AC21" s="371"/>
      <c r="AD21" s="371"/>
      <c r="AE21" s="371">
        <v>2250</v>
      </c>
      <c r="AF21" s="385">
        <f t="shared" si="13"/>
        <v>0</v>
      </c>
      <c r="AG21" s="371"/>
      <c r="AH21" s="371"/>
      <c r="AI21" s="387">
        <f t="shared" si="1"/>
        <v>0</v>
      </c>
    </row>
    <row r="22" spans="1:35" s="393" customFormat="1" ht="30.95" customHeight="1">
      <c r="A22" s="397" t="s">
        <v>379</v>
      </c>
      <c r="B22" s="394" t="s">
        <v>1095</v>
      </c>
      <c r="C22" s="395" t="s">
        <v>1020</v>
      </c>
      <c r="D22" s="396">
        <v>3</v>
      </c>
      <c r="E22" s="385">
        <f t="shared" si="10"/>
        <v>2500</v>
      </c>
      <c r="F22" s="368"/>
      <c r="G22" s="368">
        <v>2500</v>
      </c>
      <c r="H22" s="385">
        <f t="shared" si="11"/>
        <v>0</v>
      </c>
      <c r="I22" s="371"/>
      <c r="J22" s="371"/>
      <c r="K22" s="371"/>
      <c r="L22" s="371"/>
      <c r="M22" s="371"/>
      <c r="N22" s="371"/>
      <c r="O22" s="370"/>
      <c r="P22" s="386">
        <f t="shared" si="12"/>
        <v>2500</v>
      </c>
      <c r="Q22" s="371"/>
      <c r="R22" s="371"/>
      <c r="S22" s="371"/>
      <c r="T22" s="371"/>
      <c r="U22" s="371"/>
      <c r="V22" s="371"/>
      <c r="W22" s="371"/>
      <c r="X22" s="371"/>
      <c r="Y22" s="371"/>
      <c r="Z22" s="371"/>
      <c r="AA22" s="371"/>
      <c r="AB22" s="371"/>
      <c r="AC22" s="371"/>
      <c r="AD22" s="371"/>
      <c r="AE22" s="371">
        <v>2500</v>
      </c>
      <c r="AF22" s="385">
        <f t="shared" si="13"/>
        <v>0</v>
      </c>
      <c r="AG22" s="371"/>
      <c r="AH22" s="371"/>
      <c r="AI22" s="387">
        <f t="shared" si="1"/>
        <v>0</v>
      </c>
    </row>
    <row r="23" spans="1:35" s="393" customFormat="1" ht="33" customHeight="1">
      <c r="A23" s="397" t="s">
        <v>379</v>
      </c>
      <c r="B23" s="394" t="s">
        <v>1095</v>
      </c>
      <c r="C23" s="395" t="s">
        <v>1021</v>
      </c>
      <c r="D23" s="396">
        <v>3</v>
      </c>
      <c r="E23" s="385">
        <f t="shared" si="10"/>
        <v>11650</v>
      </c>
      <c r="F23" s="368">
        <v>1700</v>
      </c>
      <c r="G23" s="368">
        <v>9950</v>
      </c>
      <c r="H23" s="385">
        <f t="shared" si="11"/>
        <v>0</v>
      </c>
      <c r="I23" s="371"/>
      <c r="J23" s="371"/>
      <c r="K23" s="371"/>
      <c r="L23" s="371"/>
      <c r="M23" s="371"/>
      <c r="N23" s="371"/>
      <c r="O23" s="370"/>
      <c r="P23" s="386">
        <f t="shared" si="12"/>
        <v>11650</v>
      </c>
      <c r="Q23" s="371">
        <v>200</v>
      </c>
      <c r="R23" s="371">
        <v>400</v>
      </c>
      <c r="S23" s="371">
        <v>400</v>
      </c>
      <c r="T23" s="371"/>
      <c r="U23" s="371">
        <v>200</v>
      </c>
      <c r="V23" s="371"/>
      <c r="W23" s="371">
        <v>400</v>
      </c>
      <c r="X23" s="371">
        <v>1900</v>
      </c>
      <c r="Y23" s="371">
        <v>1300</v>
      </c>
      <c r="Z23" s="371">
        <v>1300</v>
      </c>
      <c r="AA23" s="371"/>
      <c r="AB23" s="371"/>
      <c r="AC23" s="371"/>
      <c r="AD23" s="371"/>
      <c r="AE23" s="371">
        <v>5550</v>
      </c>
      <c r="AF23" s="385">
        <f t="shared" si="13"/>
        <v>0</v>
      </c>
      <c r="AG23" s="371"/>
      <c r="AH23" s="371"/>
      <c r="AI23" s="387">
        <f t="shared" si="1"/>
        <v>0</v>
      </c>
    </row>
    <row r="24" spans="1:35" s="393" customFormat="1" ht="39" customHeight="1">
      <c r="A24" s="397" t="s">
        <v>379</v>
      </c>
      <c r="B24" s="394" t="s">
        <v>1095</v>
      </c>
      <c r="C24" s="395" t="s">
        <v>1022</v>
      </c>
      <c r="D24" s="396">
        <v>3</v>
      </c>
      <c r="E24" s="385">
        <f t="shared" si="10"/>
        <v>132384</v>
      </c>
      <c r="F24" s="368">
        <v>132384</v>
      </c>
      <c r="G24" s="368"/>
      <c r="H24" s="385">
        <f t="shared" si="11"/>
        <v>69420</v>
      </c>
      <c r="I24" s="371">
        <v>19245</v>
      </c>
      <c r="J24" s="371">
        <v>3000</v>
      </c>
      <c r="K24" s="371">
        <v>15870</v>
      </c>
      <c r="L24" s="371">
        <v>13650</v>
      </c>
      <c r="M24" s="371">
        <v>4450</v>
      </c>
      <c r="N24" s="371">
        <v>13205</v>
      </c>
      <c r="O24" s="370"/>
      <c r="P24" s="386">
        <f t="shared" si="12"/>
        <v>62964</v>
      </c>
      <c r="Q24" s="371">
        <v>3981</v>
      </c>
      <c r="R24" s="371">
        <v>4700</v>
      </c>
      <c r="S24" s="371">
        <v>3950</v>
      </c>
      <c r="T24" s="371">
        <v>2650</v>
      </c>
      <c r="U24" s="371">
        <v>4350</v>
      </c>
      <c r="V24" s="371">
        <v>1300</v>
      </c>
      <c r="W24" s="371">
        <v>1100</v>
      </c>
      <c r="X24" s="371">
        <v>10700</v>
      </c>
      <c r="Y24" s="371"/>
      <c r="Z24" s="371"/>
      <c r="AA24" s="371">
        <v>180</v>
      </c>
      <c r="AB24" s="371">
        <v>3200</v>
      </c>
      <c r="AC24" s="371">
        <v>1850</v>
      </c>
      <c r="AD24" s="371">
        <v>690</v>
      </c>
      <c r="AE24" s="371">
        <v>24313</v>
      </c>
      <c r="AF24" s="385">
        <f t="shared" si="13"/>
        <v>0</v>
      </c>
      <c r="AG24" s="371"/>
      <c r="AH24" s="371"/>
      <c r="AI24" s="387">
        <f t="shared" si="1"/>
        <v>0</v>
      </c>
    </row>
    <row r="25" spans="1:35" s="393" customFormat="1" ht="24" customHeight="1">
      <c r="A25" s="397" t="s">
        <v>379</v>
      </c>
      <c r="B25" s="394" t="s">
        <v>1095</v>
      </c>
      <c r="C25" s="395" t="s">
        <v>806</v>
      </c>
      <c r="D25" s="396">
        <v>3</v>
      </c>
      <c r="E25" s="385">
        <f t="shared" si="10"/>
        <v>9526</v>
      </c>
      <c r="F25" s="368">
        <v>9526</v>
      </c>
      <c r="G25" s="368"/>
      <c r="H25" s="385">
        <f t="shared" si="11"/>
        <v>2031</v>
      </c>
      <c r="I25" s="371"/>
      <c r="J25" s="371"/>
      <c r="K25" s="371"/>
      <c r="L25" s="371"/>
      <c r="M25" s="371"/>
      <c r="N25" s="371"/>
      <c r="O25" s="370">
        <v>2031</v>
      </c>
      <c r="P25" s="386">
        <f t="shared" si="12"/>
        <v>7495</v>
      </c>
      <c r="Q25" s="371"/>
      <c r="R25" s="371"/>
      <c r="S25" s="371"/>
      <c r="T25" s="371"/>
      <c r="U25" s="371"/>
      <c r="V25" s="371"/>
      <c r="W25" s="371"/>
      <c r="X25" s="371"/>
      <c r="Y25" s="371"/>
      <c r="Z25" s="371"/>
      <c r="AA25" s="371"/>
      <c r="AB25" s="371"/>
      <c r="AC25" s="371"/>
      <c r="AD25" s="371"/>
      <c r="AE25" s="371">
        <v>7495</v>
      </c>
      <c r="AF25" s="385">
        <f t="shared" si="13"/>
        <v>0</v>
      </c>
      <c r="AG25" s="371"/>
      <c r="AH25" s="371"/>
      <c r="AI25" s="387">
        <f t="shared" si="1"/>
        <v>0</v>
      </c>
    </row>
    <row r="26" spans="1:35" s="393" customFormat="1" ht="24" customHeight="1">
      <c r="A26" s="397" t="s">
        <v>379</v>
      </c>
      <c r="B26" s="394" t="s">
        <v>1095</v>
      </c>
      <c r="C26" s="395" t="s">
        <v>807</v>
      </c>
      <c r="D26" s="396">
        <v>3</v>
      </c>
      <c r="E26" s="385">
        <f t="shared" si="10"/>
        <v>14952</v>
      </c>
      <c r="F26" s="368">
        <v>6424</v>
      </c>
      <c r="G26" s="368">
        <v>8528</v>
      </c>
      <c r="H26" s="385">
        <f t="shared" si="11"/>
        <v>3452</v>
      </c>
      <c r="I26" s="371"/>
      <c r="J26" s="371"/>
      <c r="K26" s="371"/>
      <c r="L26" s="371"/>
      <c r="M26" s="371"/>
      <c r="N26" s="371">
        <v>2580</v>
      </c>
      <c r="O26" s="370">
        <v>872</v>
      </c>
      <c r="P26" s="386">
        <f t="shared" si="12"/>
        <v>11500</v>
      </c>
      <c r="Q26" s="371"/>
      <c r="R26" s="371">
        <v>990</v>
      </c>
      <c r="S26" s="371">
        <v>5242</v>
      </c>
      <c r="T26" s="371"/>
      <c r="U26" s="371">
        <v>2580</v>
      </c>
      <c r="V26" s="371"/>
      <c r="W26" s="371"/>
      <c r="X26" s="371"/>
      <c r="Y26" s="371">
        <v>108</v>
      </c>
      <c r="Z26" s="371">
        <v>2580</v>
      </c>
      <c r="AA26" s="371"/>
      <c r="AB26" s="371"/>
      <c r="AC26" s="371"/>
      <c r="AD26" s="371"/>
      <c r="AE26" s="371"/>
      <c r="AF26" s="385">
        <f t="shared" si="13"/>
        <v>0</v>
      </c>
      <c r="AG26" s="371"/>
      <c r="AH26" s="371"/>
      <c r="AI26" s="387">
        <f t="shared" si="1"/>
        <v>0</v>
      </c>
    </row>
    <row r="27" spans="1:35" s="393" customFormat="1" ht="53.45" customHeight="1">
      <c r="A27" s="397" t="s">
        <v>379</v>
      </c>
      <c r="B27" s="394" t="s">
        <v>1095</v>
      </c>
      <c r="C27" s="395" t="s">
        <v>808</v>
      </c>
      <c r="D27" s="396">
        <v>3</v>
      </c>
      <c r="E27" s="385">
        <f t="shared" si="10"/>
        <v>500</v>
      </c>
      <c r="F27" s="368">
        <v>500</v>
      </c>
      <c r="G27" s="368"/>
      <c r="H27" s="385">
        <f t="shared" si="11"/>
        <v>0</v>
      </c>
      <c r="I27" s="371"/>
      <c r="J27" s="371"/>
      <c r="K27" s="371"/>
      <c r="L27" s="371"/>
      <c r="M27" s="371"/>
      <c r="N27" s="371"/>
      <c r="O27" s="370"/>
      <c r="P27" s="386">
        <f t="shared" si="12"/>
        <v>500</v>
      </c>
      <c r="Q27" s="371"/>
      <c r="R27" s="371"/>
      <c r="S27" s="371"/>
      <c r="T27" s="371"/>
      <c r="U27" s="371"/>
      <c r="V27" s="371"/>
      <c r="W27" s="371"/>
      <c r="X27" s="371"/>
      <c r="Y27" s="371"/>
      <c r="Z27" s="371">
        <v>500</v>
      </c>
      <c r="AA27" s="371"/>
      <c r="AB27" s="371"/>
      <c r="AC27" s="371"/>
      <c r="AD27" s="371"/>
      <c r="AE27" s="371"/>
      <c r="AF27" s="385">
        <f t="shared" si="13"/>
        <v>0</v>
      </c>
      <c r="AG27" s="371"/>
      <c r="AH27" s="371"/>
      <c r="AI27" s="387">
        <f t="shared" si="1"/>
        <v>0</v>
      </c>
    </row>
    <row r="28" spans="1:35" s="393" customFormat="1" ht="30" customHeight="1">
      <c r="A28" s="397" t="s">
        <v>379</v>
      </c>
      <c r="B28" s="394" t="s">
        <v>1095</v>
      </c>
      <c r="C28" s="395" t="s">
        <v>1023</v>
      </c>
      <c r="D28" s="396">
        <v>5</v>
      </c>
      <c r="E28" s="385">
        <f t="shared" si="10"/>
        <v>67180</v>
      </c>
      <c r="F28" s="368">
        <v>67180</v>
      </c>
      <c r="G28" s="368"/>
      <c r="H28" s="385">
        <f t="shared" si="11"/>
        <v>6228</v>
      </c>
      <c r="I28" s="371">
        <v>1144</v>
      </c>
      <c r="J28" s="371">
        <v>581</v>
      </c>
      <c r="K28" s="371"/>
      <c r="L28" s="371">
        <v>2305</v>
      </c>
      <c r="M28" s="371">
        <v>275</v>
      </c>
      <c r="N28" s="371">
        <v>1923</v>
      </c>
      <c r="O28" s="370"/>
      <c r="P28" s="386">
        <f t="shared" si="12"/>
        <v>60952</v>
      </c>
      <c r="Q28" s="371">
        <v>1057</v>
      </c>
      <c r="R28" s="371">
        <v>1167</v>
      </c>
      <c r="S28" s="371">
        <v>1275</v>
      </c>
      <c r="T28" s="371">
        <v>222</v>
      </c>
      <c r="U28" s="371">
        <v>1206</v>
      </c>
      <c r="V28" s="371">
        <v>172</v>
      </c>
      <c r="W28" s="371">
        <v>906</v>
      </c>
      <c r="X28" s="371">
        <v>2640</v>
      </c>
      <c r="Y28" s="371">
        <v>7323</v>
      </c>
      <c r="Z28" s="371">
        <v>8254</v>
      </c>
      <c r="AA28" s="371">
        <v>146</v>
      </c>
      <c r="AB28" s="371">
        <v>637</v>
      </c>
      <c r="AC28" s="371">
        <v>176</v>
      </c>
      <c r="AD28" s="371">
        <v>146</v>
      </c>
      <c r="AE28" s="371">
        <v>35625</v>
      </c>
      <c r="AF28" s="385">
        <f t="shared" si="13"/>
        <v>0</v>
      </c>
      <c r="AG28" s="371"/>
      <c r="AH28" s="371"/>
      <c r="AI28" s="387">
        <f t="shared" si="1"/>
        <v>0</v>
      </c>
    </row>
    <row r="29" spans="1:35" s="393" customFormat="1" ht="49.5" customHeight="1">
      <c r="A29" s="397" t="s">
        <v>379</v>
      </c>
      <c r="B29" s="394" t="s">
        <v>1095</v>
      </c>
      <c r="C29" s="395" t="s">
        <v>1024</v>
      </c>
      <c r="D29" s="396">
        <v>5</v>
      </c>
      <c r="E29" s="385">
        <f t="shared" si="10"/>
        <v>12000</v>
      </c>
      <c r="F29" s="368">
        <v>12000</v>
      </c>
      <c r="G29" s="368"/>
      <c r="H29" s="385">
        <f t="shared" si="11"/>
        <v>8280</v>
      </c>
      <c r="I29" s="371"/>
      <c r="J29" s="371"/>
      <c r="K29" s="371"/>
      <c r="L29" s="371"/>
      <c r="M29" s="371">
        <v>275</v>
      </c>
      <c r="N29" s="371">
        <v>825</v>
      </c>
      <c r="O29" s="370">
        <v>7180</v>
      </c>
      <c r="P29" s="386">
        <f t="shared" si="12"/>
        <v>3720</v>
      </c>
      <c r="Q29" s="371">
        <v>248</v>
      </c>
      <c r="R29" s="371">
        <v>327</v>
      </c>
      <c r="S29" s="371">
        <v>360</v>
      </c>
      <c r="T29" s="371">
        <v>222</v>
      </c>
      <c r="U29" s="371">
        <v>251</v>
      </c>
      <c r="V29" s="371">
        <v>172</v>
      </c>
      <c r="W29" s="371">
        <v>172</v>
      </c>
      <c r="X29" s="371">
        <v>496</v>
      </c>
      <c r="Y29" s="371"/>
      <c r="Z29" s="371"/>
      <c r="AA29" s="371">
        <v>146</v>
      </c>
      <c r="AB29" s="371">
        <v>378</v>
      </c>
      <c r="AC29" s="371">
        <v>176</v>
      </c>
      <c r="AD29" s="371">
        <v>146</v>
      </c>
      <c r="AE29" s="371">
        <v>626</v>
      </c>
      <c r="AF29" s="385">
        <f t="shared" si="13"/>
        <v>0</v>
      </c>
      <c r="AG29" s="371"/>
      <c r="AH29" s="371"/>
      <c r="AI29" s="387">
        <f t="shared" si="1"/>
        <v>0</v>
      </c>
    </row>
    <row r="30" spans="1:35" s="393" customFormat="1" ht="51.95" customHeight="1">
      <c r="A30" s="397" t="s">
        <v>379</v>
      </c>
      <c r="B30" s="394" t="s">
        <v>1095</v>
      </c>
      <c r="C30" s="395" t="s">
        <v>1025</v>
      </c>
      <c r="D30" s="396">
        <v>5</v>
      </c>
      <c r="E30" s="385">
        <f t="shared" si="10"/>
        <v>1879</v>
      </c>
      <c r="F30" s="368">
        <v>1879</v>
      </c>
      <c r="G30" s="368"/>
      <c r="H30" s="385">
        <f t="shared" si="11"/>
        <v>927</v>
      </c>
      <c r="I30" s="371">
        <v>270</v>
      </c>
      <c r="J30" s="371">
        <v>136</v>
      </c>
      <c r="K30" s="371">
        <v>270</v>
      </c>
      <c r="L30" s="371"/>
      <c r="M30" s="371">
        <v>68</v>
      </c>
      <c r="N30" s="371">
        <v>183</v>
      </c>
      <c r="O30" s="370"/>
      <c r="P30" s="386">
        <f t="shared" si="12"/>
        <v>952</v>
      </c>
      <c r="Q30" s="371">
        <v>37</v>
      </c>
      <c r="R30" s="371">
        <v>74</v>
      </c>
      <c r="S30" s="371">
        <v>34</v>
      </c>
      <c r="T30" s="371">
        <v>34</v>
      </c>
      <c r="U30" s="371">
        <v>68</v>
      </c>
      <c r="V30" s="371">
        <v>26</v>
      </c>
      <c r="W30" s="371">
        <v>26</v>
      </c>
      <c r="X30" s="371">
        <v>126</v>
      </c>
      <c r="Y30" s="371"/>
      <c r="Z30" s="371"/>
      <c r="AA30" s="371">
        <v>18</v>
      </c>
      <c r="AB30" s="371">
        <v>80</v>
      </c>
      <c r="AC30" s="371">
        <v>30</v>
      </c>
      <c r="AD30" s="371">
        <v>24</v>
      </c>
      <c r="AE30" s="371">
        <v>375</v>
      </c>
      <c r="AF30" s="385">
        <f t="shared" si="13"/>
        <v>0</v>
      </c>
      <c r="AG30" s="371"/>
      <c r="AH30" s="371"/>
      <c r="AI30" s="387">
        <f t="shared" si="1"/>
        <v>0</v>
      </c>
    </row>
    <row r="31" spans="1:35" s="393" customFormat="1" ht="24" customHeight="1">
      <c r="A31" s="397" t="s">
        <v>379</v>
      </c>
      <c r="B31" s="394" t="s">
        <v>1095</v>
      </c>
      <c r="C31" s="395" t="s">
        <v>1026</v>
      </c>
      <c r="D31" s="396">
        <v>1</v>
      </c>
      <c r="E31" s="385">
        <f t="shared" si="10"/>
        <v>199833</v>
      </c>
      <c r="F31" s="368">
        <v>137927</v>
      </c>
      <c r="G31" s="368">
        <v>61906</v>
      </c>
      <c r="H31" s="385">
        <f t="shared" si="11"/>
        <v>25715</v>
      </c>
      <c r="I31" s="371"/>
      <c r="J31" s="371"/>
      <c r="K31" s="371"/>
      <c r="L31" s="371"/>
      <c r="M31" s="371"/>
      <c r="N31" s="371">
        <v>23715</v>
      </c>
      <c r="O31" s="370">
        <v>2000</v>
      </c>
      <c r="P31" s="386">
        <f t="shared" si="12"/>
        <v>174118</v>
      </c>
      <c r="Q31" s="371">
        <v>5400</v>
      </c>
      <c r="R31" s="371">
        <v>8320</v>
      </c>
      <c r="S31" s="371"/>
      <c r="T31" s="371"/>
      <c r="U31" s="371">
        <v>6750</v>
      </c>
      <c r="V31" s="371"/>
      <c r="W31" s="371">
        <v>6274</v>
      </c>
      <c r="X31" s="371">
        <v>35152</v>
      </c>
      <c r="Y31" s="371">
        <v>11692</v>
      </c>
      <c r="Z31" s="371">
        <v>10524</v>
      </c>
      <c r="AA31" s="371"/>
      <c r="AB31" s="371"/>
      <c r="AC31" s="371"/>
      <c r="AD31" s="371"/>
      <c r="AE31" s="371">
        <v>90006</v>
      </c>
      <c r="AF31" s="385">
        <f t="shared" si="13"/>
        <v>0</v>
      </c>
      <c r="AG31" s="371"/>
      <c r="AH31" s="371"/>
      <c r="AI31" s="387">
        <f t="shared" si="1"/>
        <v>0</v>
      </c>
    </row>
    <row r="32" spans="1:35" s="393" customFormat="1" ht="24" customHeight="1">
      <c r="A32" s="397" t="s">
        <v>379</v>
      </c>
      <c r="B32" s="394" t="s">
        <v>1095</v>
      </c>
      <c r="C32" s="395" t="s">
        <v>1027</v>
      </c>
      <c r="D32" s="396">
        <v>1</v>
      </c>
      <c r="E32" s="385">
        <f t="shared" si="10"/>
        <v>3220</v>
      </c>
      <c r="F32" s="368">
        <v>3220</v>
      </c>
      <c r="G32" s="368"/>
      <c r="H32" s="385">
        <f t="shared" si="11"/>
        <v>0</v>
      </c>
      <c r="I32" s="371"/>
      <c r="J32" s="371"/>
      <c r="K32" s="371"/>
      <c r="L32" s="371"/>
      <c r="M32" s="371"/>
      <c r="N32" s="371"/>
      <c r="O32" s="370"/>
      <c r="P32" s="386">
        <f t="shared" si="12"/>
        <v>3220</v>
      </c>
      <c r="Q32" s="371"/>
      <c r="R32" s="371"/>
      <c r="S32" s="371"/>
      <c r="T32" s="371"/>
      <c r="U32" s="371"/>
      <c r="V32" s="371"/>
      <c r="W32" s="371"/>
      <c r="X32" s="371"/>
      <c r="Y32" s="371"/>
      <c r="Z32" s="371"/>
      <c r="AA32" s="371"/>
      <c r="AB32" s="371"/>
      <c r="AC32" s="371"/>
      <c r="AD32" s="371"/>
      <c r="AE32" s="371">
        <v>3220</v>
      </c>
      <c r="AF32" s="385">
        <f t="shared" si="13"/>
        <v>0</v>
      </c>
      <c r="AG32" s="371"/>
      <c r="AH32" s="371"/>
      <c r="AI32" s="387">
        <f t="shared" si="1"/>
        <v>0</v>
      </c>
    </row>
    <row r="33" spans="1:35" s="393" customFormat="1" ht="24" customHeight="1">
      <c r="A33" s="397" t="s">
        <v>379</v>
      </c>
      <c r="B33" s="394" t="s">
        <v>1095</v>
      </c>
      <c r="C33" s="395" t="s">
        <v>1028</v>
      </c>
      <c r="D33" s="396">
        <v>1</v>
      </c>
      <c r="E33" s="385">
        <f t="shared" si="10"/>
        <v>3550</v>
      </c>
      <c r="F33" s="368">
        <v>3550</v>
      </c>
      <c r="G33" s="368"/>
      <c r="H33" s="385">
        <f t="shared" si="11"/>
        <v>0</v>
      </c>
      <c r="I33" s="371"/>
      <c r="J33" s="371"/>
      <c r="K33" s="371"/>
      <c r="L33" s="371"/>
      <c r="M33" s="371"/>
      <c r="N33" s="371"/>
      <c r="O33" s="370"/>
      <c r="P33" s="386">
        <f t="shared" si="12"/>
        <v>3550</v>
      </c>
      <c r="Q33" s="371"/>
      <c r="R33" s="371"/>
      <c r="S33" s="371"/>
      <c r="T33" s="371"/>
      <c r="U33" s="371"/>
      <c r="V33" s="371"/>
      <c r="W33" s="371"/>
      <c r="X33" s="371"/>
      <c r="Y33" s="371"/>
      <c r="Z33" s="371"/>
      <c r="AA33" s="371"/>
      <c r="AB33" s="371"/>
      <c r="AC33" s="371"/>
      <c r="AD33" s="371"/>
      <c r="AE33" s="371">
        <v>3550</v>
      </c>
      <c r="AF33" s="385">
        <f t="shared" si="13"/>
        <v>0</v>
      </c>
      <c r="AG33" s="371"/>
      <c r="AH33" s="371"/>
      <c r="AI33" s="387">
        <f t="shared" si="1"/>
        <v>0</v>
      </c>
    </row>
    <row r="34" spans="1:35" s="393" customFormat="1" ht="42.6" customHeight="1">
      <c r="A34" s="397" t="s">
        <v>379</v>
      </c>
      <c r="B34" s="394" t="s">
        <v>1095</v>
      </c>
      <c r="C34" s="395" t="s">
        <v>1029</v>
      </c>
      <c r="D34" s="396">
        <v>1</v>
      </c>
      <c r="E34" s="385">
        <f t="shared" si="10"/>
        <v>19432</v>
      </c>
      <c r="F34" s="368">
        <v>19432</v>
      </c>
      <c r="G34" s="368"/>
      <c r="H34" s="385">
        <f t="shared" si="11"/>
        <v>580</v>
      </c>
      <c r="I34" s="371">
        <v>19</v>
      </c>
      <c r="J34" s="371"/>
      <c r="K34" s="371">
        <v>19</v>
      </c>
      <c r="L34" s="371">
        <v>19</v>
      </c>
      <c r="M34" s="371"/>
      <c r="N34" s="371">
        <v>19</v>
      </c>
      <c r="O34" s="370">
        <v>504</v>
      </c>
      <c r="P34" s="386">
        <f t="shared" si="12"/>
        <v>18852</v>
      </c>
      <c r="Q34" s="371">
        <v>19</v>
      </c>
      <c r="R34" s="371">
        <v>47</v>
      </c>
      <c r="S34" s="371">
        <v>56</v>
      </c>
      <c r="T34" s="371"/>
      <c r="U34" s="371">
        <v>84</v>
      </c>
      <c r="V34" s="371"/>
      <c r="W34" s="371">
        <v>52</v>
      </c>
      <c r="X34" s="371">
        <v>984</v>
      </c>
      <c r="Y34" s="371">
        <v>3720</v>
      </c>
      <c r="Z34" s="371">
        <v>4458</v>
      </c>
      <c r="AA34" s="371"/>
      <c r="AB34" s="371"/>
      <c r="AC34" s="371"/>
      <c r="AD34" s="371"/>
      <c r="AE34" s="371">
        <v>9432</v>
      </c>
      <c r="AF34" s="385">
        <f t="shared" si="13"/>
        <v>0</v>
      </c>
      <c r="AG34" s="371"/>
      <c r="AH34" s="371"/>
      <c r="AI34" s="387">
        <f t="shared" si="1"/>
        <v>0</v>
      </c>
    </row>
    <row r="35" spans="1:35" s="393" customFormat="1" ht="40.5" customHeight="1">
      <c r="A35" s="397" t="s">
        <v>379</v>
      </c>
      <c r="B35" s="394" t="s">
        <v>1095</v>
      </c>
      <c r="C35" s="395" t="s">
        <v>1030</v>
      </c>
      <c r="D35" s="396">
        <v>1</v>
      </c>
      <c r="E35" s="385">
        <f t="shared" si="10"/>
        <v>31347</v>
      </c>
      <c r="F35" s="368">
        <v>31347</v>
      </c>
      <c r="G35" s="368"/>
      <c r="H35" s="385">
        <f t="shared" si="11"/>
        <v>7230</v>
      </c>
      <c r="I35" s="371">
        <v>13</v>
      </c>
      <c r="J35" s="371"/>
      <c r="K35" s="371">
        <v>34</v>
      </c>
      <c r="L35" s="371">
        <v>89</v>
      </c>
      <c r="M35" s="371"/>
      <c r="N35" s="371">
        <v>195</v>
      </c>
      <c r="O35" s="370">
        <v>6899</v>
      </c>
      <c r="P35" s="386">
        <f t="shared" si="12"/>
        <v>24117</v>
      </c>
      <c r="Q35" s="371">
        <v>61</v>
      </c>
      <c r="R35" s="371">
        <v>41</v>
      </c>
      <c r="S35" s="371">
        <v>72</v>
      </c>
      <c r="T35" s="371"/>
      <c r="U35" s="371">
        <v>229</v>
      </c>
      <c r="V35" s="371"/>
      <c r="W35" s="371">
        <v>143</v>
      </c>
      <c r="X35" s="371">
        <v>508</v>
      </c>
      <c r="Y35" s="371">
        <v>1346</v>
      </c>
      <c r="Z35" s="371">
        <v>878</v>
      </c>
      <c r="AA35" s="371"/>
      <c r="AB35" s="371"/>
      <c r="AC35" s="371"/>
      <c r="AD35" s="371"/>
      <c r="AE35" s="371">
        <v>20839</v>
      </c>
      <c r="AF35" s="385">
        <f t="shared" si="13"/>
        <v>0</v>
      </c>
      <c r="AG35" s="371"/>
      <c r="AH35" s="371"/>
      <c r="AI35" s="387">
        <f t="shared" si="1"/>
        <v>0</v>
      </c>
    </row>
    <row r="36" spans="1:35" s="393" customFormat="1" ht="24" customHeight="1">
      <c r="A36" s="397" t="s">
        <v>379</v>
      </c>
      <c r="B36" s="394" t="s">
        <v>1095</v>
      </c>
      <c r="C36" s="395" t="s">
        <v>1031</v>
      </c>
      <c r="D36" s="396">
        <v>1</v>
      </c>
      <c r="E36" s="385">
        <f t="shared" si="10"/>
        <v>150</v>
      </c>
      <c r="F36" s="368">
        <v>150</v>
      </c>
      <c r="G36" s="368"/>
      <c r="H36" s="385">
        <f t="shared" si="11"/>
        <v>0</v>
      </c>
      <c r="I36" s="371"/>
      <c r="J36" s="371"/>
      <c r="K36" s="371"/>
      <c r="L36" s="371"/>
      <c r="M36" s="371"/>
      <c r="N36" s="371"/>
      <c r="O36" s="370"/>
      <c r="P36" s="386">
        <f t="shared" si="12"/>
        <v>150</v>
      </c>
      <c r="Q36" s="371"/>
      <c r="R36" s="371"/>
      <c r="S36" s="371"/>
      <c r="T36" s="371"/>
      <c r="U36" s="371"/>
      <c r="V36" s="371"/>
      <c r="W36" s="371"/>
      <c r="X36" s="371"/>
      <c r="Y36" s="371">
        <v>150</v>
      </c>
      <c r="Z36" s="371"/>
      <c r="AA36" s="371"/>
      <c r="AB36" s="371"/>
      <c r="AC36" s="371"/>
      <c r="AD36" s="371"/>
      <c r="AE36" s="371"/>
      <c r="AF36" s="385">
        <f t="shared" si="13"/>
        <v>0</v>
      </c>
      <c r="AG36" s="371"/>
      <c r="AH36" s="371"/>
      <c r="AI36" s="387">
        <f t="shared" si="1"/>
        <v>0</v>
      </c>
    </row>
    <row r="37" spans="1:35" s="393" customFormat="1" ht="24" customHeight="1">
      <c r="A37" s="397" t="s">
        <v>379</v>
      </c>
      <c r="B37" s="394" t="s">
        <v>1095</v>
      </c>
      <c r="C37" s="395" t="s">
        <v>1032</v>
      </c>
      <c r="D37" s="396">
        <v>1</v>
      </c>
      <c r="E37" s="385">
        <f t="shared" si="10"/>
        <v>16387</v>
      </c>
      <c r="F37" s="368">
        <v>13400</v>
      </c>
      <c r="G37" s="368">
        <v>2987</v>
      </c>
      <c r="H37" s="385">
        <f t="shared" si="11"/>
        <v>3923</v>
      </c>
      <c r="I37" s="371"/>
      <c r="J37" s="371"/>
      <c r="K37" s="371">
        <v>1170</v>
      </c>
      <c r="L37" s="371">
        <v>1667</v>
      </c>
      <c r="M37" s="371"/>
      <c r="N37" s="371">
        <v>700</v>
      </c>
      <c r="O37" s="370">
        <v>386</v>
      </c>
      <c r="P37" s="386">
        <f t="shared" si="12"/>
        <v>12464</v>
      </c>
      <c r="Q37" s="371">
        <v>167</v>
      </c>
      <c r="R37" s="371">
        <v>505</v>
      </c>
      <c r="S37" s="371">
        <v>790</v>
      </c>
      <c r="T37" s="371"/>
      <c r="U37" s="371">
        <v>4252</v>
      </c>
      <c r="V37" s="371"/>
      <c r="W37" s="371">
        <v>40</v>
      </c>
      <c r="X37" s="371">
        <v>965</v>
      </c>
      <c r="Y37" s="371">
        <v>162</v>
      </c>
      <c r="Z37" s="371">
        <v>947</v>
      </c>
      <c r="AA37" s="371"/>
      <c r="AB37" s="371"/>
      <c r="AC37" s="371"/>
      <c r="AD37" s="371"/>
      <c r="AE37" s="371">
        <v>4636</v>
      </c>
      <c r="AF37" s="385">
        <f t="shared" si="13"/>
        <v>0</v>
      </c>
      <c r="AG37" s="371"/>
      <c r="AH37" s="371"/>
      <c r="AI37" s="387">
        <f t="shared" si="1"/>
        <v>0</v>
      </c>
    </row>
    <row r="38" spans="1:35" s="393" customFormat="1" ht="36.6" customHeight="1">
      <c r="A38" s="397" t="s">
        <v>379</v>
      </c>
      <c r="B38" s="394" t="s">
        <v>1095</v>
      </c>
      <c r="C38" s="395" t="s">
        <v>1033</v>
      </c>
      <c r="D38" s="396">
        <v>1</v>
      </c>
      <c r="E38" s="385">
        <f t="shared" si="10"/>
        <v>800</v>
      </c>
      <c r="F38" s="368">
        <v>800</v>
      </c>
      <c r="G38" s="368"/>
      <c r="H38" s="385">
        <f t="shared" si="11"/>
        <v>0</v>
      </c>
      <c r="I38" s="371"/>
      <c r="J38" s="371"/>
      <c r="K38" s="371"/>
      <c r="L38" s="371"/>
      <c r="M38" s="371"/>
      <c r="N38" s="371"/>
      <c r="O38" s="370"/>
      <c r="P38" s="386">
        <f t="shared" si="12"/>
        <v>800</v>
      </c>
      <c r="Q38" s="371"/>
      <c r="R38" s="371"/>
      <c r="S38" s="371"/>
      <c r="T38" s="371"/>
      <c r="U38" s="371"/>
      <c r="V38" s="371"/>
      <c r="W38" s="371"/>
      <c r="X38" s="371"/>
      <c r="Y38" s="371"/>
      <c r="Z38" s="371"/>
      <c r="AA38" s="371"/>
      <c r="AB38" s="371"/>
      <c r="AC38" s="371"/>
      <c r="AD38" s="371"/>
      <c r="AE38" s="371">
        <v>800</v>
      </c>
      <c r="AF38" s="385">
        <f t="shared" si="13"/>
        <v>0</v>
      </c>
      <c r="AG38" s="371"/>
      <c r="AH38" s="371"/>
      <c r="AI38" s="387">
        <f t="shared" si="1"/>
        <v>0</v>
      </c>
    </row>
    <row r="39" spans="1:35" s="393" customFormat="1" ht="24" customHeight="1">
      <c r="A39" s="397" t="s">
        <v>379</v>
      </c>
      <c r="B39" s="394" t="s">
        <v>1095</v>
      </c>
      <c r="C39" s="395" t="s">
        <v>1034</v>
      </c>
      <c r="D39" s="396">
        <v>1</v>
      </c>
      <c r="E39" s="385">
        <f t="shared" si="10"/>
        <v>102000</v>
      </c>
      <c r="F39" s="368">
        <v>14000</v>
      </c>
      <c r="G39" s="368">
        <v>88000</v>
      </c>
      <c r="H39" s="385">
        <f t="shared" si="11"/>
        <v>52000</v>
      </c>
      <c r="I39" s="371">
        <v>5080</v>
      </c>
      <c r="J39" s="371">
        <v>1100</v>
      </c>
      <c r="K39" s="371">
        <v>11880</v>
      </c>
      <c r="L39" s="371">
        <v>8680</v>
      </c>
      <c r="M39" s="371">
        <v>1430</v>
      </c>
      <c r="N39" s="371">
        <v>9260</v>
      </c>
      <c r="O39" s="370">
        <v>14570</v>
      </c>
      <c r="P39" s="386">
        <f t="shared" si="12"/>
        <v>49670</v>
      </c>
      <c r="Q39" s="371">
        <v>4340</v>
      </c>
      <c r="R39" s="371">
        <v>5160</v>
      </c>
      <c r="S39" s="371">
        <v>2710</v>
      </c>
      <c r="T39" s="371">
        <v>360</v>
      </c>
      <c r="U39" s="371">
        <v>7440</v>
      </c>
      <c r="V39" s="371">
        <v>360</v>
      </c>
      <c r="W39" s="371">
        <v>410</v>
      </c>
      <c r="X39" s="371">
        <v>9420</v>
      </c>
      <c r="Y39" s="371">
        <v>7975</v>
      </c>
      <c r="Z39" s="371">
        <v>9230</v>
      </c>
      <c r="AA39" s="371">
        <v>322</v>
      </c>
      <c r="AB39" s="371">
        <v>1208</v>
      </c>
      <c r="AC39" s="371">
        <v>370</v>
      </c>
      <c r="AD39" s="371">
        <v>365</v>
      </c>
      <c r="AE39" s="371">
        <v>0</v>
      </c>
      <c r="AF39" s="385">
        <f t="shared" si="13"/>
        <v>330</v>
      </c>
      <c r="AG39" s="371">
        <v>165</v>
      </c>
      <c r="AH39" s="371">
        <v>165</v>
      </c>
      <c r="AI39" s="387">
        <f t="shared" si="1"/>
        <v>0</v>
      </c>
    </row>
    <row r="40" spans="1:35" s="393" customFormat="1" ht="36.6" customHeight="1">
      <c r="A40" s="397" t="s">
        <v>379</v>
      </c>
      <c r="B40" s="394" t="s">
        <v>1095</v>
      </c>
      <c r="C40" s="395" t="s">
        <v>1035</v>
      </c>
      <c r="D40" s="396">
        <v>1</v>
      </c>
      <c r="E40" s="385">
        <f t="shared" si="10"/>
        <v>516900</v>
      </c>
      <c r="F40" s="368"/>
      <c r="G40" s="368">
        <v>516900</v>
      </c>
      <c r="H40" s="385">
        <f t="shared" si="11"/>
        <v>61700</v>
      </c>
      <c r="I40" s="371"/>
      <c r="J40" s="371"/>
      <c r="K40" s="371">
        <v>16078</v>
      </c>
      <c r="L40" s="371">
        <v>11419</v>
      </c>
      <c r="M40" s="371"/>
      <c r="N40" s="371">
        <v>34203</v>
      </c>
      <c r="O40" s="370"/>
      <c r="P40" s="386">
        <f t="shared" si="12"/>
        <v>455200</v>
      </c>
      <c r="Q40" s="371">
        <v>96207</v>
      </c>
      <c r="R40" s="371">
        <v>76278</v>
      </c>
      <c r="S40" s="371">
        <v>46487</v>
      </c>
      <c r="T40" s="371"/>
      <c r="U40" s="371">
        <v>38348</v>
      </c>
      <c r="V40" s="371"/>
      <c r="W40" s="371">
        <v>37592</v>
      </c>
      <c r="X40" s="371">
        <v>58862</v>
      </c>
      <c r="Y40" s="371">
        <v>62065</v>
      </c>
      <c r="Z40" s="371">
        <v>26646</v>
      </c>
      <c r="AA40" s="371"/>
      <c r="AB40" s="371"/>
      <c r="AC40" s="371"/>
      <c r="AD40" s="371"/>
      <c r="AE40" s="371">
        <v>12715</v>
      </c>
      <c r="AF40" s="385">
        <f t="shared" si="13"/>
        <v>0</v>
      </c>
      <c r="AG40" s="371"/>
      <c r="AH40" s="371"/>
      <c r="AI40" s="387">
        <f t="shared" si="1"/>
        <v>0</v>
      </c>
    </row>
    <row r="41" spans="1:35" s="393" customFormat="1" ht="41.1" customHeight="1">
      <c r="A41" s="397" t="s">
        <v>379</v>
      </c>
      <c r="B41" s="394" t="s">
        <v>1095</v>
      </c>
      <c r="C41" s="395" t="s">
        <v>797</v>
      </c>
      <c r="D41" s="396">
        <v>1</v>
      </c>
      <c r="E41" s="385">
        <f t="shared" si="10"/>
        <v>123136</v>
      </c>
      <c r="F41" s="368"/>
      <c r="G41" s="368">
        <v>123136</v>
      </c>
      <c r="H41" s="385">
        <f t="shared" si="11"/>
        <v>20000</v>
      </c>
      <c r="I41" s="371">
        <v>2000</v>
      </c>
      <c r="J41" s="371"/>
      <c r="K41" s="371">
        <v>5000</v>
      </c>
      <c r="L41" s="371">
        <v>3000</v>
      </c>
      <c r="M41" s="371"/>
      <c r="N41" s="371">
        <v>2000</v>
      </c>
      <c r="O41" s="370">
        <v>8000</v>
      </c>
      <c r="P41" s="386">
        <f t="shared" si="12"/>
        <v>103136</v>
      </c>
      <c r="Q41" s="371">
        <v>7000</v>
      </c>
      <c r="R41" s="371">
        <v>6000</v>
      </c>
      <c r="S41" s="371">
        <v>8000</v>
      </c>
      <c r="T41" s="371"/>
      <c r="U41" s="371">
        <v>8000</v>
      </c>
      <c r="V41" s="371"/>
      <c r="W41" s="371">
        <v>4136</v>
      </c>
      <c r="X41" s="371">
        <v>25000</v>
      </c>
      <c r="Y41" s="371">
        <v>22500</v>
      </c>
      <c r="Z41" s="371">
        <v>22500</v>
      </c>
      <c r="AA41" s="371"/>
      <c r="AB41" s="371"/>
      <c r="AC41" s="371"/>
      <c r="AD41" s="371"/>
      <c r="AE41" s="371"/>
      <c r="AF41" s="385">
        <f t="shared" si="13"/>
        <v>0</v>
      </c>
      <c r="AG41" s="371"/>
      <c r="AH41" s="371"/>
      <c r="AI41" s="387">
        <f t="shared" si="1"/>
        <v>0</v>
      </c>
    </row>
    <row r="42" spans="1:35" s="393" customFormat="1" ht="24" customHeight="1">
      <c r="A42" s="397" t="s">
        <v>379</v>
      </c>
      <c r="B42" s="394" t="s">
        <v>1095</v>
      </c>
      <c r="C42" s="395" t="s">
        <v>1036</v>
      </c>
      <c r="D42" s="396">
        <v>1</v>
      </c>
      <c r="E42" s="385">
        <f t="shared" si="10"/>
        <v>8539</v>
      </c>
      <c r="F42" s="368">
        <v>3635</v>
      </c>
      <c r="G42" s="368">
        <v>4904</v>
      </c>
      <c r="H42" s="385">
        <f t="shared" si="11"/>
        <v>3379</v>
      </c>
      <c r="I42" s="371"/>
      <c r="J42" s="371"/>
      <c r="K42" s="371"/>
      <c r="L42" s="371"/>
      <c r="M42" s="371"/>
      <c r="N42" s="371"/>
      <c r="O42" s="370">
        <v>3379</v>
      </c>
      <c r="P42" s="386">
        <f t="shared" si="12"/>
        <v>5160</v>
      </c>
      <c r="Q42" s="371"/>
      <c r="R42" s="371"/>
      <c r="S42" s="371"/>
      <c r="T42" s="371"/>
      <c r="U42" s="371"/>
      <c r="V42" s="371"/>
      <c r="W42" s="371"/>
      <c r="X42" s="371"/>
      <c r="Y42" s="371"/>
      <c r="Z42" s="371"/>
      <c r="AA42" s="371"/>
      <c r="AB42" s="371"/>
      <c r="AC42" s="371"/>
      <c r="AD42" s="371"/>
      <c r="AE42" s="371">
        <v>5160</v>
      </c>
      <c r="AF42" s="385">
        <f t="shared" si="13"/>
        <v>0</v>
      </c>
      <c r="AG42" s="371"/>
      <c r="AH42" s="371"/>
      <c r="AI42" s="387">
        <f t="shared" si="1"/>
        <v>0</v>
      </c>
    </row>
    <row r="43" spans="1:35" s="393" customFormat="1" ht="24" customHeight="1">
      <c r="A43" s="397" t="s">
        <v>379</v>
      </c>
      <c r="B43" s="394" t="s">
        <v>1095</v>
      </c>
      <c r="C43" s="395" t="s">
        <v>799</v>
      </c>
      <c r="D43" s="396">
        <v>1</v>
      </c>
      <c r="E43" s="385">
        <f t="shared" si="10"/>
        <v>590000</v>
      </c>
      <c r="F43" s="368">
        <v>390000</v>
      </c>
      <c r="G43" s="368">
        <v>200000</v>
      </c>
      <c r="H43" s="385">
        <f t="shared" si="11"/>
        <v>59000</v>
      </c>
      <c r="I43" s="371">
        <v>10750</v>
      </c>
      <c r="J43" s="371"/>
      <c r="K43" s="371">
        <v>13100</v>
      </c>
      <c r="L43" s="371">
        <v>10100</v>
      </c>
      <c r="M43" s="371"/>
      <c r="N43" s="371">
        <v>25050</v>
      </c>
      <c r="O43" s="370"/>
      <c r="P43" s="386">
        <f t="shared" si="12"/>
        <v>531000</v>
      </c>
      <c r="Q43" s="371">
        <v>23750</v>
      </c>
      <c r="R43" s="371">
        <v>31250</v>
      </c>
      <c r="S43" s="371">
        <v>26150</v>
      </c>
      <c r="T43" s="371"/>
      <c r="U43" s="371">
        <v>29550</v>
      </c>
      <c r="V43" s="371"/>
      <c r="W43" s="371">
        <v>12100</v>
      </c>
      <c r="X43" s="371">
        <v>107700</v>
      </c>
      <c r="Y43" s="371">
        <v>149900</v>
      </c>
      <c r="Z43" s="371">
        <v>133400</v>
      </c>
      <c r="AA43" s="371"/>
      <c r="AB43" s="371"/>
      <c r="AC43" s="371"/>
      <c r="AD43" s="371"/>
      <c r="AE43" s="371">
        <v>17200</v>
      </c>
      <c r="AF43" s="385">
        <f t="shared" si="13"/>
        <v>0</v>
      </c>
      <c r="AG43" s="371"/>
      <c r="AH43" s="371"/>
      <c r="AI43" s="387">
        <f t="shared" si="1"/>
        <v>0</v>
      </c>
    </row>
    <row r="44" spans="1:35" s="410" customFormat="1" ht="34.5" customHeight="1">
      <c r="A44" s="411" t="s">
        <v>379</v>
      </c>
      <c r="B44" s="430" t="s">
        <v>1038</v>
      </c>
      <c r="C44" s="413" t="s">
        <v>1037</v>
      </c>
      <c r="D44" s="414">
        <v>1</v>
      </c>
      <c r="E44" s="415">
        <f t="shared" si="10"/>
        <v>10360</v>
      </c>
      <c r="F44" s="415">
        <v>1080</v>
      </c>
      <c r="G44" s="415">
        <v>9280</v>
      </c>
      <c r="H44" s="415">
        <f t="shared" si="11"/>
        <v>2900</v>
      </c>
      <c r="I44" s="415">
        <v>550</v>
      </c>
      <c r="J44" s="415">
        <v>500</v>
      </c>
      <c r="K44" s="415">
        <v>500</v>
      </c>
      <c r="L44" s="415">
        <v>350</v>
      </c>
      <c r="M44" s="415">
        <v>500</v>
      </c>
      <c r="N44" s="415">
        <v>500</v>
      </c>
      <c r="O44" s="416">
        <v>0</v>
      </c>
      <c r="P44" s="416">
        <f t="shared" si="12"/>
        <v>7460</v>
      </c>
      <c r="Q44" s="415">
        <v>700</v>
      </c>
      <c r="R44" s="415">
        <v>500</v>
      </c>
      <c r="S44" s="415">
        <v>750</v>
      </c>
      <c r="T44" s="415">
        <v>300</v>
      </c>
      <c r="U44" s="415">
        <v>0</v>
      </c>
      <c r="V44" s="415">
        <v>0</v>
      </c>
      <c r="W44" s="415">
        <v>210</v>
      </c>
      <c r="X44" s="415">
        <v>1750</v>
      </c>
      <c r="Y44" s="415">
        <v>1200</v>
      </c>
      <c r="Z44" s="415">
        <v>1300</v>
      </c>
      <c r="AA44" s="415">
        <v>0</v>
      </c>
      <c r="AB44" s="415">
        <v>250</v>
      </c>
      <c r="AC44" s="415">
        <v>500</v>
      </c>
      <c r="AD44" s="415"/>
      <c r="AE44" s="415"/>
      <c r="AF44" s="415">
        <f t="shared" si="13"/>
        <v>0</v>
      </c>
      <c r="AG44" s="415"/>
      <c r="AH44" s="415"/>
      <c r="AI44" s="387">
        <f t="shared" si="1"/>
        <v>0</v>
      </c>
    </row>
    <row r="45" spans="1:35" s="404" customFormat="1" ht="24" customHeight="1">
      <c r="A45" s="398" t="s">
        <v>1096</v>
      </c>
      <c r="B45" s="399"/>
      <c r="C45" s="400"/>
      <c r="D45" s="401"/>
      <c r="E45" s="402">
        <f t="shared" ref="E45:AH45" si="14">SUM(E46:E59)</f>
        <v>908577</v>
      </c>
      <c r="F45" s="402">
        <f t="shared" si="14"/>
        <v>432707</v>
      </c>
      <c r="G45" s="402">
        <f t="shared" si="14"/>
        <v>475870</v>
      </c>
      <c r="H45" s="402">
        <f t="shared" si="14"/>
        <v>271060</v>
      </c>
      <c r="I45" s="402">
        <f t="shared" si="14"/>
        <v>35250</v>
      </c>
      <c r="J45" s="402">
        <f t="shared" si="14"/>
        <v>2150</v>
      </c>
      <c r="K45" s="402">
        <f t="shared" si="14"/>
        <v>84100</v>
      </c>
      <c r="L45" s="402">
        <f t="shared" si="14"/>
        <v>52930</v>
      </c>
      <c r="M45" s="402">
        <f t="shared" si="14"/>
        <v>26100</v>
      </c>
      <c r="N45" s="402">
        <f t="shared" si="14"/>
        <v>60030</v>
      </c>
      <c r="O45" s="402">
        <f t="shared" si="14"/>
        <v>10500</v>
      </c>
      <c r="P45" s="402">
        <f t="shared" si="14"/>
        <v>637517</v>
      </c>
      <c r="Q45" s="402">
        <f t="shared" si="14"/>
        <v>19260</v>
      </c>
      <c r="R45" s="402">
        <f t="shared" si="14"/>
        <v>107220</v>
      </c>
      <c r="S45" s="402">
        <f t="shared" si="14"/>
        <v>97520</v>
      </c>
      <c r="T45" s="402">
        <f t="shared" si="14"/>
        <v>22600</v>
      </c>
      <c r="U45" s="402">
        <f t="shared" si="14"/>
        <v>42330</v>
      </c>
      <c r="V45" s="402">
        <f t="shared" si="14"/>
        <v>35850</v>
      </c>
      <c r="W45" s="402">
        <f t="shared" si="14"/>
        <v>28300</v>
      </c>
      <c r="X45" s="402">
        <f t="shared" si="14"/>
        <v>69920</v>
      </c>
      <c r="Y45" s="402">
        <f t="shared" si="14"/>
        <v>50760</v>
      </c>
      <c r="Z45" s="402">
        <f t="shared" si="14"/>
        <v>57707</v>
      </c>
      <c r="AA45" s="402">
        <f t="shared" si="14"/>
        <v>3000</v>
      </c>
      <c r="AB45" s="402">
        <f t="shared" si="14"/>
        <v>12100</v>
      </c>
      <c r="AC45" s="402">
        <f t="shared" si="14"/>
        <v>30700</v>
      </c>
      <c r="AD45" s="402">
        <f t="shared" si="14"/>
        <v>20350</v>
      </c>
      <c r="AE45" s="402">
        <f t="shared" si="14"/>
        <v>39900</v>
      </c>
      <c r="AF45" s="402">
        <f t="shared" si="14"/>
        <v>0</v>
      </c>
      <c r="AG45" s="402">
        <f t="shared" si="14"/>
        <v>0</v>
      </c>
      <c r="AH45" s="402">
        <f t="shared" si="14"/>
        <v>0</v>
      </c>
      <c r="AI45" s="387">
        <f t="shared" si="1"/>
        <v>0</v>
      </c>
    </row>
    <row r="46" spans="1:35" s="393" customFormat="1" ht="33.6" customHeight="1">
      <c r="A46" s="397" t="s">
        <v>379</v>
      </c>
      <c r="B46" s="394" t="s">
        <v>1097</v>
      </c>
      <c r="C46" s="395" t="s">
        <v>262</v>
      </c>
      <c r="D46" s="396">
        <v>1</v>
      </c>
      <c r="E46" s="385">
        <f t="shared" ref="E46:E59" si="15">SUM(H46,P46,AF46)</f>
        <v>1000</v>
      </c>
      <c r="F46" s="368">
        <v>1000</v>
      </c>
      <c r="G46" s="368">
        <v>0</v>
      </c>
      <c r="H46" s="385">
        <f t="shared" ref="H46:H59" si="16">SUM(I46:O46)</f>
        <v>500</v>
      </c>
      <c r="I46" s="371"/>
      <c r="J46" s="371"/>
      <c r="K46" s="371"/>
      <c r="L46" s="371"/>
      <c r="M46" s="371"/>
      <c r="N46" s="371"/>
      <c r="O46" s="370">
        <v>500</v>
      </c>
      <c r="P46" s="386">
        <f t="shared" ref="P46:P59" si="17">SUM(Q46:AE46)</f>
        <v>500</v>
      </c>
      <c r="Q46" s="371"/>
      <c r="R46" s="371"/>
      <c r="S46" s="371"/>
      <c r="T46" s="371"/>
      <c r="U46" s="371"/>
      <c r="V46" s="371"/>
      <c r="W46" s="371"/>
      <c r="X46" s="371"/>
      <c r="Y46" s="371"/>
      <c r="Z46" s="371"/>
      <c r="AA46" s="371"/>
      <c r="AB46" s="371"/>
      <c r="AC46" s="371"/>
      <c r="AD46" s="371"/>
      <c r="AE46" s="371">
        <v>500</v>
      </c>
      <c r="AF46" s="385">
        <f t="shared" ref="AF46:AF59" si="18">SUM(AG46:AH46)</f>
        <v>0</v>
      </c>
      <c r="AG46" s="371"/>
      <c r="AH46" s="371"/>
      <c r="AI46" s="387">
        <f t="shared" si="1"/>
        <v>0</v>
      </c>
    </row>
    <row r="47" spans="1:35" s="393" customFormat="1" ht="36.950000000000003" customHeight="1">
      <c r="A47" s="397" t="s">
        <v>379</v>
      </c>
      <c r="B47" s="394" t="s">
        <v>1097</v>
      </c>
      <c r="C47" s="395" t="s">
        <v>948</v>
      </c>
      <c r="D47" s="396">
        <v>1</v>
      </c>
      <c r="E47" s="385">
        <f t="shared" si="15"/>
        <v>48000</v>
      </c>
      <c r="F47" s="368">
        <v>48000</v>
      </c>
      <c r="G47" s="368">
        <v>0</v>
      </c>
      <c r="H47" s="385">
        <f t="shared" si="16"/>
        <v>10000</v>
      </c>
      <c r="I47" s="371"/>
      <c r="J47" s="371"/>
      <c r="K47" s="371"/>
      <c r="L47" s="371"/>
      <c r="M47" s="371"/>
      <c r="N47" s="371"/>
      <c r="O47" s="370">
        <v>10000</v>
      </c>
      <c r="P47" s="386">
        <f t="shared" si="17"/>
        <v>38000</v>
      </c>
      <c r="Q47" s="371"/>
      <c r="R47" s="371"/>
      <c r="S47" s="371"/>
      <c r="T47" s="371"/>
      <c r="U47" s="371"/>
      <c r="V47" s="371"/>
      <c r="W47" s="371"/>
      <c r="X47" s="371"/>
      <c r="Y47" s="371"/>
      <c r="Z47" s="371"/>
      <c r="AA47" s="371"/>
      <c r="AB47" s="371"/>
      <c r="AC47" s="371"/>
      <c r="AD47" s="371"/>
      <c r="AE47" s="371">
        <v>38000</v>
      </c>
      <c r="AF47" s="385">
        <f t="shared" si="18"/>
        <v>0</v>
      </c>
      <c r="AG47" s="371"/>
      <c r="AH47" s="371"/>
      <c r="AI47" s="387">
        <f t="shared" si="1"/>
        <v>0</v>
      </c>
    </row>
    <row r="48" spans="1:35" s="393" customFormat="1" ht="27" customHeight="1">
      <c r="A48" s="397" t="s">
        <v>379</v>
      </c>
      <c r="B48" s="394" t="s">
        <v>1097</v>
      </c>
      <c r="C48" s="395" t="s">
        <v>949</v>
      </c>
      <c r="D48" s="396">
        <v>3</v>
      </c>
      <c r="E48" s="385">
        <f t="shared" si="15"/>
        <v>7000</v>
      </c>
      <c r="F48" s="368">
        <v>7000</v>
      </c>
      <c r="G48" s="368">
        <v>0</v>
      </c>
      <c r="H48" s="385">
        <f t="shared" si="16"/>
        <v>2000</v>
      </c>
      <c r="I48" s="371">
        <v>200</v>
      </c>
      <c r="J48" s="371">
        <v>100</v>
      </c>
      <c r="K48" s="371">
        <v>500</v>
      </c>
      <c r="L48" s="371">
        <v>500</v>
      </c>
      <c r="M48" s="371">
        <v>200</v>
      </c>
      <c r="N48" s="371">
        <v>500</v>
      </c>
      <c r="O48" s="370">
        <v>0</v>
      </c>
      <c r="P48" s="386">
        <f t="shared" si="17"/>
        <v>5000</v>
      </c>
      <c r="Q48" s="371">
        <v>100</v>
      </c>
      <c r="R48" s="371">
        <v>800</v>
      </c>
      <c r="S48" s="371">
        <v>800</v>
      </c>
      <c r="T48" s="371">
        <v>200</v>
      </c>
      <c r="U48" s="371">
        <v>300</v>
      </c>
      <c r="V48" s="371">
        <v>500</v>
      </c>
      <c r="W48" s="371">
        <v>200</v>
      </c>
      <c r="X48" s="371">
        <v>700</v>
      </c>
      <c r="Y48" s="371">
        <v>300</v>
      </c>
      <c r="Z48" s="371">
        <v>300</v>
      </c>
      <c r="AA48" s="371">
        <v>0</v>
      </c>
      <c r="AB48" s="371">
        <v>100</v>
      </c>
      <c r="AC48" s="371">
        <v>200</v>
      </c>
      <c r="AD48" s="371">
        <v>200</v>
      </c>
      <c r="AE48" s="371">
        <v>300</v>
      </c>
      <c r="AF48" s="385">
        <f t="shared" si="18"/>
        <v>0</v>
      </c>
      <c r="AG48" s="371">
        <v>0</v>
      </c>
      <c r="AH48" s="371">
        <v>0</v>
      </c>
      <c r="AI48" s="387">
        <f t="shared" si="1"/>
        <v>0</v>
      </c>
    </row>
    <row r="49" spans="1:35" s="393" customFormat="1" ht="26.45" customHeight="1">
      <c r="A49" s="397" t="s">
        <v>379</v>
      </c>
      <c r="B49" s="394" t="s">
        <v>1097</v>
      </c>
      <c r="C49" s="395" t="s">
        <v>950</v>
      </c>
      <c r="D49" s="396">
        <v>3</v>
      </c>
      <c r="E49" s="385">
        <f t="shared" si="15"/>
        <v>49000</v>
      </c>
      <c r="F49" s="368">
        <v>48000</v>
      </c>
      <c r="G49" s="368">
        <v>1000</v>
      </c>
      <c r="H49" s="385">
        <f t="shared" si="16"/>
        <v>24000</v>
      </c>
      <c r="I49" s="371">
        <v>2500</v>
      </c>
      <c r="J49" s="371">
        <v>2000</v>
      </c>
      <c r="K49" s="371">
        <v>8000</v>
      </c>
      <c r="L49" s="371">
        <v>2800</v>
      </c>
      <c r="M49" s="371">
        <v>3000</v>
      </c>
      <c r="N49" s="371">
        <v>5700</v>
      </c>
      <c r="O49" s="370">
        <v>0</v>
      </c>
      <c r="P49" s="386">
        <f t="shared" si="17"/>
        <v>25000</v>
      </c>
      <c r="Q49" s="371">
        <v>800</v>
      </c>
      <c r="R49" s="371">
        <v>4000</v>
      </c>
      <c r="S49" s="371">
        <v>7000</v>
      </c>
      <c r="T49" s="371">
        <v>1000</v>
      </c>
      <c r="U49" s="371">
        <v>800</v>
      </c>
      <c r="V49" s="371">
        <v>1000</v>
      </c>
      <c r="W49" s="371">
        <v>800</v>
      </c>
      <c r="X49" s="371">
        <v>4500</v>
      </c>
      <c r="Y49" s="371">
        <v>1000</v>
      </c>
      <c r="Z49" s="371">
        <v>1500</v>
      </c>
      <c r="AA49" s="371">
        <v>0</v>
      </c>
      <c r="AB49" s="371">
        <v>500</v>
      </c>
      <c r="AC49" s="371">
        <v>500</v>
      </c>
      <c r="AD49" s="371">
        <v>500</v>
      </c>
      <c r="AE49" s="371">
        <v>1100</v>
      </c>
      <c r="AF49" s="385">
        <f t="shared" si="18"/>
        <v>0</v>
      </c>
      <c r="AG49" s="371">
        <v>0</v>
      </c>
      <c r="AH49" s="371">
        <v>0</v>
      </c>
      <c r="AI49" s="387">
        <f t="shared" si="1"/>
        <v>0</v>
      </c>
    </row>
    <row r="50" spans="1:35" s="393" customFormat="1" ht="33.6" customHeight="1">
      <c r="A50" s="397" t="s">
        <v>379</v>
      </c>
      <c r="B50" s="394" t="s">
        <v>1097</v>
      </c>
      <c r="C50" s="395" t="s">
        <v>951</v>
      </c>
      <c r="D50" s="396">
        <v>3</v>
      </c>
      <c r="E50" s="385">
        <f t="shared" si="15"/>
        <v>500</v>
      </c>
      <c r="F50" s="368">
        <v>500</v>
      </c>
      <c r="G50" s="368">
        <v>0</v>
      </c>
      <c r="H50" s="385">
        <f t="shared" si="16"/>
        <v>250</v>
      </c>
      <c r="I50" s="371">
        <v>0</v>
      </c>
      <c r="J50" s="371">
        <v>0</v>
      </c>
      <c r="K50" s="371">
        <v>100</v>
      </c>
      <c r="L50" s="371">
        <v>100</v>
      </c>
      <c r="M50" s="371">
        <v>0</v>
      </c>
      <c r="N50" s="371">
        <v>50</v>
      </c>
      <c r="O50" s="370">
        <v>0</v>
      </c>
      <c r="P50" s="386">
        <f t="shared" si="17"/>
        <v>250</v>
      </c>
      <c r="Q50" s="371">
        <v>0</v>
      </c>
      <c r="R50" s="371">
        <v>100</v>
      </c>
      <c r="S50" s="371">
        <v>100</v>
      </c>
      <c r="T50" s="371">
        <v>0</v>
      </c>
      <c r="U50" s="371">
        <v>0</v>
      </c>
      <c r="V50" s="371">
        <v>50</v>
      </c>
      <c r="W50" s="371">
        <v>0</v>
      </c>
      <c r="X50" s="371">
        <v>0</v>
      </c>
      <c r="Y50" s="371">
        <v>0</v>
      </c>
      <c r="Z50" s="371">
        <v>0</v>
      </c>
      <c r="AA50" s="371">
        <v>0</v>
      </c>
      <c r="AB50" s="371">
        <v>0</v>
      </c>
      <c r="AC50" s="371">
        <v>0</v>
      </c>
      <c r="AD50" s="371">
        <v>0</v>
      </c>
      <c r="AE50" s="371">
        <v>0</v>
      </c>
      <c r="AF50" s="385">
        <f t="shared" si="18"/>
        <v>0</v>
      </c>
      <c r="AG50" s="371">
        <v>0</v>
      </c>
      <c r="AH50" s="371">
        <v>0</v>
      </c>
      <c r="AI50" s="387">
        <f t="shared" si="1"/>
        <v>0</v>
      </c>
    </row>
    <row r="51" spans="1:35" s="393" customFormat="1" ht="28.5" customHeight="1">
      <c r="A51" s="397" t="s">
        <v>379</v>
      </c>
      <c r="B51" s="394" t="s">
        <v>1097</v>
      </c>
      <c r="C51" s="395" t="s">
        <v>952</v>
      </c>
      <c r="D51" s="396">
        <v>3</v>
      </c>
      <c r="E51" s="385">
        <f t="shared" si="15"/>
        <v>1000</v>
      </c>
      <c r="F51" s="368">
        <v>1000</v>
      </c>
      <c r="G51" s="368">
        <v>0</v>
      </c>
      <c r="H51" s="385">
        <f t="shared" si="16"/>
        <v>500</v>
      </c>
      <c r="I51" s="371">
        <v>50</v>
      </c>
      <c r="J51" s="371">
        <v>50</v>
      </c>
      <c r="K51" s="371">
        <v>100</v>
      </c>
      <c r="L51" s="371">
        <v>100</v>
      </c>
      <c r="M51" s="371">
        <v>100</v>
      </c>
      <c r="N51" s="371">
        <v>100</v>
      </c>
      <c r="O51" s="370">
        <v>0</v>
      </c>
      <c r="P51" s="386">
        <f t="shared" si="17"/>
        <v>500</v>
      </c>
      <c r="Q51" s="371">
        <v>0</v>
      </c>
      <c r="R51" s="371">
        <v>100</v>
      </c>
      <c r="S51" s="371">
        <v>100</v>
      </c>
      <c r="T51" s="371">
        <v>0</v>
      </c>
      <c r="U51" s="371">
        <v>20</v>
      </c>
      <c r="V51" s="371">
        <v>50</v>
      </c>
      <c r="W51" s="371">
        <v>0</v>
      </c>
      <c r="X51" s="371">
        <v>100</v>
      </c>
      <c r="Y51" s="371">
        <v>50</v>
      </c>
      <c r="Z51" s="371">
        <v>80</v>
      </c>
      <c r="AA51" s="371">
        <v>0</v>
      </c>
      <c r="AB51" s="371">
        <v>0</v>
      </c>
      <c r="AC51" s="371">
        <v>0</v>
      </c>
      <c r="AD51" s="371">
        <v>0</v>
      </c>
      <c r="AE51" s="371">
        <v>0</v>
      </c>
      <c r="AF51" s="385">
        <f t="shared" si="18"/>
        <v>0</v>
      </c>
      <c r="AG51" s="371">
        <v>0</v>
      </c>
      <c r="AH51" s="371">
        <v>0</v>
      </c>
      <c r="AI51" s="387">
        <f t="shared" si="1"/>
        <v>0</v>
      </c>
    </row>
    <row r="52" spans="1:35" s="393" customFormat="1" ht="24" customHeight="1">
      <c r="A52" s="397" t="s">
        <v>379</v>
      </c>
      <c r="B52" s="394" t="s">
        <v>1097</v>
      </c>
      <c r="C52" s="395" t="s">
        <v>953</v>
      </c>
      <c r="D52" s="396">
        <v>3</v>
      </c>
      <c r="E52" s="385">
        <f t="shared" si="15"/>
        <v>500</v>
      </c>
      <c r="F52" s="368">
        <v>500</v>
      </c>
      <c r="G52" s="368">
        <v>0</v>
      </c>
      <c r="H52" s="385">
        <f t="shared" si="16"/>
        <v>250</v>
      </c>
      <c r="I52" s="371">
        <v>0</v>
      </c>
      <c r="J52" s="371">
        <v>0</v>
      </c>
      <c r="K52" s="371">
        <v>100</v>
      </c>
      <c r="L52" s="371">
        <v>100</v>
      </c>
      <c r="M52" s="371">
        <v>0</v>
      </c>
      <c r="N52" s="371">
        <v>50</v>
      </c>
      <c r="O52" s="370">
        <v>0</v>
      </c>
      <c r="P52" s="386">
        <f t="shared" si="17"/>
        <v>250</v>
      </c>
      <c r="Q52" s="371">
        <v>0</v>
      </c>
      <c r="R52" s="371">
        <v>100</v>
      </c>
      <c r="S52" s="371">
        <v>100</v>
      </c>
      <c r="T52" s="371">
        <v>0</v>
      </c>
      <c r="U52" s="371">
        <v>0</v>
      </c>
      <c r="V52" s="371">
        <v>50</v>
      </c>
      <c r="W52" s="371">
        <v>0</v>
      </c>
      <c r="X52" s="371">
        <v>0</v>
      </c>
      <c r="Y52" s="371">
        <v>0</v>
      </c>
      <c r="Z52" s="371">
        <v>0</v>
      </c>
      <c r="AA52" s="371">
        <v>0</v>
      </c>
      <c r="AB52" s="371">
        <v>0</v>
      </c>
      <c r="AC52" s="371">
        <v>0</v>
      </c>
      <c r="AD52" s="371">
        <v>0</v>
      </c>
      <c r="AE52" s="371">
        <v>0</v>
      </c>
      <c r="AF52" s="385">
        <f t="shared" si="18"/>
        <v>0</v>
      </c>
      <c r="AG52" s="371">
        <v>0</v>
      </c>
      <c r="AH52" s="371">
        <v>0</v>
      </c>
      <c r="AI52" s="387">
        <f t="shared" si="1"/>
        <v>0</v>
      </c>
    </row>
    <row r="53" spans="1:35" s="393" customFormat="1" ht="30.95" customHeight="1">
      <c r="A53" s="397" t="s">
        <v>379</v>
      </c>
      <c r="B53" s="394" t="s">
        <v>1097</v>
      </c>
      <c r="C53" s="395" t="s">
        <v>1163</v>
      </c>
      <c r="D53" s="396">
        <v>3</v>
      </c>
      <c r="E53" s="385">
        <f t="shared" si="15"/>
        <v>122907</v>
      </c>
      <c r="F53" s="368">
        <v>122907</v>
      </c>
      <c r="G53" s="368">
        <v>0</v>
      </c>
      <c r="H53" s="385">
        <f t="shared" si="16"/>
        <v>25790</v>
      </c>
      <c r="I53" s="371">
        <v>5000</v>
      </c>
      <c r="J53" s="371">
        <v>0</v>
      </c>
      <c r="K53" s="371">
        <v>6000</v>
      </c>
      <c r="L53" s="371">
        <v>5000</v>
      </c>
      <c r="M53" s="371">
        <v>3790</v>
      </c>
      <c r="N53" s="371">
        <v>6000</v>
      </c>
      <c r="O53" s="370">
        <v>0</v>
      </c>
      <c r="P53" s="386">
        <f t="shared" si="17"/>
        <v>97117</v>
      </c>
      <c r="Q53" s="371">
        <v>2000</v>
      </c>
      <c r="R53" s="371">
        <v>19200</v>
      </c>
      <c r="S53" s="371">
        <v>19200</v>
      </c>
      <c r="T53" s="371">
        <v>2000</v>
      </c>
      <c r="U53" s="371">
        <v>10000</v>
      </c>
      <c r="V53" s="371">
        <v>4000</v>
      </c>
      <c r="W53" s="371">
        <v>3000</v>
      </c>
      <c r="X53" s="371">
        <v>16000</v>
      </c>
      <c r="Y53" s="371">
        <v>4000</v>
      </c>
      <c r="Z53" s="371">
        <v>7217</v>
      </c>
      <c r="AA53" s="371">
        <v>0</v>
      </c>
      <c r="AB53" s="371">
        <v>3500</v>
      </c>
      <c r="AC53" s="371">
        <v>4000</v>
      </c>
      <c r="AD53" s="371">
        <v>3000</v>
      </c>
      <c r="AE53" s="371">
        <v>0</v>
      </c>
      <c r="AF53" s="385">
        <f t="shared" si="18"/>
        <v>0</v>
      </c>
      <c r="AG53" s="371">
        <v>0</v>
      </c>
      <c r="AH53" s="371">
        <v>0</v>
      </c>
      <c r="AI53" s="387">
        <f t="shared" si="1"/>
        <v>0</v>
      </c>
    </row>
    <row r="54" spans="1:35" s="393" customFormat="1" ht="30" customHeight="1">
      <c r="A54" s="397" t="s">
        <v>379</v>
      </c>
      <c r="B54" s="394" t="s">
        <v>1097</v>
      </c>
      <c r="C54" s="395" t="s">
        <v>261</v>
      </c>
      <c r="D54" s="396">
        <v>3</v>
      </c>
      <c r="E54" s="385">
        <f t="shared" si="15"/>
        <v>200</v>
      </c>
      <c r="F54" s="368">
        <v>200</v>
      </c>
      <c r="G54" s="368">
        <v>0</v>
      </c>
      <c r="H54" s="385">
        <f t="shared" si="16"/>
        <v>100</v>
      </c>
      <c r="I54" s="371">
        <v>0</v>
      </c>
      <c r="J54" s="371">
        <v>0</v>
      </c>
      <c r="K54" s="371">
        <v>30</v>
      </c>
      <c r="L54" s="371">
        <v>30</v>
      </c>
      <c r="M54" s="371">
        <v>10</v>
      </c>
      <c r="N54" s="371">
        <v>30</v>
      </c>
      <c r="O54" s="370">
        <v>0</v>
      </c>
      <c r="P54" s="386">
        <f t="shared" si="17"/>
        <v>100</v>
      </c>
      <c r="Q54" s="371">
        <v>10</v>
      </c>
      <c r="R54" s="371">
        <v>20</v>
      </c>
      <c r="S54" s="371">
        <v>20</v>
      </c>
      <c r="T54" s="371">
        <v>0</v>
      </c>
      <c r="U54" s="371">
        <v>10</v>
      </c>
      <c r="V54" s="371">
        <v>0</v>
      </c>
      <c r="W54" s="371">
        <v>0</v>
      </c>
      <c r="X54" s="371">
        <v>20</v>
      </c>
      <c r="Y54" s="371">
        <v>10</v>
      </c>
      <c r="Z54" s="371">
        <v>10</v>
      </c>
      <c r="AA54" s="371">
        <v>0</v>
      </c>
      <c r="AB54" s="371">
        <v>0</v>
      </c>
      <c r="AC54" s="371">
        <v>0</v>
      </c>
      <c r="AD54" s="371">
        <v>0</v>
      </c>
      <c r="AE54" s="371">
        <v>0</v>
      </c>
      <c r="AF54" s="385">
        <f t="shared" si="18"/>
        <v>0</v>
      </c>
      <c r="AG54" s="371">
        <v>0</v>
      </c>
      <c r="AH54" s="371">
        <v>0</v>
      </c>
      <c r="AI54" s="387">
        <f t="shared" si="1"/>
        <v>0</v>
      </c>
    </row>
    <row r="55" spans="1:35" s="393" customFormat="1" ht="37.5" customHeight="1">
      <c r="A55" s="397" t="s">
        <v>379</v>
      </c>
      <c r="B55" s="394" t="s">
        <v>1097</v>
      </c>
      <c r="C55" s="395" t="s">
        <v>954</v>
      </c>
      <c r="D55" s="396">
        <v>3</v>
      </c>
      <c r="E55" s="385">
        <f t="shared" si="15"/>
        <v>16200</v>
      </c>
      <c r="F55" s="368">
        <v>16200</v>
      </c>
      <c r="G55" s="368">
        <v>0</v>
      </c>
      <c r="H55" s="385">
        <f t="shared" si="16"/>
        <v>5400</v>
      </c>
      <c r="I55" s="371">
        <v>0</v>
      </c>
      <c r="J55" s="371">
        <v>0</v>
      </c>
      <c r="K55" s="371">
        <v>2700</v>
      </c>
      <c r="L55" s="371">
        <v>2700</v>
      </c>
      <c r="M55" s="371">
        <v>0</v>
      </c>
      <c r="N55" s="371">
        <v>0</v>
      </c>
      <c r="O55" s="370">
        <v>0</v>
      </c>
      <c r="P55" s="386">
        <f t="shared" si="17"/>
        <v>10800</v>
      </c>
      <c r="Q55" s="371">
        <v>0</v>
      </c>
      <c r="R55" s="371">
        <v>5400</v>
      </c>
      <c r="S55" s="371">
        <v>5400</v>
      </c>
      <c r="T55" s="371">
        <v>0</v>
      </c>
      <c r="U55" s="371">
        <v>0</v>
      </c>
      <c r="V55" s="371">
        <v>0</v>
      </c>
      <c r="W55" s="371">
        <v>0</v>
      </c>
      <c r="X55" s="371">
        <v>0</v>
      </c>
      <c r="Y55" s="371">
        <v>0</v>
      </c>
      <c r="Z55" s="371">
        <v>0</v>
      </c>
      <c r="AA55" s="371">
        <v>0</v>
      </c>
      <c r="AB55" s="371">
        <v>0</v>
      </c>
      <c r="AC55" s="371">
        <v>0</v>
      </c>
      <c r="AD55" s="371">
        <v>0</v>
      </c>
      <c r="AE55" s="371">
        <v>0</v>
      </c>
      <c r="AF55" s="385">
        <f t="shared" si="18"/>
        <v>0</v>
      </c>
      <c r="AG55" s="371">
        <v>0</v>
      </c>
      <c r="AH55" s="371">
        <v>0</v>
      </c>
      <c r="AI55" s="387">
        <f t="shared" si="1"/>
        <v>0</v>
      </c>
    </row>
    <row r="56" spans="1:35" s="393" customFormat="1" ht="51" customHeight="1">
      <c r="A56" s="397" t="s">
        <v>379</v>
      </c>
      <c r="B56" s="394" t="s">
        <v>1097</v>
      </c>
      <c r="C56" s="395" t="s">
        <v>955</v>
      </c>
      <c r="D56" s="396">
        <v>3</v>
      </c>
      <c r="E56" s="385">
        <f t="shared" si="15"/>
        <v>264270</v>
      </c>
      <c r="F56" s="368">
        <v>28900</v>
      </c>
      <c r="G56" s="368">
        <v>235370</v>
      </c>
      <c r="H56" s="385">
        <f t="shared" si="16"/>
        <v>80870</v>
      </c>
      <c r="I56" s="371">
        <v>10000</v>
      </c>
      <c r="J56" s="371">
        <v>0</v>
      </c>
      <c r="K56" s="371">
        <v>26870</v>
      </c>
      <c r="L56" s="371">
        <v>14000</v>
      </c>
      <c r="M56" s="371">
        <v>10000</v>
      </c>
      <c r="N56" s="371">
        <v>20000</v>
      </c>
      <c r="O56" s="370">
        <v>0</v>
      </c>
      <c r="P56" s="386">
        <f t="shared" si="17"/>
        <v>183400</v>
      </c>
      <c r="Q56" s="371">
        <v>8800</v>
      </c>
      <c r="R56" s="371">
        <v>26000</v>
      </c>
      <c r="S56" s="371">
        <v>20500</v>
      </c>
      <c r="T56" s="371">
        <v>10000</v>
      </c>
      <c r="U56" s="371">
        <v>12700</v>
      </c>
      <c r="V56" s="371">
        <v>12300</v>
      </c>
      <c r="W56" s="371">
        <v>10000</v>
      </c>
      <c r="X56" s="371">
        <v>17000</v>
      </c>
      <c r="Y56" s="371">
        <v>16800</v>
      </c>
      <c r="Z56" s="371">
        <v>19300</v>
      </c>
      <c r="AA56" s="371">
        <v>1000</v>
      </c>
      <c r="AB56" s="371">
        <v>4000</v>
      </c>
      <c r="AC56" s="371">
        <v>15000</v>
      </c>
      <c r="AD56" s="371">
        <v>10000</v>
      </c>
      <c r="AE56" s="371">
        <v>0</v>
      </c>
      <c r="AF56" s="385">
        <f t="shared" si="18"/>
        <v>0</v>
      </c>
      <c r="AG56" s="371">
        <v>0</v>
      </c>
      <c r="AH56" s="371">
        <v>0</v>
      </c>
      <c r="AI56" s="387">
        <f t="shared" si="1"/>
        <v>0</v>
      </c>
    </row>
    <row r="57" spans="1:35" s="393" customFormat="1" ht="37.5" customHeight="1">
      <c r="A57" s="397" t="s">
        <v>379</v>
      </c>
      <c r="B57" s="394" t="s">
        <v>1097</v>
      </c>
      <c r="C57" s="395" t="s">
        <v>956</v>
      </c>
      <c r="D57" s="396">
        <v>3</v>
      </c>
      <c r="E57" s="385">
        <f t="shared" si="15"/>
        <v>228000</v>
      </c>
      <c r="F57" s="368">
        <v>43500</v>
      </c>
      <c r="G57" s="368">
        <v>184500</v>
      </c>
      <c r="H57" s="385">
        <f t="shared" si="16"/>
        <v>66200</v>
      </c>
      <c r="I57" s="371">
        <v>4500</v>
      </c>
      <c r="J57" s="371">
        <v>0</v>
      </c>
      <c r="K57" s="371">
        <v>24700</v>
      </c>
      <c r="L57" s="371">
        <v>20000</v>
      </c>
      <c r="M57" s="371">
        <v>5000</v>
      </c>
      <c r="N57" s="371">
        <v>12000</v>
      </c>
      <c r="O57" s="370">
        <v>0</v>
      </c>
      <c r="P57" s="386">
        <f t="shared" si="17"/>
        <v>161800</v>
      </c>
      <c r="Q57" s="371">
        <v>6500</v>
      </c>
      <c r="R57" s="371">
        <v>25000</v>
      </c>
      <c r="S57" s="371">
        <v>24300</v>
      </c>
      <c r="T57" s="371">
        <v>8000</v>
      </c>
      <c r="U57" s="371">
        <v>15000</v>
      </c>
      <c r="V57" s="371">
        <v>10000</v>
      </c>
      <c r="W57" s="371">
        <v>8000</v>
      </c>
      <c r="X57" s="371">
        <v>18000</v>
      </c>
      <c r="Y57" s="371">
        <v>15000</v>
      </c>
      <c r="Z57" s="371">
        <v>15000</v>
      </c>
      <c r="AA57" s="371">
        <v>1000</v>
      </c>
      <c r="AB57" s="371">
        <v>3000</v>
      </c>
      <c r="AC57" s="371">
        <v>8000</v>
      </c>
      <c r="AD57" s="371">
        <v>5000</v>
      </c>
      <c r="AE57" s="371">
        <v>0</v>
      </c>
      <c r="AF57" s="385">
        <f t="shared" si="18"/>
        <v>0</v>
      </c>
      <c r="AG57" s="371">
        <v>0</v>
      </c>
      <c r="AH57" s="371">
        <v>0</v>
      </c>
      <c r="AI57" s="387">
        <f t="shared" si="1"/>
        <v>0</v>
      </c>
    </row>
    <row r="58" spans="1:35" s="393" customFormat="1" ht="38.1" customHeight="1">
      <c r="A58" s="397" t="s">
        <v>379</v>
      </c>
      <c r="B58" s="394" t="s">
        <v>1097</v>
      </c>
      <c r="C58" s="395" t="s">
        <v>957</v>
      </c>
      <c r="D58" s="396">
        <v>3</v>
      </c>
      <c r="E58" s="385">
        <f t="shared" si="15"/>
        <v>100000</v>
      </c>
      <c r="F58" s="368">
        <v>100000</v>
      </c>
      <c r="G58" s="368">
        <v>0</v>
      </c>
      <c r="H58" s="385">
        <f t="shared" si="16"/>
        <v>39000</v>
      </c>
      <c r="I58" s="371">
        <v>11000</v>
      </c>
      <c r="J58" s="371">
        <v>0</v>
      </c>
      <c r="K58" s="371">
        <v>9000</v>
      </c>
      <c r="L58" s="371">
        <v>3000</v>
      </c>
      <c r="M58" s="371">
        <v>2400</v>
      </c>
      <c r="N58" s="371">
        <v>13600</v>
      </c>
      <c r="O58" s="370">
        <v>0</v>
      </c>
      <c r="P58" s="386">
        <f t="shared" si="17"/>
        <v>61000</v>
      </c>
      <c r="Q58" s="371">
        <v>200</v>
      </c>
      <c r="R58" s="371">
        <v>15300</v>
      </c>
      <c r="S58" s="371">
        <v>8000</v>
      </c>
      <c r="T58" s="371">
        <v>700</v>
      </c>
      <c r="U58" s="371">
        <v>700</v>
      </c>
      <c r="V58" s="371">
        <v>3700</v>
      </c>
      <c r="W58" s="371">
        <v>4500</v>
      </c>
      <c r="X58" s="371">
        <v>8000</v>
      </c>
      <c r="Y58" s="371">
        <v>8000</v>
      </c>
      <c r="Z58" s="371">
        <v>8000</v>
      </c>
      <c r="AA58" s="371">
        <v>300</v>
      </c>
      <c r="AB58" s="371">
        <v>300</v>
      </c>
      <c r="AC58" s="371">
        <v>1800</v>
      </c>
      <c r="AD58" s="371">
        <v>1500</v>
      </c>
      <c r="AE58" s="371">
        <v>0</v>
      </c>
      <c r="AF58" s="385">
        <f t="shared" si="18"/>
        <v>0</v>
      </c>
      <c r="AG58" s="371">
        <v>0</v>
      </c>
      <c r="AH58" s="371">
        <v>0</v>
      </c>
      <c r="AI58" s="387">
        <f t="shared" si="1"/>
        <v>0</v>
      </c>
    </row>
    <row r="59" spans="1:35" s="393" customFormat="1" ht="54.6" customHeight="1">
      <c r="A59" s="397" t="s">
        <v>379</v>
      </c>
      <c r="B59" s="394" t="s">
        <v>1097</v>
      </c>
      <c r="C59" s="395" t="s">
        <v>958</v>
      </c>
      <c r="D59" s="396">
        <v>3</v>
      </c>
      <c r="E59" s="385">
        <f t="shared" si="15"/>
        <v>70000</v>
      </c>
      <c r="F59" s="368">
        <v>15000</v>
      </c>
      <c r="G59" s="368">
        <v>55000</v>
      </c>
      <c r="H59" s="385">
        <f t="shared" si="16"/>
        <v>16200</v>
      </c>
      <c r="I59" s="371">
        <v>2000</v>
      </c>
      <c r="J59" s="371">
        <v>0</v>
      </c>
      <c r="K59" s="371">
        <v>6000</v>
      </c>
      <c r="L59" s="371">
        <v>4600</v>
      </c>
      <c r="M59" s="371">
        <v>1600</v>
      </c>
      <c r="N59" s="371">
        <v>2000</v>
      </c>
      <c r="O59" s="370">
        <v>0</v>
      </c>
      <c r="P59" s="386">
        <f t="shared" si="17"/>
        <v>53800</v>
      </c>
      <c r="Q59" s="371">
        <v>850</v>
      </c>
      <c r="R59" s="371">
        <v>11200</v>
      </c>
      <c r="S59" s="371">
        <v>12000</v>
      </c>
      <c r="T59" s="371">
        <v>700</v>
      </c>
      <c r="U59" s="371">
        <v>2800</v>
      </c>
      <c r="V59" s="371">
        <v>4200</v>
      </c>
      <c r="W59" s="371">
        <v>1800</v>
      </c>
      <c r="X59" s="371">
        <v>5600</v>
      </c>
      <c r="Y59" s="371">
        <v>5600</v>
      </c>
      <c r="Z59" s="371">
        <v>6300</v>
      </c>
      <c r="AA59" s="371">
        <v>700</v>
      </c>
      <c r="AB59" s="371">
        <v>700</v>
      </c>
      <c r="AC59" s="371">
        <v>1200</v>
      </c>
      <c r="AD59" s="371">
        <v>150</v>
      </c>
      <c r="AE59" s="371">
        <v>0</v>
      </c>
      <c r="AF59" s="385">
        <f t="shared" si="18"/>
        <v>0</v>
      </c>
      <c r="AG59" s="371">
        <v>0</v>
      </c>
      <c r="AH59" s="371">
        <v>0</v>
      </c>
      <c r="AI59" s="387">
        <f t="shared" si="1"/>
        <v>0</v>
      </c>
    </row>
    <row r="60" spans="1:35" s="404" customFormat="1" ht="24" customHeight="1">
      <c r="A60" s="398" t="s">
        <v>878</v>
      </c>
      <c r="B60" s="399"/>
      <c r="C60" s="400"/>
      <c r="D60" s="401"/>
      <c r="E60" s="402">
        <f t="shared" ref="E60:AH60" si="19">E61+E70+E83+E96+E101+E102</f>
        <v>16713791</v>
      </c>
      <c r="F60" s="402">
        <f t="shared" si="19"/>
        <v>1241560</v>
      </c>
      <c r="G60" s="402">
        <f t="shared" si="19"/>
        <v>15472231</v>
      </c>
      <c r="H60" s="402">
        <f t="shared" si="19"/>
        <v>9894851</v>
      </c>
      <c r="I60" s="402">
        <f t="shared" si="19"/>
        <v>2985289</v>
      </c>
      <c r="J60" s="402">
        <f t="shared" si="19"/>
        <v>130886</v>
      </c>
      <c r="K60" s="402">
        <f t="shared" si="19"/>
        <v>1486355</v>
      </c>
      <c r="L60" s="402">
        <f t="shared" si="19"/>
        <v>1509704</v>
      </c>
      <c r="M60" s="402">
        <f t="shared" si="19"/>
        <v>1091851</v>
      </c>
      <c r="N60" s="402">
        <f t="shared" si="19"/>
        <v>2233000</v>
      </c>
      <c r="O60" s="402">
        <f t="shared" si="19"/>
        <v>457766</v>
      </c>
      <c r="P60" s="402">
        <f t="shared" si="19"/>
        <v>6412211</v>
      </c>
      <c r="Q60" s="402">
        <f t="shared" si="19"/>
        <v>676843</v>
      </c>
      <c r="R60" s="402">
        <f t="shared" si="19"/>
        <v>338185</v>
      </c>
      <c r="S60" s="402">
        <f t="shared" si="19"/>
        <v>521951</v>
      </c>
      <c r="T60" s="402">
        <f t="shared" si="19"/>
        <v>378598</v>
      </c>
      <c r="U60" s="402">
        <f t="shared" si="19"/>
        <v>485306</v>
      </c>
      <c r="V60" s="402">
        <f t="shared" si="19"/>
        <v>214654</v>
      </c>
      <c r="W60" s="402">
        <f t="shared" si="19"/>
        <v>152091</v>
      </c>
      <c r="X60" s="402">
        <f t="shared" si="19"/>
        <v>387260</v>
      </c>
      <c r="Y60" s="402">
        <f t="shared" si="19"/>
        <v>213578</v>
      </c>
      <c r="Z60" s="402">
        <f t="shared" si="19"/>
        <v>524242</v>
      </c>
      <c r="AA60" s="402">
        <f t="shared" si="19"/>
        <v>153854</v>
      </c>
      <c r="AB60" s="402">
        <f t="shared" si="19"/>
        <v>483044</v>
      </c>
      <c r="AC60" s="402">
        <f t="shared" si="19"/>
        <v>571574</v>
      </c>
      <c r="AD60" s="402">
        <f t="shared" si="19"/>
        <v>441364</v>
      </c>
      <c r="AE60" s="402">
        <f t="shared" si="19"/>
        <v>869667</v>
      </c>
      <c r="AF60" s="402">
        <f t="shared" si="19"/>
        <v>406729</v>
      </c>
      <c r="AG60" s="402">
        <f t="shared" si="19"/>
        <v>229769</v>
      </c>
      <c r="AH60" s="402">
        <f t="shared" si="19"/>
        <v>176960</v>
      </c>
      <c r="AI60" s="387">
        <f t="shared" si="1"/>
        <v>0</v>
      </c>
    </row>
    <row r="61" spans="1:35" s="410" customFormat="1" ht="21.6" customHeight="1">
      <c r="A61" s="405" t="s">
        <v>877</v>
      </c>
      <c r="B61" s="406"/>
      <c r="C61" s="407"/>
      <c r="D61" s="408"/>
      <c r="E61" s="409">
        <f t="shared" ref="E61:AH61" si="20">SUM(E62:E69)</f>
        <v>347569</v>
      </c>
      <c r="F61" s="409">
        <f t="shared" si="20"/>
        <v>254379</v>
      </c>
      <c r="G61" s="409">
        <f t="shared" si="20"/>
        <v>93190</v>
      </c>
      <c r="H61" s="409">
        <f t="shared" si="20"/>
        <v>140027</v>
      </c>
      <c r="I61" s="409">
        <f t="shared" si="20"/>
        <v>33152</v>
      </c>
      <c r="J61" s="409">
        <f t="shared" si="20"/>
        <v>1417</v>
      </c>
      <c r="K61" s="409">
        <f t="shared" si="20"/>
        <v>37809</v>
      </c>
      <c r="L61" s="409">
        <f t="shared" si="20"/>
        <v>22446</v>
      </c>
      <c r="M61" s="409">
        <f t="shared" si="20"/>
        <v>23230</v>
      </c>
      <c r="N61" s="409">
        <f t="shared" si="20"/>
        <v>21943</v>
      </c>
      <c r="O61" s="409">
        <f t="shared" si="20"/>
        <v>30</v>
      </c>
      <c r="P61" s="409">
        <f t="shared" si="20"/>
        <v>206012</v>
      </c>
      <c r="Q61" s="409">
        <f t="shared" si="20"/>
        <v>2522</v>
      </c>
      <c r="R61" s="409">
        <f t="shared" si="20"/>
        <v>7549</v>
      </c>
      <c r="S61" s="409">
        <f t="shared" si="20"/>
        <v>19710</v>
      </c>
      <c r="T61" s="409">
        <f t="shared" si="20"/>
        <v>32291</v>
      </c>
      <c r="U61" s="409">
        <f t="shared" si="20"/>
        <v>12927</v>
      </c>
      <c r="V61" s="409">
        <f t="shared" si="20"/>
        <v>15913</v>
      </c>
      <c r="W61" s="409">
        <f t="shared" si="20"/>
        <v>21130</v>
      </c>
      <c r="X61" s="409">
        <f t="shared" si="20"/>
        <v>31841</v>
      </c>
      <c r="Y61" s="409">
        <f t="shared" si="20"/>
        <v>8081</v>
      </c>
      <c r="Z61" s="409">
        <f t="shared" si="20"/>
        <v>26855</v>
      </c>
      <c r="AA61" s="409">
        <f t="shared" si="20"/>
        <v>11327</v>
      </c>
      <c r="AB61" s="409">
        <f t="shared" si="20"/>
        <v>728</v>
      </c>
      <c r="AC61" s="409">
        <f t="shared" si="20"/>
        <v>1461</v>
      </c>
      <c r="AD61" s="409">
        <f t="shared" si="20"/>
        <v>1246</v>
      </c>
      <c r="AE61" s="409">
        <f t="shared" si="20"/>
        <v>12431</v>
      </c>
      <c r="AF61" s="409">
        <f t="shared" si="20"/>
        <v>1530</v>
      </c>
      <c r="AG61" s="409">
        <f t="shared" si="20"/>
        <v>1390</v>
      </c>
      <c r="AH61" s="409">
        <f t="shared" si="20"/>
        <v>140</v>
      </c>
      <c r="AI61" s="387">
        <f t="shared" si="1"/>
        <v>0</v>
      </c>
    </row>
    <row r="62" spans="1:35" s="393" customFormat="1" ht="24" customHeight="1">
      <c r="A62" s="397" t="s">
        <v>116</v>
      </c>
      <c r="B62" s="394" t="s">
        <v>80</v>
      </c>
      <c r="C62" s="395" t="s">
        <v>239</v>
      </c>
      <c r="D62" s="396">
        <v>1</v>
      </c>
      <c r="E62" s="385">
        <f t="shared" ref="E62:E69" si="21">SUM(H62,P62,AF62)</f>
        <v>76300</v>
      </c>
      <c r="F62" s="368"/>
      <c r="G62" s="368">
        <v>76300</v>
      </c>
      <c r="H62" s="385">
        <f t="shared" ref="H62:H69" si="22">SUM(I62:O62)</f>
        <v>15810</v>
      </c>
      <c r="I62" s="371">
        <v>7800</v>
      </c>
      <c r="J62" s="371"/>
      <c r="K62" s="371">
        <v>7000</v>
      </c>
      <c r="L62" s="371">
        <v>300</v>
      </c>
      <c r="M62" s="371">
        <v>260</v>
      </c>
      <c r="N62" s="371">
        <v>450</v>
      </c>
      <c r="O62" s="370">
        <v>0</v>
      </c>
      <c r="P62" s="386">
        <f t="shared" ref="P62:P69" si="23">SUM(Q62:AE62)</f>
        <v>59490</v>
      </c>
      <c r="Q62" s="371">
        <v>600</v>
      </c>
      <c r="R62" s="371">
        <v>0</v>
      </c>
      <c r="S62" s="371">
        <v>8996</v>
      </c>
      <c r="T62" s="371">
        <v>16500</v>
      </c>
      <c r="U62" s="371">
        <v>1440</v>
      </c>
      <c r="V62" s="371">
        <v>2420</v>
      </c>
      <c r="W62" s="371">
        <v>7000</v>
      </c>
      <c r="X62" s="371">
        <v>13054</v>
      </c>
      <c r="Y62" s="371">
        <v>0</v>
      </c>
      <c r="Z62" s="371">
        <v>7000</v>
      </c>
      <c r="AA62" s="371">
        <v>600</v>
      </c>
      <c r="AB62" s="371">
        <v>0</v>
      </c>
      <c r="AC62" s="371">
        <v>200</v>
      </c>
      <c r="AD62" s="371">
        <v>0</v>
      </c>
      <c r="AE62" s="371">
        <v>1680</v>
      </c>
      <c r="AF62" s="385">
        <f t="shared" ref="AF62:AF69" si="24">SUM(AG62:AH62)</f>
        <v>1000</v>
      </c>
      <c r="AG62" s="371">
        <v>1000</v>
      </c>
      <c r="AH62" s="371"/>
      <c r="AI62" s="387">
        <f t="shared" si="1"/>
        <v>0</v>
      </c>
    </row>
    <row r="63" spans="1:35" s="393" customFormat="1" ht="24" customHeight="1">
      <c r="A63" s="397" t="s">
        <v>116</v>
      </c>
      <c r="B63" s="394" t="s">
        <v>80</v>
      </c>
      <c r="C63" s="395" t="s">
        <v>512</v>
      </c>
      <c r="D63" s="396">
        <v>1</v>
      </c>
      <c r="E63" s="385">
        <f t="shared" si="21"/>
        <v>10886</v>
      </c>
      <c r="F63" s="368">
        <v>10886</v>
      </c>
      <c r="G63" s="368"/>
      <c r="H63" s="385">
        <f t="shared" si="22"/>
        <v>195</v>
      </c>
      <c r="I63" s="371"/>
      <c r="J63" s="371"/>
      <c r="K63" s="371"/>
      <c r="L63" s="371"/>
      <c r="M63" s="371"/>
      <c r="N63" s="371">
        <v>195</v>
      </c>
      <c r="O63" s="370"/>
      <c r="P63" s="386">
        <f t="shared" si="23"/>
        <v>10691</v>
      </c>
      <c r="Q63" s="371"/>
      <c r="R63" s="371"/>
      <c r="S63" s="371"/>
      <c r="T63" s="371"/>
      <c r="U63" s="371"/>
      <c r="V63" s="371"/>
      <c r="W63" s="371"/>
      <c r="X63" s="371"/>
      <c r="Y63" s="371"/>
      <c r="Z63" s="371"/>
      <c r="AA63" s="371"/>
      <c r="AB63" s="371"/>
      <c r="AC63" s="371"/>
      <c r="AD63" s="371"/>
      <c r="AE63" s="371">
        <v>10691</v>
      </c>
      <c r="AF63" s="385">
        <f t="shared" si="24"/>
        <v>0</v>
      </c>
      <c r="AG63" s="371"/>
      <c r="AH63" s="371"/>
      <c r="AI63" s="387">
        <f t="shared" si="1"/>
        <v>0</v>
      </c>
    </row>
    <row r="64" spans="1:35" s="393" customFormat="1" ht="14.25">
      <c r="A64" s="397" t="s">
        <v>116</v>
      </c>
      <c r="B64" s="394" t="s">
        <v>80</v>
      </c>
      <c r="C64" s="395" t="s">
        <v>864</v>
      </c>
      <c r="D64" s="396">
        <v>1</v>
      </c>
      <c r="E64" s="385">
        <f t="shared" si="21"/>
        <v>120</v>
      </c>
      <c r="F64" s="368">
        <v>120</v>
      </c>
      <c r="G64" s="368"/>
      <c r="H64" s="385">
        <f t="shared" si="22"/>
        <v>30</v>
      </c>
      <c r="I64" s="371"/>
      <c r="J64" s="371"/>
      <c r="K64" s="371"/>
      <c r="L64" s="371"/>
      <c r="M64" s="371"/>
      <c r="N64" s="371"/>
      <c r="O64" s="370">
        <v>30</v>
      </c>
      <c r="P64" s="386">
        <f t="shared" si="23"/>
        <v>60</v>
      </c>
      <c r="Q64" s="371"/>
      <c r="R64" s="371"/>
      <c r="S64" s="371"/>
      <c r="T64" s="371"/>
      <c r="U64" s="371"/>
      <c r="V64" s="371"/>
      <c r="W64" s="371"/>
      <c r="X64" s="371"/>
      <c r="Y64" s="371"/>
      <c r="Z64" s="371"/>
      <c r="AA64" s="371"/>
      <c r="AB64" s="371"/>
      <c r="AC64" s="371"/>
      <c r="AD64" s="371"/>
      <c r="AE64" s="371">
        <v>60</v>
      </c>
      <c r="AF64" s="385">
        <f t="shared" si="24"/>
        <v>30</v>
      </c>
      <c r="AG64" s="371">
        <v>30</v>
      </c>
      <c r="AH64" s="371"/>
      <c r="AI64" s="387">
        <f t="shared" si="1"/>
        <v>0</v>
      </c>
    </row>
    <row r="65" spans="1:35" s="393" customFormat="1" ht="25.5" customHeight="1">
      <c r="A65" s="397" t="s">
        <v>116</v>
      </c>
      <c r="B65" s="394" t="s">
        <v>80</v>
      </c>
      <c r="C65" s="395" t="s">
        <v>487</v>
      </c>
      <c r="D65" s="396">
        <v>1</v>
      </c>
      <c r="E65" s="385">
        <f t="shared" si="21"/>
        <v>21639</v>
      </c>
      <c r="F65" s="368">
        <v>21639</v>
      </c>
      <c r="G65" s="368"/>
      <c r="H65" s="385">
        <f t="shared" si="22"/>
        <v>9727</v>
      </c>
      <c r="I65" s="371">
        <v>3594</v>
      </c>
      <c r="J65" s="371">
        <v>427</v>
      </c>
      <c r="K65" s="371">
        <v>1231</v>
      </c>
      <c r="L65" s="371">
        <v>1497</v>
      </c>
      <c r="M65" s="371">
        <v>2271</v>
      </c>
      <c r="N65" s="371">
        <v>707</v>
      </c>
      <c r="O65" s="370"/>
      <c r="P65" s="386">
        <f t="shared" si="23"/>
        <v>11692</v>
      </c>
      <c r="Q65" s="371">
        <v>887</v>
      </c>
      <c r="R65" s="371">
        <v>566</v>
      </c>
      <c r="S65" s="371">
        <v>1967</v>
      </c>
      <c r="T65" s="371">
        <v>1626</v>
      </c>
      <c r="U65" s="371">
        <v>506</v>
      </c>
      <c r="V65" s="371">
        <v>453</v>
      </c>
      <c r="W65" s="371">
        <v>2795</v>
      </c>
      <c r="X65" s="371">
        <v>590</v>
      </c>
      <c r="Y65" s="371">
        <v>212</v>
      </c>
      <c r="Z65" s="371">
        <v>342</v>
      </c>
      <c r="AA65" s="371">
        <v>1032</v>
      </c>
      <c r="AB65" s="371">
        <v>298</v>
      </c>
      <c r="AC65" s="371">
        <v>216</v>
      </c>
      <c r="AD65" s="371">
        <v>202</v>
      </c>
      <c r="AE65" s="371"/>
      <c r="AF65" s="385">
        <f t="shared" si="24"/>
        <v>220</v>
      </c>
      <c r="AG65" s="371">
        <v>220</v>
      </c>
      <c r="AH65" s="371"/>
      <c r="AI65" s="387">
        <f t="shared" si="1"/>
        <v>0</v>
      </c>
    </row>
    <row r="66" spans="1:35" s="393" customFormat="1" ht="35.1" customHeight="1">
      <c r="A66" s="397" t="s">
        <v>116</v>
      </c>
      <c r="B66" s="394" t="s">
        <v>80</v>
      </c>
      <c r="C66" s="395" t="s">
        <v>865</v>
      </c>
      <c r="D66" s="396">
        <v>1</v>
      </c>
      <c r="E66" s="385">
        <f t="shared" si="21"/>
        <v>16890</v>
      </c>
      <c r="F66" s="368"/>
      <c r="G66" s="368">
        <v>16890</v>
      </c>
      <c r="H66" s="385">
        <f t="shared" si="22"/>
        <v>8880</v>
      </c>
      <c r="I66" s="371">
        <v>1550</v>
      </c>
      <c r="J66" s="371">
        <v>990</v>
      </c>
      <c r="K66" s="371">
        <v>1130</v>
      </c>
      <c r="L66" s="371">
        <v>1690</v>
      </c>
      <c r="M66" s="371">
        <v>1690</v>
      </c>
      <c r="N66" s="371">
        <v>1830</v>
      </c>
      <c r="O66" s="370"/>
      <c r="P66" s="386">
        <f t="shared" si="23"/>
        <v>7730</v>
      </c>
      <c r="Q66" s="371">
        <v>280</v>
      </c>
      <c r="R66" s="371">
        <v>420</v>
      </c>
      <c r="S66" s="371">
        <v>990</v>
      </c>
      <c r="T66" s="371">
        <v>1120</v>
      </c>
      <c r="U66" s="371">
        <v>700</v>
      </c>
      <c r="V66" s="371">
        <v>990</v>
      </c>
      <c r="W66" s="371">
        <v>560</v>
      </c>
      <c r="X66" s="371">
        <v>840</v>
      </c>
      <c r="Y66" s="371">
        <v>560</v>
      </c>
      <c r="Z66" s="371">
        <v>420</v>
      </c>
      <c r="AA66" s="371">
        <v>140</v>
      </c>
      <c r="AB66" s="371">
        <v>430</v>
      </c>
      <c r="AC66" s="371">
        <v>140</v>
      </c>
      <c r="AD66" s="371">
        <v>140</v>
      </c>
      <c r="AE66" s="371"/>
      <c r="AF66" s="385">
        <f t="shared" si="24"/>
        <v>280</v>
      </c>
      <c r="AG66" s="371">
        <v>140</v>
      </c>
      <c r="AH66" s="371">
        <v>140</v>
      </c>
      <c r="AI66" s="387">
        <f t="shared" si="1"/>
        <v>0</v>
      </c>
    </row>
    <row r="67" spans="1:35" s="393" customFormat="1" ht="35.450000000000003" customHeight="1">
      <c r="A67" s="397" t="s">
        <v>116</v>
      </c>
      <c r="B67" s="394" t="s">
        <v>80</v>
      </c>
      <c r="C67" s="395" t="s">
        <v>514</v>
      </c>
      <c r="D67" s="396">
        <v>5</v>
      </c>
      <c r="E67" s="385">
        <f t="shared" si="21"/>
        <v>615</v>
      </c>
      <c r="F67" s="368">
        <v>615</v>
      </c>
      <c r="G67" s="368"/>
      <c r="H67" s="385">
        <f t="shared" si="22"/>
        <v>0</v>
      </c>
      <c r="I67" s="371"/>
      <c r="J67" s="371"/>
      <c r="K67" s="371"/>
      <c r="L67" s="371"/>
      <c r="M67" s="371"/>
      <c r="N67" s="371"/>
      <c r="O67" s="370"/>
      <c r="P67" s="386">
        <f t="shared" si="23"/>
        <v>615</v>
      </c>
      <c r="Q67" s="371"/>
      <c r="R67" s="371"/>
      <c r="S67" s="371"/>
      <c r="T67" s="371"/>
      <c r="U67" s="371"/>
      <c r="V67" s="371"/>
      <c r="W67" s="371"/>
      <c r="X67" s="371"/>
      <c r="Y67" s="371">
        <v>615</v>
      </c>
      <c r="Z67" s="371"/>
      <c r="AA67" s="371"/>
      <c r="AB67" s="371"/>
      <c r="AC67" s="371"/>
      <c r="AD67" s="371"/>
      <c r="AE67" s="371"/>
      <c r="AF67" s="385">
        <f t="shared" si="24"/>
        <v>0</v>
      </c>
      <c r="AG67" s="371"/>
      <c r="AH67" s="371"/>
      <c r="AI67" s="387">
        <f t="shared" si="1"/>
        <v>0</v>
      </c>
    </row>
    <row r="68" spans="1:35" s="393" customFormat="1" ht="27.6" customHeight="1">
      <c r="A68" s="397" t="s">
        <v>116</v>
      </c>
      <c r="B68" s="394" t="s">
        <v>80</v>
      </c>
      <c r="C68" s="395" t="s">
        <v>672</v>
      </c>
      <c r="D68" s="396">
        <v>1</v>
      </c>
      <c r="E68" s="385">
        <f t="shared" si="21"/>
        <v>197635</v>
      </c>
      <c r="F68" s="368">
        <v>197635</v>
      </c>
      <c r="G68" s="368"/>
      <c r="H68" s="385">
        <f t="shared" si="22"/>
        <v>93220</v>
      </c>
      <c r="I68" s="371">
        <v>18512</v>
      </c>
      <c r="J68" s="371"/>
      <c r="K68" s="371">
        <v>24961</v>
      </c>
      <c r="L68" s="371">
        <v>15190</v>
      </c>
      <c r="M68" s="371">
        <v>18608</v>
      </c>
      <c r="N68" s="371">
        <v>15949</v>
      </c>
      <c r="O68" s="370"/>
      <c r="P68" s="386">
        <f t="shared" si="23"/>
        <v>104415</v>
      </c>
      <c r="Q68" s="371"/>
      <c r="R68" s="371">
        <v>6563</v>
      </c>
      <c r="S68" s="371">
        <v>7757</v>
      </c>
      <c r="T68" s="371">
        <v>12360</v>
      </c>
      <c r="U68" s="371">
        <v>9135</v>
      </c>
      <c r="V68" s="371">
        <v>12050</v>
      </c>
      <c r="W68" s="371">
        <v>8190</v>
      </c>
      <c r="X68" s="371">
        <v>16380</v>
      </c>
      <c r="Y68" s="371">
        <v>5460</v>
      </c>
      <c r="Z68" s="371">
        <v>16965</v>
      </c>
      <c r="AA68" s="371">
        <v>9555</v>
      </c>
      <c r="AB68" s="371"/>
      <c r="AC68" s="371"/>
      <c r="AD68" s="371"/>
      <c r="AE68" s="371"/>
      <c r="AF68" s="385">
        <f t="shared" si="24"/>
        <v>0</v>
      </c>
      <c r="AG68" s="371"/>
      <c r="AH68" s="371"/>
      <c r="AI68" s="387">
        <f t="shared" si="1"/>
        <v>0</v>
      </c>
    </row>
    <row r="69" spans="1:35" s="393" customFormat="1" ht="38.1" customHeight="1">
      <c r="A69" s="397" t="s">
        <v>116</v>
      </c>
      <c r="B69" s="394" t="s">
        <v>80</v>
      </c>
      <c r="C69" s="395" t="s">
        <v>866</v>
      </c>
      <c r="D69" s="396">
        <v>1</v>
      </c>
      <c r="E69" s="385">
        <f t="shared" si="21"/>
        <v>23484</v>
      </c>
      <c r="F69" s="368">
        <v>23484</v>
      </c>
      <c r="G69" s="368"/>
      <c r="H69" s="385">
        <f t="shared" si="22"/>
        <v>12165</v>
      </c>
      <c r="I69" s="371">
        <v>1696</v>
      </c>
      <c r="J69" s="371"/>
      <c r="K69" s="371">
        <v>3487</v>
      </c>
      <c r="L69" s="371">
        <v>3769</v>
      </c>
      <c r="M69" s="371">
        <v>401</v>
      </c>
      <c r="N69" s="371">
        <v>2812</v>
      </c>
      <c r="O69" s="370"/>
      <c r="P69" s="386">
        <f t="shared" si="23"/>
        <v>11319</v>
      </c>
      <c r="Q69" s="371">
        <v>755</v>
      </c>
      <c r="R69" s="371"/>
      <c r="S69" s="371"/>
      <c r="T69" s="371">
        <v>685</v>
      </c>
      <c r="U69" s="371">
        <v>1146</v>
      </c>
      <c r="V69" s="371"/>
      <c r="W69" s="371">
        <v>2585</v>
      </c>
      <c r="X69" s="371">
        <v>977</v>
      </c>
      <c r="Y69" s="371">
        <v>1234</v>
      </c>
      <c r="Z69" s="371">
        <v>2128</v>
      </c>
      <c r="AA69" s="371"/>
      <c r="AB69" s="371"/>
      <c r="AC69" s="371">
        <v>905</v>
      </c>
      <c r="AD69" s="371">
        <v>904</v>
      </c>
      <c r="AE69" s="371"/>
      <c r="AF69" s="385">
        <f t="shared" si="24"/>
        <v>0</v>
      </c>
      <c r="AG69" s="371"/>
      <c r="AH69" s="371"/>
      <c r="AI69" s="387">
        <f t="shared" ref="AI69:AI132" si="25">IF(+F69+G69=E69,0,FALSE)</f>
        <v>0</v>
      </c>
    </row>
    <row r="70" spans="1:35" s="410" customFormat="1" ht="24" customHeight="1">
      <c r="A70" s="405" t="s">
        <v>879</v>
      </c>
      <c r="B70" s="406"/>
      <c r="C70" s="407"/>
      <c r="D70" s="408"/>
      <c r="E70" s="409">
        <f t="shared" ref="E70:AH70" si="26">SUM(E71:E82)</f>
        <v>15566069</v>
      </c>
      <c r="F70" s="409">
        <f t="shared" si="26"/>
        <v>416000</v>
      </c>
      <c r="G70" s="409">
        <f t="shared" si="26"/>
        <v>15150069</v>
      </c>
      <c r="H70" s="409">
        <f t="shared" si="26"/>
        <v>9312395</v>
      </c>
      <c r="I70" s="409">
        <f t="shared" si="26"/>
        <v>2875020</v>
      </c>
      <c r="J70" s="409">
        <f t="shared" si="26"/>
        <v>71000</v>
      </c>
      <c r="K70" s="409">
        <f t="shared" si="26"/>
        <v>1390600</v>
      </c>
      <c r="L70" s="409">
        <f t="shared" si="26"/>
        <v>1404800</v>
      </c>
      <c r="M70" s="409">
        <f t="shared" si="26"/>
        <v>1018720</v>
      </c>
      <c r="N70" s="409">
        <f t="shared" si="26"/>
        <v>2104442</v>
      </c>
      <c r="O70" s="409">
        <f t="shared" si="26"/>
        <v>447813</v>
      </c>
      <c r="P70" s="409">
        <f t="shared" si="26"/>
        <v>5860530</v>
      </c>
      <c r="Q70" s="409">
        <f t="shared" si="26"/>
        <v>652362</v>
      </c>
      <c r="R70" s="409">
        <f t="shared" si="26"/>
        <v>316980</v>
      </c>
      <c r="S70" s="409">
        <f t="shared" si="26"/>
        <v>480442</v>
      </c>
      <c r="T70" s="409">
        <f t="shared" si="26"/>
        <v>295722</v>
      </c>
      <c r="U70" s="409">
        <f t="shared" si="26"/>
        <v>455922</v>
      </c>
      <c r="V70" s="409">
        <f t="shared" si="26"/>
        <v>171722</v>
      </c>
      <c r="W70" s="409">
        <f t="shared" si="26"/>
        <v>112162</v>
      </c>
      <c r="X70" s="409">
        <f t="shared" si="26"/>
        <v>329362</v>
      </c>
      <c r="Y70" s="409">
        <f t="shared" si="26"/>
        <v>171242</v>
      </c>
      <c r="Z70" s="409">
        <f t="shared" si="26"/>
        <v>476362</v>
      </c>
      <c r="AA70" s="409">
        <f t="shared" si="26"/>
        <v>115502</v>
      </c>
      <c r="AB70" s="409">
        <f t="shared" si="26"/>
        <v>470162</v>
      </c>
      <c r="AC70" s="409">
        <f t="shared" si="26"/>
        <v>556222</v>
      </c>
      <c r="AD70" s="409">
        <f t="shared" si="26"/>
        <v>429100</v>
      </c>
      <c r="AE70" s="409">
        <f t="shared" si="26"/>
        <v>827266</v>
      </c>
      <c r="AF70" s="409">
        <f t="shared" si="26"/>
        <v>393144</v>
      </c>
      <c r="AG70" s="409">
        <f t="shared" si="26"/>
        <v>221342</v>
      </c>
      <c r="AH70" s="409">
        <f t="shared" si="26"/>
        <v>171802</v>
      </c>
      <c r="AI70" s="387">
        <f t="shared" si="25"/>
        <v>0</v>
      </c>
    </row>
    <row r="71" spans="1:35" s="393" customFormat="1" ht="24" customHeight="1">
      <c r="A71" s="397" t="s">
        <v>116</v>
      </c>
      <c r="B71" s="394" t="s">
        <v>114</v>
      </c>
      <c r="C71" s="395" t="s">
        <v>86</v>
      </c>
      <c r="D71" s="396">
        <v>4</v>
      </c>
      <c r="E71" s="385">
        <f t="shared" ref="E71:E82" si="27">SUM(H71,P71,AF71)</f>
        <v>3000</v>
      </c>
      <c r="F71" s="368">
        <v>3000</v>
      </c>
      <c r="G71" s="368"/>
      <c r="H71" s="385">
        <f t="shared" ref="H71:H82" si="28">SUM(I71:O71)</f>
        <v>0</v>
      </c>
      <c r="I71" s="371"/>
      <c r="J71" s="371"/>
      <c r="K71" s="371"/>
      <c r="L71" s="371"/>
      <c r="M71" s="371"/>
      <c r="N71" s="371"/>
      <c r="O71" s="370"/>
      <c r="P71" s="386">
        <f t="shared" ref="P71:P82" si="29">SUM(Q71:AE71)</f>
        <v>2000</v>
      </c>
      <c r="Q71" s="371"/>
      <c r="R71" s="371"/>
      <c r="S71" s="371"/>
      <c r="T71" s="371"/>
      <c r="U71" s="371"/>
      <c r="V71" s="371"/>
      <c r="W71" s="371"/>
      <c r="X71" s="371"/>
      <c r="Y71" s="371"/>
      <c r="Z71" s="371"/>
      <c r="AA71" s="371"/>
      <c r="AB71" s="371"/>
      <c r="AC71" s="371"/>
      <c r="AD71" s="371"/>
      <c r="AE71" s="371">
        <v>2000</v>
      </c>
      <c r="AF71" s="385">
        <f t="shared" ref="AF71:AF82" si="30">SUM(AG71:AH71)</f>
        <v>1000</v>
      </c>
      <c r="AG71" s="371">
        <v>500</v>
      </c>
      <c r="AH71" s="371">
        <v>500</v>
      </c>
      <c r="AI71" s="387">
        <f t="shared" si="25"/>
        <v>0</v>
      </c>
    </row>
    <row r="72" spans="1:35" s="393" customFormat="1" ht="24" customHeight="1">
      <c r="A72" s="397" t="s">
        <v>116</v>
      </c>
      <c r="B72" s="394" t="s">
        <v>114</v>
      </c>
      <c r="C72" s="395" t="s">
        <v>88</v>
      </c>
      <c r="D72" s="396">
        <v>4</v>
      </c>
      <c r="E72" s="385">
        <f t="shared" si="27"/>
        <v>8000</v>
      </c>
      <c r="F72" s="368">
        <v>8000</v>
      </c>
      <c r="G72" s="368"/>
      <c r="H72" s="385">
        <f t="shared" si="28"/>
        <v>2760</v>
      </c>
      <c r="I72" s="371"/>
      <c r="J72" s="371"/>
      <c r="K72" s="371"/>
      <c r="L72" s="371"/>
      <c r="M72" s="371"/>
      <c r="N72" s="371"/>
      <c r="O72" s="370">
        <v>2760</v>
      </c>
      <c r="P72" s="386">
        <f t="shared" si="29"/>
        <v>4900</v>
      </c>
      <c r="Q72" s="371"/>
      <c r="R72" s="371"/>
      <c r="S72" s="371"/>
      <c r="T72" s="371"/>
      <c r="U72" s="371"/>
      <c r="V72" s="371"/>
      <c r="W72" s="371"/>
      <c r="X72" s="371"/>
      <c r="Y72" s="371"/>
      <c r="Z72" s="371"/>
      <c r="AA72" s="371"/>
      <c r="AB72" s="371"/>
      <c r="AC72" s="371"/>
      <c r="AD72" s="371"/>
      <c r="AE72" s="371">
        <v>4900</v>
      </c>
      <c r="AF72" s="385">
        <f t="shared" si="30"/>
        <v>340</v>
      </c>
      <c r="AG72" s="371">
        <v>170</v>
      </c>
      <c r="AH72" s="371">
        <v>170</v>
      </c>
      <c r="AI72" s="387">
        <f t="shared" si="25"/>
        <v>0</v>
      </c>
    </row>
    <row r="73" spans="1:35" s="393" customFormat="1" ht="33.950000000000003" customHeight="1">
      <c r="A73" s="397" t="s">
        <v>116</v>
      </c>
      <c r="B73" s="394" t="s">
        <v>114</v>
      </c>
      <c r="C73" s="395" t="s">
        <v>867</v>
      </c>
      <c r="D73" s="396">
        <v>4</v>
      </c>
      <c r="E73" s="385">
        <f t="shared" si="27"/>
        <v>18400</v>
      </c>
      <c r="F73" s="368">
        <v>18400</v>
      </c>
      <c r="G73" s="368"/>
      <c r="H73" s="385">
        <f t="shared" si="28"/>
        <v>7000</v>
      </c>
      <c r="I73" s="371">
        <v>0</v>
      </c>
      <c r="J73" s="371">
        <v>0</v>
      </c>
      <c r="K73" s="371">
        <v>0</v>
      </c>
      <c r="L73" s="371">
        <v>0</v>
      </c>
      <c r="M73" s="371">
        <v>0</v>
      </c>
      <c r="N73" s="371">
        <v>0</v>
      </c>
      <c r="O73" s="370">
        <v>7000</v>
      </c>
      <c r="P73" s="386">
        <f t="shared" si="29"/>
        <v>10900</v>
      </c>
      <c r="Q73" s="371">
        <v>0</v>
      </c>
      <c r="R73" s="371">
        <v>0</v>
      </c>
      <c r="S73" s="371">
        <v>0</v>
      </c>
      <c r="T73" s="371">
        <v>0</v>
      </c>
      <c r="U73" s="371">
        <v>0</v>
      </c>
      <c r="V73" s="371">
        <v>0</v>
      </c>
      <c r="W73" s="371">
        <v>0</v>
      </c>
      <c r="X73" s="371">
        <v>0</v>
      </c>
      <c r="Y73" s="371">
        <v>0</v>
      </c>
      <c r="Z73" s="371">
        <v>0</v>
      </c>
      <c r="AA73" s="371">
        <v>0</v>
      </c>
      <c r="AB73" s="371">
        <v>0</v>
      </c>
      <c r="AC73" s="371">
        <v>0</v>
      </c>
      <c r="AD73" s="371">
        <v>0</v>
      </c>
      <c r="AE73" s="371">
        <v>10900</v>
      </c>
      <c r="AF73" s="385">
        <f t="shared" si="30"/>
        <v>500</v>
      </c>
      <c r="AG73" s="371">
        <v>250</v>
      </c>
      <c r="AH73" s="371">
        <v>250</v>
      </c>
      <c r="AI73" s="387">
        <f t="shared" si="25"/>
        <v>0</v>
      </c>
    </row>
    <row r="74" spans="1:35" s="393" customFormat="1" ht="34.5" customHeight="1">
      <c r="A74" s="397" t="s">
        <v>116</v>
      </c>
      <c r="B74" s="394" t="s">
        <v>114</v>
      </c>
      <c r="C74" s="395" t="s">
        <v>868</v>
      </c>
      <c r="D74" s="396">
        <v>4</v>
      </c>
      <c r="E74" s="385">
        <f t="shared" si="27"/>
        <v>56800</v>
      </c>
      <c r="F74" s="368"/>
      <c r="G74" s="368">
        <v>56800</v>
      </c>
      <c r="H74" s="385">
        <f t="shared" si="28"/>
        <v>27300</v>
      </c>
      <c r="I74" s="371"/>
      <c r="J74" s="371"/>
      <c r="K74" s="371"/>
      <c r="L74" s="371"/>
      <c r="M74" s="371"/>
      <c r="N74" s="371"/>
      <c r="O74" s="370">
        <v>27300</v>
      </c>
      <c r="P74" s="386">
        <f t="shared" si="29"/>
        <v>29500</v>
      </c>
      <c r="Q74" s="371"/>
      <c r="R74" s="371"/>
      <c r="S74" s="371"/>
      <c r="T74" s="371"/>
      <c r="U74" s="371"/>
      <c r="V74" s="371"/>
      <c r="W74" s="371"/>
      <c r="X74" s="371"/>
      <c r="Y74" s="371"/>
      <c r="Z74" s="371"/>
      <c r="AA74" s="371"/>
      <c r="AB74" s="371"/>
      <c r="AC74" s="371"/>
      <c r="AD74" s="371"/>
      <c r="AE74" s="371">
        <v>29500</v>
      </c>
      <c r="AF74" s="385">
        <f t="shared" si="30"/>
        <v>0</v>
      </c>
      <c r="AG74" s="371"/>
      <c r="AH74" s="371"/>
      <c r="AI74" s="387">
        <f t="shared" si="25"/>
        <v>0</v>
      </c>
    </row>
    <row r="75" spans="1:35" s="393" customFormat="1" ht="45.6" customHeight="1">
      <c r="A75" s="397" t="s">
        <v>116</v>
      </c>
      <c r="B75" s="394" t="s">
        <v>114</v>
      </c>
      <c r="C75" s="395" t="s">
        <v>515</v>
      </c>
      <c r="D75" s="396">
        <v>4</v>
      </c>
      <c r="E75" s="385">
        <f t="shared" si="27"/>
        <v>1273834</v>
      </c>
      <c r="F75" s="368">
        <v>55000</v>
      </c>
      <c r="G75" s="368">
        <v>1218834</v>
      </c>
      <c r="H75" s="385">
        <f t="shared" si="28"/>
        <v>402000</v>
      </c>
      <c r="I75" s="371">
        <v>67000</v>
      </c>
      <c r="J75" s="371">
        <v>67000</v>
      </c>
      <c r="K75" s="371">
        <v>67000</v>
      </c>
      <c r="L75" s="371">
        <v>67000</v>
      </c>
      <c r="M75" s="371">
        <v>67000</v>
      </c>
      <c r="N75" s="371">
        <v>67000</v>
      </c>
      <c r="O75" s="370"/>
      <c r="P75" s="386">
        <f t="shared" si="29"/>
        <v>795500</v>
      </c>
      <c r="Q75" s="371">
        <v>56822</v>
      </c>
      <c r="R75" s="371">
        <v>56822</v>
      </c>
      <c r="S75" s="371">
        <v>56822</v>
      </c>
      <c r="T75" s="371">
        <v>56822</v>
      </c>
      <c r="U75" s="371">
        <v>56822</v>
      </c>
      <c r="V75" s="371">
        <v>56822</v>
      </c>
      <c r="W75" s="371">
        <v>56822</v>
      </c>
      <c r="X75" s="371">
        <v>56822</v>
      </c>
      <c r="Y75" s="371">
        <v>56822</v>
      </c>
      <c r="Z75" s="371">
        <v>56822</v>
      </c>
      <c r="AA75" s="371">
        <v>56822</v>
      </c>
      <c r="AB75" s="371">
        <v>56822</v>
      </c>
      <c r="AC75" s="371">
        <v>56822</v>
      </c>
      <c r="AD75" s="371">
        <v>56814</v>
      </c>
      <c r="AE75" s="371"/>
      <c r="AF75" s="385">
        <f t="shared" si="30"/>
        <v>76334</v>
      </c>
      <c r="AG75" s="371">
        <v>38167</v>
      </c>
      <c r="AH75" s="371">
        <v>38167</v>
      </c>
      <c r="AI75" s="387">
        <f t="shared" si="25"/>
        <v>0</v>
      </c>
    </row>
    <row r="76" spans="1:35" s="393" customFormat="1" ht="35.450000000000003" customHeight="1">
      <c r="A76" s="397" t="s">
        <v>116</v>
      </c>
      <c r="B76" s="394" t="s">
        <v>114</v>
      </c>
      <c r="C76" s="395" t="s">
        <v>516</v>
      </c>
      <c r="D76" s="396">
        <v>4</v>
      </c>
      <c r="E76" s="385">
        <f t="shared" si="27"/>
        <v>58500</v>
      </c>
      <c r="F76" s="368">
        <v>0</v>
      </c>
      <c r="G76" s="368">
        <v>58500</v>
      </c>
      <c r="H76" s="385">
        <f t="shared" si="28"/>
        <v>24000</v>
      </c>
      <c r="I76" s="371">
        <v>4000</v>
      </c>
      <c r="J76" s="371">
        <v>4000</v>
      </c>
      <c r="K76" s="371">
        <v>4000</v>
      </c>
      <c r="L76" s="371">
        <v>4000</v>
      </c>
      <c r="M76" s="371">
        <v>4000</v>
      </c>
      <c r="N76" s="371">
        <v>4000</v>
      </c>
      <c r="O76" s="370"/>
      <c r="P76" s="386">
        <f t="shared" si="29"/>
        <v>32200</v>
      </c>
      <c r="Q76" s="371">
        <v>2300</v>
      </c>
      <c r="R76" s="371">
        <v>2300</v>
      </c>
      <c r="S76" s="371">
        <v>2300</v>
      </c>
      <c r="T76" s="371">
        <v>2300</v>
      </c>
      <c r="U76" s="371">
        <v>2300</v>
      </c>
      <c r="V76" s="371">
        <v>2300</v>
      </c>
      <c r="W76" s="371">
        <v>2300</v>
      </c>
      <c r="X76" s="371">
        <v>2300</v>
      </c>
      <c r="Y76" s="371">
        <v>2300</v>
      </c>
      <c r="Z76" s="371">
        <v>2300</v>
      </c>
      <c r="AA76" s="371">
        <v>2300</v>
      </c>
      <c r="AB76" s="371">
        <v>2300</v>
      </c>
      <c r="AC76" s="371">
        <v>2300</v>
      </c>
      <c r="AD76" s="371">
        <v>2300</v>
      </c>
      <c r="AE76" s="371"/>
      <c r="AF76" s="385">
        <f t="shared" si="30"/>
        <v>2300</v>
      </c>
      <c r="AG76" s="371">
        <v>1150</v>
      </c>
      <c r="AH76" s="371">
        <v>1150</v>
      </c>
      <c r="AI76" s="387">
        <f t="shared" si="25"/>
        <v>0</v>
      </c>
    </row>
    <row r="77" spans="1:35" s="393" customFormat="1" ht="24.95" customHeight="1">
      <c r="A77" s="397" t="s">
        <v>116</v>
      </c>
      <c r="B77" s="394" t="s">
        <v>114</v>
      </c>
      <c r="C77" s="395" t="s">
        <v>242</v>
      </c>
      <c r="D77" s="396">
        <v>6</v>
      </c>
      <c r="E77" s="385">
        <f t="shared" si="27"/>
        <v>11789605</v>
      </c>
      <c r="F77" s="368">
        <v>277100</v>
      </c>
      <c r="G77" s="368">
        <v>11512505</v>
      </c>
      <c r="H77" s="385">
        <f t="shared" si="28"/>
        <v>8035585</v>
      </c>
      <c r="I77" s="371">
        <v>2804020</v>
      </c>
      <c r="J77" s="371"/>
      <c r="K77" s="371">
        <v>954600</v>
      </c>
      <c r="L77" s="371">
        <v>1333800</v>
      </c>
      <c r="M77" s="371">
        <v>947720</v>
      </c>
      <c r="N77" s="371">
        <v>1995445</v>
      </c>
      <c r="O77" s="370">
        <v>0</v>
      </c>
      <c r="P77" s="386">
        <f t="shared" si="29"/>
        <v>3603380</v>
      </c>
      <c r="Q77" s="371">
        <v>593240</v>
      </c>
      <c r="R77" s="371">
        <v>155960</v>
      </c>
      <c r="S77" s="371">
        <v>421320</v>
      </c>
      <c r="T77" s="371">
        <v>236600</v>
      </c>
      <c r="U77" s="371">
        <v>396800</v>
      </c>
      <c r="V77" s="371">
        <v>112600</v>
      </c>
      <c r="W77" s="371">
        <v>53040</v>
      </c>
      <c r="X77" s="371">
        <v>270240</v>
      </c>
      <c r="Y77" s="371">
        <v>105120</v>
      </c>
      <c r="Z77" s="371">
        <v>410240</v>
      </c>
      <c r="AA77" s="371">
        <v>56380</v>
      </c>
      <c r="AB77" s="371">
        <v>411040</v>
      </c>
      <c r="AC77" s="371">
        <v>168600</v>
      </c>
      <c r="AD77" s="371">
        <v>212200</v>
      </c>
      <c r="AE77" s="371">
        <v>0</v>
      </c>
      <c r="AF77" s="385">
        <f t="shared" si="30"/>
        <v>150640</v>
      </c>
      <c r="AG77" s="371">
        <v>132050</v>
      </c>
      <c r="AH77" s="371">
        <v>18590</v>
      </c>
      <c r="AI77" s="387">
        <f t="shared" si="25"/>
        <v>0</v>
      </c>
    </row>
    <row r="78" spans="1:35" s="393" customFormat="1" ht="24" customHeight="1">
      <c r="A78" s="397" t="s">
        <v>116</v>
      </c>
      <c r="B78" s="394" t="s">
        <v>114</v>
      </c>
      <c r="C78" s="395" t="s">
        <v>243</v>
      </c>
      <c r="D78" s="396">
        <v>4</v>
      </c>
      <c r="E78" s="385">
        <f t="shared" si="27"/>
        <v>1300000</v>
      </c>
      <c r="F78" s="368"/>
      <c r="G78" s="368">
        <v>1300000</v>
      </c>
      <c r="H78" s="385">
        <f t="shared" si="28"/>
        <v>600000</v>
      </c>
      <c r="I78" s="371"/>
      <c r="J78" s="371"/>
      <c r="K78" s="371">
        <v>365000</v>
      </c>
      <c r="L78" s="371"/>
      <c r="M78" s="371"/>
      <c r="N78" s="371">
        <v>37997</v>
      </c>
      <c r="O78" s="370">
        <v>197003</v>
      </c>
      <c r="P78" s="386">
        <f t="shared" si="29"/>
        <v>600000</v>
      </c>
      <c r="Q78" s="371"/>
      <c r="R78" s="371">
        <v>101898</v>
      </c>
      <c r="S78" s="371">
        <v>0</v>
      </c>
      <c r="T78" s="371"/>
      <c r="U78" s="371"/>
      <c r="V78" s="371"/>
      <c r="W78" s="371"/>
      <c r="X78" s="371"/>
      <c r="Y78" s="371"/>
      <c r="Z78" s="371"/>
      <c r="AA78" s="371"/>
      <c r="AB78" s="371"/>
      <c r="AC78" s="371">
        <v>328500</v>
      </c>
      <c r="AD78" s="371">
        <v>157786</v>
      </c>
      <c r="AE78" s="371">
        <v>11816</v>
      </c>
      <c r="AF78" s="385">
        <f t="shared" si="30"/>
        <v>100000</v>
      </c>
      <c r="AG78" s="371">
        <v>18040</v>
      </c>
      <c r="AH78" s="371">
        <v>81960</v>
      </c>
      <c r="AI78" s="387">
        <f t="shared" si="25"/>
        <v>0</v>
      </c>
    </row>
    <row r="79" spans="1:35" s="393" customFormat="1" ht="32.450000000000003" customHeight="1">
      <c r="A79" s="397" t="s">
        <v>116</v>
      </c>
      <c r="B79" s="394" t="s">
        <v>114</v>
      </c>
      <c r="C79" s="395" t="s">
        <v>244</v>
      </c>
      <c r="D79" s="396">
        <v>4</v>
      </c>
      <c r="E79" s="385">
        <f t="shared" si="27"/>
        <v>1001400</v>
      </c>
      <c r="F79" s="368"/>
      <c r="G79" s="368">
        <v>1001400</v>
      </c>
      <c r="H79" s="385">
        <f t="shared" si="28"/>
        <v>200000</v>
      </c>
      <c r="I79" s="371"/>
      <c r="J79" s="371"/>
      <c r="K79" s="371"/>
      <c r="L79" s="371"/>
      <c r="M79" s="371"/>
      <c r="N79" s="371"/>
      <c r="O79" s="370">
        <v>200000</v>
      </c>
      <c r="P79" s="386">
        <f t="shared" si="29"/>
        <v>740000</v>
      </c>
      <c r="Q79" s="371"/>
      <c r="R79" s="371"/>
      <c r="S79" s="371"/>
      <c r="T79" s="371"/>
      <c r="U79" s="371"/>
      <c r="V79" s="371"/>
      <c r="W79" s="371"/>
      <c r="X79" s="371"/>
      <c r="Y79" s="371"/>
      <c r="Z79" s="371"/>
      <c r="AA79" s="371"/>
      <c r="AB79" s="371"/>
      <c r="AC79" s="371"/>
      <c r="AD79" s="371"/>
      <c r="AE79" s="371">
        <v>740000</v>
      </c>
      <c r="AF79" s="385">
        <f t="shared" si="30"/>
        <v>61400</v>
      </c>
      <c r="AG79" s="371">
        <v>30700</v>
      </c>
      <c r="AH79" s="371">
        <v>30700</v>
      </c>
      <c r="AI79" s="387">
        <f t="shared" si="25"/>
        <v>0</v>
      </c>
    </row>
    <row r="80" spans="1:35" s="393" customFormat="1" ht="33.6" customHeight="1">
      <c r="A80" s="397" t="s">
        <v>116</v>
      </c>
      <c r="B80" s="394" t="s">
        <v>114</v>
      </c>
      <c r="C80" s="395" t="s">
        <v>245</v>
      </c>
      <c r="D80" s="396">
        <v>4</v>
      </c>
      <c r="E80" s="385">
        <f t="shared" si="27"/>
        <v>14000</v>
      </c>
      <c r="F80" s="368">
        <v>14000</v>
      </c>
      <c r="G80" s="368">
        <v>0</v>
      </c>
      <c r="H80" s="385">
        <f t="shared" si="28"/>
        <v>0</v>
      </c>
      <c r="I80" s="371"/>
      <c r="J80" s="371"/>
      <c r="K80" s="371"/>
      <c r="L80" s="371"/>
      <c r="M80" s="371"/>
      <c r="N80" s="371"/>
      <c r="O80" s="370"/>
      <c r="P80" s="386">
        <f t="shared" si="29"/>
        <v>14000</v>
      </c>
      <c r="Q80" s="371"/>
      <c r="R80" s="371"/>
      <c r="S80" s="371"/>
      <c r="T80" s="371"/>
      <c r="U80" s="371"/>
      <c r="V80" s="371"/>
      <c r="W80" s="371"/>
      <c r="X80" s="371"/>
      <c r="Y80" s="371">
        <v>7000</v>
      </c>
      <c r="Z80" s="371">
        <v>7000</v>
      </c>
      <c r="AA80" s="371"/>
      <c r="AB80" s="371"/>
      <c r="AC80" s="371"/>
      <c r="AD80" s="371"/>
      <c r="AE80" s="371">
        <v>0</v>
      </c>
      <c r="AF80" s="385">
        <f t="shared" si="30"/>
        <v>0</v>
      </c>
      <c r="AG80" s="371"/>
      <c r="AH80" s="371"/>
      <c r="AI80" s="387">
        <f t="shared" si="25"/>
        <v>0</v>
      </c>
    </row>
    <row r="81" spans="1:35" s="393" customFormat="1" ht="24" customHeight="1">
      <c r="A81" s="397" t="s">
        <v>116</v>
      </c>
      <c r="B81" s="394" t="s">
        <v>114</v>
      </c>
      <c r="C81" s="395" t="s">
        <v>869</v>
      </c>
      <c r="D81" s="396">
        <v>4</v>
      </c>
      <c r="E81" s="385">
        <f t="shared" si="27"/>
        <v>24530</v>
      </c>
      <c r="F81" s="368">
        <v>22500</v>
      </c>
      <c r="G81" s="368">
        <v>2030</v>
      </c>
      <c r="H81" s="385">
        <f t="shared" si="28"/>
        <v>11950</v>
      </c>
      <c r="I81" s="371"/>
      <c r="J81" s="371"/>
      <c r="K81" s="371"/>
      <c r="L81" s="371"/>
      <c r="M81" s="371"/>
      <c r="N81" s="371"/>
      <c r="O81" s="370">
        <v>11950</v>
      </c>
      <c r="P81" s="386">
        <f t="shared" si="29"/>
        <v>11950</v>
      </c>
      <c r="Q81" s="371"/>
      <c r="R81" s="371"/>
      <c r="S81" s="371"/>
      <c r="T81" s="371"/>
      <c r="U81" s="371"/>
      <c r="V81" s="371"/>
      <c r="W81" s="371"/>
      <c r="X81" s="371"/>
      <c r="Y81" s="371"/>
      <c r="Z81" s="371"/>
      <c r="AA81" s="371"/>
      <c r="AB81" s="371"/>
      <c r="AC81" s="371"/>
      <c r="AD81" s="371"/>
      <c r="AE81" s="371">
        <v>11950</v>
      </c>
      <c r="AF81" s="385">
        <f t="shared" si="30"/>
        <v>630</v>
      </c>
      <c r="AG81" s="371">
        <v>315</v>
      </c>
      <c r="AH81" s="371">
        <v>315</v>
      </c>
      <c r="AI81" s="387">
        <f t="shared" si="25"/>
        <v>0</v>
      </c>
    </row>
    <row r="82" spans="1:35" s="393" customFormat="1" ht="24" customHeight="1">
      <c r="A82" s="397" t="s">
        <v>116</v>
      </c>
      <c r="B82" s="394" t="s">
        <v>114</v>
      </c>
      <c r="C82" s="395" t="s">
        <v>246</v>
      </c>
      <c r="D82" s="396">
        <v>4</v>
      </c>
      <c r="E82" s="385">
        <f t="shared" si="27"/>
        <v>18000</v>
      </c>
      <c r="F82" s="368">
        <v>18000</v>
      </c>
      <c r="G82" s="368">
        <v>0</v>
      </c>
      <c r="H82" s="385">
        <f t="shared" si="28"/>
        <v>1800</v>
      </c>
      <c r="I82" s="371"/>
      <c r="J82" s="371"/>
      <c r="K82" s="371"/>
      <c r="L82" s="371"/>
      <c r="M82" s="371"/>
      <c r="N82" s="371"/>
      <c r="O82" s="370">
        <v>1800</v>
      </c>
      <c r="P82" s="386">
        <f t="shared" si="29"/>
        <v>16200</v>
      </c>
      <c r="Q82" s="371"/>
      <c r="R82" s="371"/>
      <c r="S82" s="371"/>
      <c r="T82" s="371"/>
      <c r="U82" s="371"/>
      <c r="V82" s="371"/>
      <c r="W82" s="371"/>
      <c r="X82" s="371"/>
      <c r="Y82" s="371"/>
      <c r="Z82" s="371"/>
      <c r="AA82" s="371"/>
      <c r="AB82" s="371"/>
      <c r="AC82" s="371"/>
      <c r="AD82" s="371"/>
      <c r="AE82" s="371">
        <v>16200</v>
      </c>
      <c r="AF82" s="385">
        <f t="shared" si="30"/>
        <v>0</v>
      </c>
      <c r="AG82" s="371"/>
      <c r="AH82" s="371"/>
      <c r="AI82" s="387">
        <f t="shared" si="25"/>
        <v>0</v>
      </c>
    </row>
    <row r="83" spans="1:35" s="410" customFormat="1" ht="24" customHeight="1">
      <c r="A83" s="405" t="s">
        <v>880</v>
      </c>
      <c r="B83" s="406"/>
      <c r="C83" s="407"/>
      <c r="D83" s="408"/>
      <c r="E83" s="409">
        <f t="shared" ref="E83:AH83" si="31">SUM(E84:E95)</f>
        <v>202068</v>
      </c>
      <c r="F83" s="409">
        <f t="shared" si="31"/>
        <v>67819</v>
      </c>
      <c r="G83" s="409">
        <f t="shared" si="31"/>
        <v>134249</v>
      </c>
      <c r="H83" s="409">
        <f t="shared" si="31"/>
        <v>77662</v>
      </c>
      <c r="I83" s="409">
        <f t="shared" si="31"/>
        <v>7100</v>
      </c>
      <c r="J83" s="409">
        <f t="shared" si="31"/>
        <v>9553</v>
      </c>
      <c r="K83" s="409">
        <f t="shared" si="31"/>
        <v>7231</v>
      </c>
      <c r="L83" s="409">
        <f t="shared" si="31"/>
        <v>14068</v>
      </c>
      <c r="M83" s="409">
        <f t="shared" si="31"/>
        <v>6028</v>
      </c>
      <c r="N83" s="409">
        <f t="shared" si="31"/>
        <v>24289</v>
      </c>
      <c r="O83" s="409">
        <f t="shared" si="31"/>
        <v>9393</v>
      </c>
      <c r="P83" s="409">
        <f t="shared" si="31"/>
        <v>116348</v>
      </c>
      <c r="Q83" s="409">
        <f t="shared" si="31"/>
        <v>2949</v>
      </c>
      <c r="R83" s="409">
        <f t="shared" si="31"/>
        <v>1689</v>
      </c>
      <c r="S83" s="409">
        <f t="shared" si="31"/>
        <v>10703</v>
      </c>
      <c r="T83" s="409">
        <f t="shared" si="31"/>
        <v>12983</v>
      </c>
      <c r="U83" s="409">
        <f t="shared" si="31"/>
        <v>5312</v>
      </c>
      <c r="V83" s="409">
        <f t="shared" si="31"/>
        <v>10943</v>
      </c>
      <c r="W83" s="409">
        <f t="shared" si="31"/>
        <v>5910</v>
      </c>
      <c r="X83" s="409">
        <f t="shared" si="31"/>
        <v>4277</v>
      </c>
      <c r="Y83" s="409">
        <f t="shared" si="31"/>
        <v>4296</v>
      </c>
      <c r="Z83" s="409">
        <f t="shared" si="31"/>
        <v>10967</v>
      </c>
      <c r="AA83" s="409">
        <f t="shared" si="31"/>
        <v>6230</v>
      </c>
      <c r="AB83" s="409">
        <f t="shared" si="31"/>
        <v>3515</v>
      </c>
      <c r="AC83" s="409">
        <f t="shared" si="31"/>
        <v>2533</v>
      </c>
      <c r="AD83" s="409">
        <f t="shared" si="31"/>
        <v>4360</v>
      </c>
      <c r="AE83" s="409">
        <f t="shared" si="31"/>
        <v>29681</v>
      </c>
      <c r="AF83" s="409">
        <f t="shared" si="31"/>
        <v>8058</v>
      </c>
      <c r="AG83" s="409">
        <f t="shared" si="31"/>
        <v>4299</v>
      </c>
      <c r="AH83" s="409">
        <f t="shared" si="31"/>
        <v>3759</v>
      </c>
      <c r="AI83" s="387">
        <f t="shared" si="25"/>
        <v>0</v>
      </c>
    </row>
    <row r="84" spans="1:35" s="393" customFormat="1" ht="24" customHeight="1">
      <c r="A84" s="397" t="s">
        <v>116</v>
      </c>
      <c r="B84" s="394" t="s">
        <v>247</v>
      </c>
      <c r="C84" s="395" t="s">
        <v>248</v>
      </c>
      <c r="D84" s="396">
        <v>1</v>
      </c>
      <c r="E84" s="385">
        <f t="shared" ref="E84:E95" si="32">SUM(H84,P84,AF84)</f>
        <v>3000</v>
      </c>
      <c r="F84" s="368">
        <v>3000</v>
      </c>
      <c r="G84" s="368"/>
      <c r="H84" s="385">
        <f t="shared" ref="H84:H95" si="33">SUM(I84:O84)</f>
        <v>0</v>
      </c>
      <c r="I84" s="371"/>
      <c r="J84" s="371"/>
      <c r="K84" s="371"/>
      <c r="L84" s="371"/>
      <c r="M84" s="371"/>
      <c r="N84" s="371"/>
      <c r="O84" s="370"/>
      <c r="P84" s="386">
        <f t="shared" ref="P84:P95" si="34">SUM(Q84:AE84)</f>
        <v>3000</v>
      </c>
      <c r="Q84" s="371"/>
      <c r="R84" s="371"/>
      <c r="S84" s="371"/>
      <c r="T84" s="371"/>
      <c r="U84" s="371"/>
      <c r="V84" s="371"/>
      <c r="W84" s="371"/>
      <c r="X84" s="371"/>
      <c r="Y84" s="371"/>
      <c r="Z84" s="371"/>
      <c r="AA84" s="371"/>
      <c r="AB84" s="371"/>
      <c r="AC84" s="371"/>
      <c r="AD84" s="371"/>
      <c r="AE84" s="371">
        <v>3000</v>
      </c>
      <c r="AF84" s="385">
        <f t="shared" ref="AF84:AF95" si="35">SUM(AG84:AH84)</f>
        <v>0</v>
      </c>
      <c r="AG84" s="371"/>
      <c r="AH84" s="371"/>
      <c r="AI84" s="387">
        <f t="shared" si="25"/>
        <v>0</v>
      </c>
    </row>
    <row r="85" spans="1:35" s="393" customFormat="1" ht="24" customHeight="1">
      <c r="A85" s="397" t="s">
        <v>116</v>
      </c>
      <c r="B85" s="394" t="s">
        <v>247</v>
      </c>
      <c r="C85" s="395" t="s">
        <v>249</v>
      </c>
      <c r="D85" s="396">
        <v>1</v>
      </c>
      <c r="E85" s="385">
        <f t="shared" si="32"/>
        <v>70750</v>
      </c>
      <c r="F85" s="368">
        <v>52310</v>
      </c>
      <c r="G85" s="368">
        <v>18440</v>
      </c>
      <c r="H85" s="385">
        <f t="shared" si="33"/>
        <v>27229</v>
      </c>
      <c r="I85" s="371"/>
      <c r="J85" s="371">
        <v>4340</v>
      </c>
      <c r="K85" s="371"/>
      <c r="L85" s="371">
        <v>9107</v>
      </c>
      <c r="M85" s="371"/>
      <c r="N85" s="371">
        <v>13782</v>
      </c>
      <c r="O85" s="370"/>
      <c r="P85" s="386">
        <f t="shared" si="34"/>
        <v>36700</v>
      </c>
      <c r="Q85" s="371"/>
      <c r="R85" s="371"/>
      <c r="S85" s="371">
        <v>5844</v>
      </c>
      <c r="T85" s="371">
        <v>7910</v>
      </c>
      <c r="U85" s="371"/>
      <c r="V85" s="371">
        <v>5903</v>
      </c>
      <c r="W85" s="371"/>
      <c r="X85" s="371"/>
      <c r="Y85" s="371"/>
      <c r="Z85" s="371">
        <v>6017</v>
      </c>
      <c r="AA85" s="371">
        <v>4166</v>
      </c>
      <c r="AB85" s="371">
        <v>2535</v>
      </c>
      <c r="AC85" s="371">
        <v>2190</v>
      </c>
      <c r="AD85" s="371">
        <v>2135</v>
      </c>
      <c r="AE85" s="371"/>
      <c r="AF85" s="385">
        <f t="shared" si="35"/>
        <v>6821</v>
      </c>
      <c r="AG85" s="371">
        <v>3492</v>
      </c>
      <c r="AH85" s="371">
        <v>3329</v>
      </c>
      <c r="AI85" s="387">
        <f t="shared" si="25"/>
        <v>0</v>
      </c>
    </row>
    <row r="86" spans="1:35" s="393" customFormat="1" ht="24" customHeight="1">
      <c r="A86" s="397" t="s">
        <v>116</v>
      </c>
      <c r="B86" s="394" t="s">
        <v>247</v>
      </c>
      <c r="C86" s="395" t="s">
        <v>676</v>
      </c>
      <c r="D86" s="396">
        <v>1</v>
      </c>
      <c r="E86" s="385">
        <f t="shared" si="32"/>
        <v>3318</v>
      </c>
      <c r="F86" s="368">
        <v>3318</v>
      </c>
      <c r="G86" s="368"/>
      <c r="H86" s="385">
        <f t="shared" si="33"/>
        <v>2223</v>
      </c>
      <c r="I86" s="371">
        <v>504</v>
      </c>
      <c r="J86" s="371">
        <v>498</v>
      </c>
      <c r="K86" s="371">
        <v>360</v>
      </c>
      <c r="L86" s="371">
        <v>435</v>
      </c>
      <c r="M86" s="371">
        <v>174</v>
      </c>
      <c r="N86" s="371">
        <v>252</v>
      </c>
      <c r="O86" s="370"/>
      <c r="P86" s="386">
        <f t="shared" si="34"/>
        <v>1053</v>
      </c>
      <c r="Q86" s="371">
        <v>54</v>
      </c>
      <c r="R86" s="371">
        <v>180</v>
      </c>
      <c r="S86" s="371">
        <v>69</v>
      </c>
      <c r="T86" s="371">
        <v>105</v>
      </c>
      <c r="U86" s="371">
        <v>51</v>
      </c>
      <c r="V86" s="371">
        <v>81</v>
      </c>
      <c r="W86" s="371">
        <v>57</v>
      </c>
      <c r="X86" s="371">
        <v>54</v>
      </c>
      <c r="Y86" s="371">
        <v>27</v>
      </c>
      <c r="Z86" s="371">
        <v>45</v>
      </c>
      <c r="AA86" s="371">
        <v>24</v>
      </c>
      <c r="AB86" s="371">
        <v>90</v>
      </c>
      <c r="AC86" s="371">
        <v>138</v>
      </c>
      <c r="AD86" s="371">
        <v>78</v>
      </c>
      <c r="AE86" s="371"/>
      <c r="AF86" s="385">
        <f t="shared" si="35"/>
        <v>42</v>
      </c>
      <c r="AG86" s="371">
        <v>42</v>
      </c>
      <c r="AH86" s="371">
        <v>0</v>
      </c>
      <c r="AI86" s="387">
        <f t="shared" si="25"/>
        <v>0</v>
      </c>
    </row>
    <row r="87" spans="1:35" s="393" customFormat="1" ht="24" customHeight="1">
      <c r="A87" s="397" t="s">
        <v>116</v>
      </c>
      <c r="B87" s="394" t="s">
        <v>247</v>
      </c>
      <c r="C87" s="395" t="s">
        <v>517</v>
      </c>
      <c r="D87" s="396">
        <v>1</v>
      </c>
      <c r="E87" s="385">
        <f t="shared" si="32"/>
        <v>3240</v>
      </c>
      <c r="F87" s="368">
        <v>3240</v>
      </c>
      <c r="G87" s="368"/>
      <c r="H87" s="385">
        <f t="shared" si="33"/>
        <v>2050</v>
      </c>
      <c r="I87" s="371">
        <v>448</v>
      </c>
      <c r="J87" s="371">
        <v>303</v>
      </c>
      <c r="K87" s="371">
        <v>260</v>
      </c>
      <c r="L87" s="371">
        <v>352</v>
      </c>
      <c r="M87" s="371">
        <v>289</v>
      </c>
      <c r="N87" s="371">
        <v>398</v>
      </c>
      <c r="O87" s="370"/>
      <c r="P87" s="386">
        <f t="shared" si="34"/>
        <v>1130</v>
      </c>
      <c r="Q87" s="371">
        <v>72</v>
      </c>
      <c r="R87" s="371">
        <v>72</v>
      </c>
      <c r="S87" s="371">
        <v>88</v>
      </c>
      <c r="T87" s="371">
        <v>194</v>
      </c>
      <c r="U87" s="371">
        <v>83</v>
      </c>
      <c r="V87" s="371">
        <v>109</v>
      </c>
      <c r="W87" s="371">
        <v>90</v>
      </c>
      <c r="X87" s="371">
        <v>141</v>
      </c>
      <c r="Y87" s="371">
        <v>37</v>
      </c>
      <c r="Z87" s="371">
        <v>58</v>
      </c>
      <c r="AA87" s="371">
        <v>30</v>
      </c>
      <c r="AB87" s="371">
        <v>57</v>
      </c>
      <c r="AC87" s="371">
        <v>58</v>
      </c>
      <c r="AD87" s="371">
        <v>41</v>
      </c>
      <c r="AE87" s="371"/>
      <c r="AF87" s="385">
        <f t="shared" si="35"/>
        <v>60</v>
      </c>
      <c r="AG87" s="371">
        <v>30</v>
      </c>
      <c r="AH87" s="371">
        <v>30</v>
      </c>
      <c r="AI87" s="387">
        <f t="shared" si="25"/>
        <v>0</v>
      </c>
    </row>
    <row r="88" spans="1:35" s="393" customFormat="1" ht="24" customHeight="1">
      <c r="A88" s="397" t="s">
        <v>116</v>
      </c>
      <c r="B88" s="394" t="s">
        <v>247</v>
      </c>
      <c r="C88" s="395" t="s">
        <v>677</v>
      </c>
      <c r="D88" s="396">
        <v>1</v>
      </c>
      <c r="E88" s="385">
        <f t="shared" si="32"/>
        <v>84228</v>
      </c>
      <c r="F88" s="368"/>
      <c r="G88" s="368">
        <v>84228</v>
      </c>
      <c r="H88" s="385">
        <f t="shared" si="33"/>
        <v>36767</v>
      </c>
      <c r="I88" s="371">
        <v>6148</v>
      </c>
      <c r="J88" s="371">
        <v>4412</v>
      </c>
      <c r="K88" s="371">
        <v>6611</v>
      </c>
      <c r="L88" s="371">
        <v>4174</v>
      </c>
      <c r="M88" s="371">
        <v>5565</v>
      </c>
      <c r="N88" s="371">
        <v>9857</v>
      </c>
      <c r="O88" s="370"/>
      <c r="P88" s="386">
        <f t="shared" si="34"/>
        <v>46476</v>
      </c>
      <c r="Q88" s="371">
        <v>2823</v>
      </c>
      <c r="R88" s="371">
        <v>1437</v>
      </c>
      <c r="S88" s="371">
        <v>4702</v>
      </c>
      <c r="T88" s="371">
        <v>4774</v>
      </c>
      <c r="U88" s="371">
        <v>5178</v>
      </c>
      <c r="V88" s="371">
        <v>4850</v>
      </c>
      <c r="W88" s="371">
        <v>5763</v>
      </c>
      <c r="X88" s="371">
        <v>4082</v>
      </c>
      <c r="Y88" s="371">
        <v>3832</v>
      </c>
      <c r="Z88" s="371">
        <v>4202</v>
      </c>
      <c r="AA88" s="371">
        <v>1747</v>
      </c>
      <c r="AB88" s="371">
        <v>833</v>
      </c>
      <c r="AC88" s="371">
        <v>147</v>
      </c>
      <c r="AD88" s="371">
        <v>2106</v>
      </c>
      <c r="AE88" s="371"/>
      <c r="AF88" s="385">
        <f t="shared" si="35"/>
        <v>985</v>
      </c>
      <c r="AG88" s="371">
        <v>735</v>
      </c>
      <c r="AH88" s="371">
        <v>250</v>
      </c>
      <c r="AI88" s="387">
        <f t="shared" si="25"/>
        <v>0</v>
      </c>
    </row>
    <row r="89" spans="1:35" s="393" customFormat="1" ht="28.5">
      <c r="A89" s="397" t="s">
        <v>116</v>
      </c>
      <c r="B89" s="394" t="s">
        <v>247</v>
      </c>
      <c r="C89" s="395" t="s">
        <v>518</v>
      </c>
      <c r="D89" s="396">
        <v>1</v>
      </c>
      <c r="E89" s="385">
        <f t="shared" si="32"/>
        <v>225</v>
      </c>
      <c r="F89" s="368"/>
      <c r="G89" s="368">
        <v>225</v>
      </c>
      <c r="H89" s="385">
        <f t="shared" si="33"/>
        <v>0</v>
      </c>
      <c r="I89" s="371"/>
      <c r="J89" s="371"/>
      <c r="K89" s="371"/>
      <c r="L89" s="371"/>
      <c r="M89" s="371"/>
      <c r="N89" s="371"/>
      <c r="O89" s="370"/>
      <c r="P89" s="386">
        <f t="shared" si="34"/>
        <v>225</v>
      </c>
      <c r="Q89" s="371"/>
      <c r="R89" s="371"/>
      <c r="S89" s="371"/>
      <c r="T89" s="371"/>
      <c r="U89" s="371"/>
      <c r="V89" s="371"/>
      <c r="W89" s="371"/>
      <c r="X89" s="371"/>
      <c r="Y89" s="371"/>
      <c r="Z89" s="371"/>
      <c r="AA89" s="371">
        <v>225</v>
      </c>
      <c r="AB89" s="371"/>
      <c r="AC89" s="371"/>
      <c r="AD89" s="371"/>
      <c r="AE89" s="371"/>
      <c r="AF89" s="385">
        <f t="shared" si="35"/>
        <v>0</v>
      </c>
      <c r="AG89" s="371"/>
      <c r="AH89" s="371"/>
      <c r="AI89" s="387">
        <f t="shared" si="25"/>
        <v>0</v>
      </c>
    </row>
    <row r="90" spans="1:35" s="393" customFormat="1" ht="28.5">
      <c r="A90" s="397" t="s">
        <v>116</v>
      </c>
      <c r="B90" s="394" t="s">
        <v>247</v>
      </c>
      <c r="C90" s="395" t="s">
        <v>870</v>
      </c>
      <c r="D90" s="396">
        <v>1</v>
      </c>
      <c r="E90" s="385">
        <f t="shared" si="32"/>
        <v>400</v>
      </c>
      <c r="F90" s="368">
        <v>400</v>
      </c>
      <c r="G90" s="368"/>
      <c r="H90" s="385">
        <f t="shared" si="33"/>
        <v>0</v>
      </c>
      <c r="I90" s="371"/>
      <c r="J90" s="371"/>
      <c r="K90" s="371"/>
      <c r="L90" s="371"/>
      <c r="M90" s="371"/>
      <c r="N90" s="371"/>
      <c r="O90" s="370"/>
      <c r="P90" s="386">
        <f t="shared" si="34"/>
        <v>400</v>
      </c>
      <c r="Q90" s="371"/>
      <c r="R90" s="371"/>
      <c r="S90" s="371"/>
      <c r="T90" s="371"/>
      <c r="U90" s="371"/>
      <c r="V90" s="371"/>
      <c r="W90" s="371"/>
      <c r="X90" s="371"/>
      <c r="Y90" s="371">
        <v>400</v>
      </c>
      <c r="Z90" s="371"/>
      <c r="AA90" s="371"/>
      <c r="AB90" s="371"/>
      <c r="AC90" s="371"/>
      <c r="AD90" s="371"/>
      <c r="AE90" s="371"/>
      <c r="AF90" s="385">
        <f t="shared" si="35"/>
        <v>0</v>
      </c>
      <c r="AG90" s="371"/>
      <c r="AH90" s="371"/>
      <c r="AI90" s="387">
        <f t="shared" si="25"/>
        <v>0</v>
      </c>
    </row>
    <row r="91" spans="1:35" s="393" customFormat="1" ht="29.1" customHeight="1">
      <c r="A91" s="397" t="s">
        <v>116</v>
      </c>
      <c r="B91" s="394" t="s">
        <v>247</v>
      </c>
      <c r="C91" s="395" t="s">
        <v>679</v>
      </c>
      <c r="D91" s="396">
        <v>1</v>
      </c>
      <c r="E91" s="385">
        <f t="shared" si="32"/>
        <v>38</v>
      </c>
      <c r="F91" s="368"/>
      <c r="G91" s="368">
        <v>38</v>
      </c>
      <c r="H91" s="385">
        <f t="shared" si="33"/>
        <v>0</v>
      </c>
      <c r="I91" s="371"/>
      <c r="J91" s="371"/>
      <c r="K91" s="371"/>
      <c r="L91" s="371"/>
      <c r="M91" s="371"/>
      <c r="N91" s="371"/>
      <c r="O91" s="370"/>
      <c r="P91" s="386">
        <f t="shared" si="34"/>
        <v>38</v>
      </c>
      <c r="Q91" s="371"/>
      <c r="R91" s="371"/>
      <c r="S91" s="371"/>
      <c r="T91" s="371"/>
      <c r="U91" s="371"/>
      <c r="V91" s="371"/>
      <c r="W91" s="371"/>
      <c r="X91" s="371"/>
      <c r="Y91" s="371"/>
      <c r="Z91" s="371"/>
      <c r="AA91" s="371">
        <v>38</v>
      </c>
      <c r="AB91" s="371"/>
      <c r="AC91" s="371"/>
      <c r="AD91" s="371"/>
      <c r="AE91" s="371"/>
      <c r="AF91" s="385">
        <f t="shared" si="35"/>
        <v>0</v>
      </c>
      <c r="AG91" s="371"/>
      <c r="AH91" s="371"/>
      <c r="AI91" s="387">
        <f t="shared" si="25"/>
        <v>0</v>
      </c>
    </row>
    <row r="92" spans="1:35" s="393" customFormat="1" ht="33" customHeight="1">
      <c r="A92" s="397" t="s">
        <v>116</v>
      </c>
      <c r="B92" s="394" t="s">
        <v>247</v>
      </c>
      <c r="C92" s="395" t="s">
        <v>871</v>
      </c>
      <c r="D92" s="396">
        <v>1</v>
      </c>
      <c r="E92" s="385">
        <f t="shared" si="32"/>
        <v>645</v>
      </c>
      <c r="F92" s="368"/>
      <c r="G92" s="368">
        <v>645</v>
      </c>
      <c r="H92" s="385">
        <f t="shared" si="33"/>
        <v>0</v>
      </c>
      <c r="I92" s="371"/>
      <c r="J92" s="371"/>
      <c r="K92" s="371"/>
      <c r="L92" s="371"/>
      <c r="M92" s="371"/>
      <c r="N92" s="371"/>
      <c r="O92" s="370"/>
      <c r="P92" s="386">
        <f t="shared" si="34"/>
        <v>645</v>
      </c>
      <c r="Q92" s="371"/>
      <c r="R92" s="371"/>
      <c r="S92" s="371"/>
      <c r="T92" s="371"/>
      <c r="U92" s="371"/>
      <c r="V92" s="371"/>
      <c r="W92" s="371"/>
      <c r="X92" s="371"/>
      <c r="Y92" s="371"/>
      <c r="Z92" s="371">
        <v>645</v>
      </c>
      <c r="AA92" s="371"/>
      <c r="AB92" s="371"/>
      <c r="AC92" s="371"/>
      <c r="AD92" s="371"/>
      <c r="AE92" s="371"/>
      <c r="AF92" s="385">
        <f t="shared" si="35"/>
        <v>0</v>
      </c>
      <c r="AG92" s="371"/>
      <c r="AH92" s="371"/>
      <c r="AI92" s="387">
        <f t="shared" si="25"/>
        <v>0</v>
      </c>
    </row>
    <row r="93" spans="1:35" s="393" customFormat="1" ht="24" customHeight="1">
      <c r="A93" s="397" t="s">
        <v>116</v>
      </c>
      <c r="B93" s="394" t="s">
        <v>247</v>
      </c>
      <c r="C93" s="395" t="s">
        <v>872</v>
      </c>
      <c r="D93" s="396">
        <v>1</v>
      </c>
      <c r="E93" s="385">
        <f t="shared" si="32"/>
        <v>34574</v>
      </c>
      <c r="F93" s="368">
        <v>5401</v>
      </c>
      <c r="G93" s="368">
        <v>29173</v>
      </c>
      <c r="H93" s="385">
        <f t="shared" si="33"/>
        <v>8893</v>
      </c>
      <c r="I93" s="371"/>
      <c r="J93" s="371"/>
      <c r="K93" s="371"/>
      <c r="L93" s="371"/>
      <c r="M93" s="371"/>
      <c r="N93" s="371"/>
      <c r="O93" s="370">
        <v>8893</v>
      </c>
      <c r="P93" s="386">
        <f t="shared" si="34"/>
        <v>25681</v>
      </c>
      <c r="Q93" s="371"/>
      <c r="R93" s="371"/>
      <c r="S93" s="371"/>
      <c r="T93" s="371"/>
      <c r="U93" s="371"/>
      <c r="V93" s="371"/>
      <c r="W93" s="371"/>
      <c r="X93" s="371"/>
      <c r="Y93" s="371"/>
      <c r="Z93" s="371"/>
      <c r="AA93" s="371"/>
      <c r="AB93" s="371"/>
      <c r="AC93" s="371"/>
      <c r="AD93" s="371"/>
      <c r="AE93" s="371">
        <v>25681</v>
      </c>
      <c r="AF93" s="385">
        <f t="shared" si="35"/>
        <v>0</v>
      </c>
      <c r="AG93" s="371"/>
      <c r="AH93" s="371"/>
      <c r="AI93" s="387">
        <f t="shared" si="25"/>
        <v>0</v>
      </c>
    </row>
    <row r="94" spans="1:35" s="393" customFormat="1" ht="32.450000000000003" customHeight="1">
      <c r="A94" s="397" t="s">
        <v>116</v>
      </c>
      <c r="B94" s="394" t="s">
        <v>247</v>
      </c>
      <c r="C94" s="395" t="s">
        <v>873</v>
      </c>
      <c r="D94" s="396">
        <v>1</v>
      </c>
      <c r="E94" s="385">
        <f t="shared" si="32"/>
        <v>1500</v>
      </c>
      <c r="F94" s="368"/>
      <c r="G94" s="368">
        <v>1500</v>
      </c>
      <c r="H94" s="385">
        <f t="shared" si="33"/>
        <v>500</v>
      </c>
      <c r="I94" s="371"/>
      <c r="J94" s="371"/>
      <c r="K94" s="371"/>
      <c r="L94" s="371"/>
      <c r="M94" s="371"/>
      <c r="N94" s="371"/>
      <c r="O94" s="370">
        <v>500</v>
      </c>
      <c r="P94" s="386">
        <f t="shared" si="34"/>
        <v>1000</v>
      </c>
      <c r="Q94" s="371"/>
      <c r="R94" s="371"/>
      <c r="S94" s="371"/>
      <c r="T94" s="371"/>
      <c r="U94" s="371"/>
      <c r="V94" s="371"/>
      <c r="W94" s="371"/>
      <c r="X94" s="371"/>
      <c r="Y94" s="371"/>
      <c r="Z94" s="371"/>
      <c r="AA94" s="371"/>
      <c r="AB94" s="371"/>
      <c r="AC94" s="371"/>
      <c r="AD94" s="371"/>
      <c r="AE94" s="371">
        <v>1000</v>
      </c>
      <c r="AF94" s="385">
        <f t="shared" si="35"/>
        <v>0</v>
      </c>
      <c r="AG94" s="371"/>
      <c r="AH94" s="371"/>
      <c r="AI94" s="387">
        <f t="shared" si="25"/>
        <v>0</v>
      </c>
    </row>
    <row r="95" spans="1:35" s="393" customFormat="1" ht="31.5" customHeight="1">
      <c r="A95" s="397" t="s">
        <v>116</v>
      </c>
      <c r="B95" s="394" t="s">
        <v>247</v>
      </c>
      <c r="C95" s="395" t="s">
        <v>522</v>
      </c>
      <c r="D95" s="396">
        <v>1</v>
      </c>
      <c r="E95" s="385">
        <f t="shared" si="32"/>
        <v>150</v>
      </c>
      <c r="F95" s="368">
        <v>150</v>
      </c>
      <c r="G95" s="368"/>
      <c r="H95" s="385">
        <f t="shared" si="33"/>
        <v>0</v>
      </c>
      <c r="I95" s="371"/>
      <c r="J95" s="371"/>
      <c r="K95" s="371"/>
      <c r="L95" s="371"/>
      <c r="M95" s="371"/>
      <c r="N95" s="371"/>
      <c r="O95" s="370"/>
      <c r="P95" s="386">
        <f t="shared" si="34"/>
        <v>0</v>
      </c>
      <c r="Q95" s="371"/>
      <c r="R95" s="371"/>
      <c r="S95" s="371"/>
      <c r="T95" s="371"/>
      <c r="U95" s="371"/>
      <c r="V95" s="371"/>
      <c r="W95" s="371"/>
      <c r="X95" s="371"/>
      <c r="Y95" s="371"/>
      <c r="Z95" s="371"/>
      <c r="AA95" s="371"/>
      <c r="AB95" s="371"/>
      <c r="AC95" s="371"/>
      <c r="AD95" s="371"/>
      <c r="AE95" s="371"/>
      <c r="AF95" s="385">
        <f t="shared" si="35"/>
        <v>150</v>
      </c>
      <c r="AG95" s="371"/>
      <c r="AH95" s="371">
        <v>150</v>
      </c>
      <c r="AI95" s="387">
        <f t="shared" si="25"/>
        <v>0</v>
      </c>
    </row>
    <row r="96" spans="1:35" s="410" customFormat="1" ht="24" customHeight="1">
      <c r="A96" s="405" t="s">
        <v>881</v>
      </c>
      <c r="B96" s="406"/>
      <c r="C96" s="407"/>
      <c r="D96" s="408"/>
      <c r="E96" s="409">
        <f t="shared" ref="E96:AH96" si="36">SUM(E97:E100)</f>
        <v>516080</v>
      </c>
      <c r="F96" s="409">
        <f t="shared" si="36"/>
        <v>499857</v>
      </c>
      <c r="G96" s="409">
        <f t="shared" si="36"/>
        <v>16223</v>
      </c>
      <c r="H96" s="409">
        <f t="shared" si="36"/>
        <v>328617</v>
      </c>
      <c r="I96" s="409">
        <f t="shared" si="36"/>
        <v>69647</v>
      </c>
      <c r="J96" s="409">
        <f t="shared" si="36"/>
        <v>48586</v>
      </c>
      <c r="K96" s="409">
        <f t="shared" si="36"/>
        <v>42165</v>
      </c>
      <c r="L96" s="409">
        <f t="shared" si="36"/>
        <v>68070</v>
      </c>
      <c r="M96" s="409">
        <f t="shared" si="36"/>
        <v>34633</v>
      </c>
      <c r="N96" s="409">
        <f t="shared" si="36"/>
        <v>64986</v>
      </c>
      <c r="O96" s="409">
        <f t="shared" si="36"/>
        <v>530</v>
      </c>
      <c r="P96" s="409">
        <f t="shared" si="36"/>
        <v>183566</v>
      </c>
      <c r="Q96" s="409">
        <f t="shared" si="36"/>
        <v>11710</v>
      </c>
      <c r="R96" s="409">
        <f t="shared" si="36"/>
        <v>11847</v>
      </c>
      <c r="S96" s="409">
        <f t="shared" si="36"/>
        <v>10976</v>
      </c>
      <c r="T96" s="409">
        <f t="shared" si="36"/>
        <v>37442</v>
      </c>
      <c r="U96" s="409">
        <f t="shared" si="36"/>
        <v>11025</v>
      </c>
      <c r="V96" s="409">
        <f t="shared" si="36"/>
        <v>15946</v>
      </c>
      <c r="W96" s="409">
        <f t="shared" si="36"/>
        <v>12769</v>
      </c>
      <c r="X96" s="409">
        <f t="shared" si="36"/>
        <v>21630</v>
      </c>
      <c r="Y96" s="409">
        <f t="shared" si="36"/>
        <v>9889</v>
      </c>
      <c r="Z96" s="409">
        <f t="shared" si="36"/>
        <v>9958</v>
      </c>
      <c r="AA96" s="409">
        <f t="shared" si="36"/>
        <v>3735</v>
      </c>
      <c r="AB96" s="409">
        <f t="shared" si="36"/>
        <v>8519</v>
      </c>
      <c r="AC96" s="409">
        <f t="shared" si="36"/>
        <v>11233</v>
      </c>
      <c r="AD96" s="409">
        <f t="shared" si="36"/>
        <v>6598</v>
      </c>
      <c r="AE96" s="409">
        <f t="shared" si="36"/>
        <v>289</v>
      </c>
      <c r="AF96" s="409">
        <f t="shared" si="36"/>
        <v>3897</v>
      </c>
      <c r="AG96" s="409">
        <f t="shared" si="36"/>
        <v>2678</v>
      </c>
      <c r="AH96" s="409">
        <f t="shared" si="36"/>
        <v>1219</v>
      </c>
      <c r="AI96" s="387">
        <f t="shared" si="25"/>
        <v>0</v>
      </c>
    </row>
    <row r="97" spans="1:35" s="393" customFormat="1" ht="24" customHeight="1">
      <c r="A97" s="397" t="s">
        <v>116</v>
      </c>
      <c r="B97" s="394" t="s">
        <v>89</v>
      </c>
      <c r="C97" s="395" t="s">
        <v>254</v>
      </c>
      <c r="D97" s="396">
        <v>1</v>
      </c>
      <c r="E97" s="385">
        <f t="shared" ref="E97:E102" si="37">SUM(H97,P97,AF97)</f>
        <v>336110</v>
      </c>
      <c r="F97" s="368">
        <v>336110</v>
      </c>
      <c r="G97" s="368"/>
      <c r="H97" s="385">
        <f t="shared" ref="H97:H102" si="38">SUM(I97:O97)</f>
        <v>232003</v>
      </c>
      <c r="I97" s="371">
        <v>47919</v>
      </c>
      <c r="J97" s="371">
        <v>30050</v>
      </c>
      <c r="K97" s="371">
        <v>36800</v>
      </c>
      <c r="L97" s="371">
        <v>48890</v>
      </c>
      <c r="M97" s="371">
        <v>22144</v>
      </c>
      <c r="N97" s="371">
        <v>46200</v>
      </c>
      <c r="O97" s="370"/>
      <c r="P97" s="386">
        <f t="shared" ref="P97:P102" si="39">SUM(Q97:AE97)</f>
        <v>103127</v>
      </c>
      <c r="Q97" s="371">
        <v>5835</v>
      </c>
      <c r="R97" s="371">
        <v>9500</v>
      </c>
      <c r="S97" s="371">
        <v>6815</v>
      </c>
      <c r="T97" s="371">
        <v>17708</v>
      </c>
      <c r="U97" s="371">
        <v>5440</v>
      </c>
      <c r="V97" s="371">
        <v>9600</v>
      </c>
      <c r="W97" s="371">
        <v>5505</v>
      </c>
      <c r="X97" s="371">
        <v>15300</v>
      </c>
      <c r="Y97" s="371">
        <v>4700</v>
      </c>
      <c r="Z97" s="371">
        <v>3728</v>
      </c>
      <c r="AA97" s="371">
        <v>960</v>
      </c>
      <c r="AB97" s="371">
        <v>5400</v>
      </c>
      <c r="AC97" s="371">
        <v>8660</v>
      </c>
      <c r="AD97" s="371">
        <v>3976</v>
      </c>
      <c r="AE97" s="371"/>
      <c r="AF97" s="385">
        <f t="shared" ref="AF97:AF102" si="40">SUM(AG97:AH97)</f>
        <v>980</v>
      </c>
      <c r="AG97" s="371">
        <v>910</v>
      </c>
      <c r="AH97" s="371">
        <v>70</v>
      </c>
      <c r="AI97" s="387">
        <f t="shared" si="25"/>
        <v>0</v>
      </c>
    </row>
    <row r="98" spans="1:35" s="393" customFormat="1" ht="24" customHeight="1">
      <c r="A98" s="397" t="s">
        <v>116</v>
      </c>
      <c r="B98" s="394" t="s">
        <v>89</v>
      </c>
      <c r="C98" s="395" t="s">
        <v>255</v>
      </c>
      <c r="D98" s="396">
        <v>1</v>
      </c>
      <c r="E98" s="385">
        <f t="shared" si="37"/>
        <v>35100</v>
      </c>
      <c r="F98" s="368">
        <v>18877</v>
      </c>
      <c r="G98" s="368">
        <v>16223</v>
      </c>
      <c r="H98" s="385">
        <f t="shared" si="38"/>
        <v>14326</v>
      </c>
      <c r="I98" s="371">
        <v>4630</v>
      </c>
      <c r="J98" s="371">
        <v>1307</v>
      </c>
      <c r="K98" s="371"/>
      <c r="L98" s="371">
        <v>1126</v>
      </c>
      <c r="M98" s="371">
        <v>1845</v>
      </c>
      <c r="N98" s="371">
        <v>5418</v>
      </c>
      <c r="O98" s="370"/>
      <c r="P98" s="386">
        <f t="shared" si="39"/>
        <v>18626</v>
      </c>
      <c r="Q98" s="371">
        <v>1190</v>
      </c>
      <c r="R98" s="371"/>
      <c r="S98" s="371"/>
      <c r="T98" s="371">
        <v>10392</v>
      </c>
      <c r="U98" s="371"/>
      <c r="V98" s="371"/>
      <c r="W98" s="371">
        <v>1694</v>
      </c>
      <c r="X98" s="371"/>
      <c r="Y98" s="371">
        <v>2043</v>
      </c>
      <c r="Z98" s="371">
        <v>1220</v>
      </c>
      <c r="AA98" s="371">
        <v>1233</v>
      </c>
      <c r="AB98" s="371"/>
      <c r="AC98" s="371">
        <v>854</v>
      </c>
      <c r="AD98" s="371"/>
      <c r="AE98" s="371"/>
      <c r="AF98" s="385">
        <f t="shared" si="40"/>
        <v>2148</v>
      </c>
      <c r="AG98" s="371">
        <v>1312</v>
      </c>
      <c r="AH98" s="371">
        <v>836</v>
      </c>
      <c r="AI98" s="387">
        <f t="shared" si="25"/>
        <v>0</v>
      </c>
    </row>
    <row r="99" spans="1:35" s="393" customFormat="1" ht="26.45" customHeight="1">
      <c r="A99" s="397" t="s">
        <v>116</v>
      </c>
      <c r="B99" s="394" t="s">
        <v>89</v>
      </c>
      <c r="C99" s="395" t="s">
        <v>256</v>
      </c>
      <c r="D99" s="396">
        <v>1</v>
      </c>
      <c r="E99" s="385">
        <f t="shared" si="37"/>
        <v>68160</v>
      </c>
      <c r="F99" s="368">
        <v>68160</v>
      </c>
      <c r="G99" s="368"/>
      <c r="H99" s="385">
        <f t="shared" si="38"/>
        <v>26504</v>
      </c>
      <c r="I99" s="371">
        <v>5692</v>
      </c>
      <c r="J99" s="371">
        <v>4530</v>
      </c>
      <c r="K99" s="371">
        <v>1158</v>
      </c>
      <c r="L99" s="371">
        <v>5825</v>
      </c>
      <c r="M99" s="371">
        <v>3319</v>
      </c>
      <c r="N99" s="371">
        <v>5450</v>
      </c>
      <c r="O99" s="370">
        <v>530</v>
      </c>
      <c r="P99" s="386">
        <f t="shared" si="39"/>
        <v>41506</v>
      </c>
      <c r="Q99" s="371">
        <v>3201</v>
      </c>
      <c r="R99" s="371">
        <v>1794</v>
      </c>
      <c r="S99" s="371">
        <v>2702</v>
      </c>
      <c r="T99" s="371">
        <v>5120</v>
      </c>
      <c r="U99" s="371">
        <v>4557</v>
      </c>
      <c r="V99" s="371">
        <v>4879</v>
      </c>
      <c r="W99" s="371">
        <v>4062</v>
      </c>
      <c r="X99" s="371">
        <v>4072</v>
      </c>
      <c r="Y99" s="371">
        <v>1951</v>
      </c>
      <c r="Z99" s="371">
        <v>3326</v>
      </c>
      <c r="AA99" s="371">
        <v>806</v>
      </c>
      <c r="AB99" s="371">
        <v>2155</v>
      </c>
      <c r="AC99" s="371">
        <v>941</v>
      </c>
      <c r="AD99" s="371">
        <v>1651</v>
      </c>
      <c r="AE99" s="371">
        <v>289</v>
      </c>
      <c r="AF99" s="385">
        <f t="shared" si="40"/>
        <v>150</v>
      </c>
      <c r="AG99" s="371">
        <v>100</v>
      </c>
      <c r="AH99" s="371">
        <v>50</v>
      </c>
      <c r="AI99" s="387">
        <f t="shared" si="25"/>
        <v>0</v>
      </c>
    </row>
    <row r="100" spans="1:35" s="393" customFormat="1" ht="35.1" customHeight="1">
      <c r="A100" s="397" t="s">
        <v>116</v>
      </c>
      <c r="B100" s="394" t="s">
        <v>89</v>
      </c>
      <c r="C100" s="395" t="s">
        <v>257</v>
      </c>
      <c r="D100" s="396">
        <v>1</v>
      </c>
      <c r="E100" s="385">
        <f t="shared" si="37"/>
        <v>76710</v>
      </c>
      <c r="F100" s="368">
        <v>76710</v>
      </c>
      <c r="G100" s="368"/>
      <c r="H100" s="385">
        <f t="shared" si="38"/>
        <v>55784</v>
      </c>
      <c r="I100" s="371">
        <v>11406</v>
      </c>
      <c r="J100" s="371">
        <v>12699</v>
      </c>
      <c r="K100" s="371">
        <v>4207</v>
      </c>
      <c r="L100" s="371">
        <v>12229</v>
      </c>
      <c r="M100" s="371">
        <v>7325</v>
      </c>
      <c r="N100" s="371">
        <v>7918</v>
      </c>
      <c r="O100" s="370"/>
      <c r="P100" s="386">
        <f t="shared" si="39"/>
        <v>20307</v>
      </c>
      <c r="Q100" s="371">
        <v>1484</v>
      </c>
      <c r="R100" s="371">
        <v>553</v>
      </c>
      <c r="S100" s="371">
        <v>1459</v>
      </c>
      <c r="T100" s="371">
        <v>4222</v>
      </c>
      <c r="U100" s="371">
        <v>1028</v>
      </c>
      <c r="V100" s="371">
        <v>1467</v>
      </c>
      <c r="W100" s="371">
        <v>1508</v>
      </c>
      <c r="X100" s="371">
        <v>2258</v>
      </c>
      <c r="Y100" s="371">
        <v>1195</v>
      </c>
      <c r="Z100" s="371">
        <v>1684</v>
      </c>
      <c r="AA100" s="371">
        <v>736</v>
      </c>
      <c r="AB100" s="371">
        <v>964</v>
      </c>
      <c r="AC100" s="371">
        <v>778</v>
      </c>
      <c r="AD100" s="371">
        <v>971</v>
      </c>
      <c r="AE100" s="371"/>
      <c r="AF100" s="385">
        <f t="shared" si="40"/>
        <v>619</v>
      </c>
      <c r="AG100" s="371">
        <v>356</v>
      </c>
      <c r="AH100" s="371">
        <v>263</v>
      </c>
      <c r="AI100" s="387">
        <f t="shared" si="25"/>
        <v>0</v>
      </c>
    </row>
    <row r="101" spans="1:35" s="418" customFormat="1" ht="32.1" customHeight="1">
      <c r="A101" s="411" t="s">
        <v>116</v>
      </c>
      <c r="B101" s="412" t="s">
        <v>874</v>
      </c>
      <c r="C101" s="413" t="s">
        <v>875</v>
      </c>
      <c r="D101" s="414">
        <v>3</v>
      </c>
      <c r="E101" s="415">
        <f t="shared" si="37"/>
        <v>78500</v>
      </c>
      <c r="F101" s="415"/>
      <c r="G101" s="415">
        <v>78500</v>
      </c>
      <c r="H101" s="415">
        <f t="shared" si="38"/>
        <v>34300</v>
      </c>
      <c r="I101" s="415"/>
      <c r="J101" s="415"/>
      <c r="K101" s="415">
        <v>8300</v>
      </c>
      <c r="L101" s="415"/>
      <c r="M101" s="415">
        <v>9000</v>
      </c>
      <c r="N101" s="415">
        <v>17000</v>
      </c>
      <c r="O101" s="416"/>
      <c r="P101" s="416">
        <f t="shared" si="39"/>
        <v>44200</v>
      </c>
      <c r="Q101" s="415">
        <v>7200</v>
      </c>
      <c r="R101" s="415"/>
      <c r="S101" s="415"/>
      <c r="T101" s="415"/>
      <c r="U101" s="415"/>
      <c r="V101" s="415"/>
      <c r="W101" s="415"/>
      <c r="X101" s="415"/>
      <c r="Y101" s="415">
        <v>20000</v>
      </c>
      <c r="Z101" s="415"/>
      <c r="AA101" s="415">
        <v>17000</v>
      </c>
      <c r="AB101" s="415"/>
      <c r="AC101" s="415"/>
      <c r="AD101" s="415"/>
      <c r="AE101" s="415"/>
      <c r="AF101" s="415">
        <f t="shared" si="40"/>
        <v>0</v>
      </c>
      <c r="AG101" s="415"/>
      <c r="AH101" s="415"/>
      <c r="AI101" s="387">
        <f t="shared" si="25"/>
        <v>0</v>
      </c>
    </row>
    <row r="102" spans="1:35" s="418" customFormat="1" ht="36.6" customHeight="1">
      <c r="A102" s="411" t="s">
        <v>116</v>
      </c>
      <c r="B102" s="412" t="s">
        <v>876</v>
      </c>
      <c r="C102" s="413" t="s">
        <v>681</v>
      </c>
      <c r="D102" s="414">
        <v>1</v>
      </c>
      <c r="E102" s="415">
        <f t="shared" si="37"/>
        <v>3505</v>
      </c>
      <c r="F102" s="415">
        <v>3505</v>
      </c>
      <c r="G102" s="415"/>
      <c r="H102" s="415">
        <f t="shared" si="38"/>
        <v>1850</v>
      </c>
      <c r="I102" s="415">
        <v>370</v>
      </c>
      <c r="J102" s="415">
        <v>330</v>
      </c>
      <c r="K102" s="415">
        <v>250</v>
      </c>
      <c r="L102" s="415">
        <v>320</v>
      </c>
      <c r="M102" s="415">
        <v>240</v>
      </c>
      <c r="N102" s="415">
        <v>340</v>
      </c>
      <c r="O102" s="416"/>
      <c r="P102" s="416">
        <f t="shared" si="39"/>
        <v>1555</v>
      </c>
      <c r="Q102" s="415">
        <v>100</v>
      </c>
      <c r="R102" s="415">
        <v>120</v>
      </c>
      <c r="S102" s="415">
        <v>120</v>
      </c>
      <c r="T102" s="415">
        <v>160</v>
      </c>
      <c r="U102" s="415">
        <v>120</v>
      </c>
      <c r="V102" s="415">
        <v>130</v>
      </c>
      <c r="W102" s="415">
        <v>120</v>
      </c>
      <c r="X102" s="415">
        <v>150</v>
      </c>
      <c r="Y102" s="415">
        <v>70</v>
      </c>
      <c r="Z102" s="415">
        <v>100</v>
      </c>
      <c r="AA102" s="415">
        <v>60</v>
      </c>
      <c r="AB102" s="415">
        <v>120</v>
      </c>
      <c r="AC102" s="415">
        <v>125</v>
      </c>
      <c r="AD102" s="415">
        <v>60</v>
      </c>
      <c r="AE102" s="415"/>
      <c r="AF102" s="415">
        <f t="shared" si="40"/>
        <v>100</v>
      </c>
      <c r="AG102" s="415">
        <v>60</v>
      </c>
      <c r="AH102" s="415">
        <v>40</v>
      </c>
      <c r="AI102" s="387">
        <f t="shared" si="25"/>
        <v>0</v>
      </c>
    </row>
    <row r="103" spans="1:35" s="404" customFormat="1" ht="30.95" customHeight="1">
      <c r="A103" s="398" t="s">
        <v>1098</v>
      </c>
      <c r="B103" s="399"/>
      <c r="C103" s="400"/>
      <c r="D103" s="401"/>
      <c r="E103" s="402">
        <f t="shared" ref="E103:AH103" si="41">E104+E105+E108</f>
        <v>12949936</v>
      </c>
      <c r="F103" s="402">
        <f t="shared" si="41"/>
        <v>12949936</v>
      </c>
      <c r="G103" s="402">
        <f t="shared" si="41"/>
        <v>0</v>
      </c>
      <c r="H103" s="402">
        <f t="shared" si="41"/>
        <v>8183342</v>
      </c>
      <c r="I103" s="402">
        <f t="shared" si="41"/>
        <v>2322314</v>
      </c>
      <c r="J103" s="402">
        <f t="shared" si="41"/>
        <v>1451474</v>
      </c>
      <c r="K103" s="402">
        <f t="shared" si="41"/>
        <v>1094979</v>
      </c>
      <c r="L103" s="402">
        <f t="shared" si="41"/>
        <v>1062174</v>
      </c>
      <c r="M103" s="402">
        <f t="shared" si="41"/>
        <v>987537</v>
      </c>
      <c r="N103" s="402">
        <f t="shared" si="41"/>
        <v>1264864</v>
      </c>
      <c r="O103" s="402">
        <f t="shared" si="41"/>
        <v>0</v>
      </c>
      <c r="P103" s="402">
        <f t="shared" si="41"/>
        <v>4653418</v>
      </c>
      <c r="Q103" s="402">
        <f t="shared" si="41"/>
        <v>199942</v>
      </c>
      <c r="R103" s="402">
        <f t="shared" si="41"/>
        <v>266024</v>
      </c>
      <c r="S103" s="402">
        <f t="shared" si="41"/>
        <v>337696</v>
      </c>
      <c r="T103" s="402">
        <f t="shared" si="41"/>
        <v>644644</v>
      </c>
      <c r="U103" s="402">
        <f t="shared" si="41"/>
        <v>347596</v>
      </c>
      <c r="V103" s="402">
        <f t="shared" si="41"/>
        <v>466517</v>
      </c>
      <c r="W103" s="402">
        <f t="shared" si="41"/>
        <v>332202</v>
      </c>
      <c r="X103" s="402">
        <f t="shared" si="41"/>
        <v>554308</v>
      </c>
      <c r="Y103" s="402">
        <f t="shared" si="41"/>
        <v>222587</v>
      </c>
      <c r="Z103" s="402">
        <f t="shared" si="41"/>
        <v>230724</v>
      </c>
      <c r="AA103" s="402">
        <f t="shared" si="41"/>
        <v>166119</v>
      </c>
      <c r="AB103" s="402">
        <f t="shared" si="41"/>
        <v>483402</v>
      </c>
      <c r="AC103" s="402">
        <f t="shared" si="41"/>
        <v>155969</v>
      </c>
      <c r="AD103" s="402">
        <f t="shared" si="41"/>
        <v>245688</v>
      </c>
      <c r="AE103" s="402">
        <f t="shared" si="41"/>
        <v>0</v>
      </c>
      <c r="AF103" s="402">
        <f t="shared" si="41"/>
        <v>113176</v>
      </c>
      <c r="AG103" s="402">
        <f t="shared" si="41"/>
        <v>84838</v>
      </c>
      <c r="AH103" s="402">
        <f t="shared" si="41"/>
        <v>28338</v>
      </c>
      <c r="AI103" s="387">
        <f t="shared" si="25"/>
        <v>0</v>
      </c>
    </row>
    <row r="104" spans="1:35" s="410" customFormat="1" ht="27.95" customHeight="1">
      <c r="A104" s="411" t="s">
        <v>471</v>
      </c>
      <c r="B104" s="412" t="s">
        <v>275</v>
      </c>
      <c r="C104" s="413" t="s">
        <v>959</v>
      </c>
      <c r="D104" s="414">
        <v>1</v>
      </c>
      <c r="E104" s="415">
        <f>SUM(H104,P104,AF104)</f>
        <v>30000</v>
      </c>
      <c r="F104" s="415">
        <v>30000</v>
      </c>
      <c r="G104" s="415"/>
      <c r="H104" s="415">
        <f>SUM(I104:O104)</f>
        <v>6200</v>
      </c>
      <c r="I104" s="415">
        <v>1033</v>
      </c>
      <c r="J104" s="415">
        <v>1033</v>
      </c>
      <c r="K104" s="415">
        <v>1033</v>
      </c>
      <c r="L104" s="415">
        <v>1034</v>
      </c>
      <c r="M104" s="415">
        <v>1033</v>
      </c>
      <c r="N104" s="415">
        <v>1034</v>
      </c>
      <c r="O104" s="416"/>
      <c r="P104" s="416">
        <f>SUM(Q104:AE104)</f>
        <v>23500</v>
      </c>
      <c r="Q104" s="415">
        <v>1679</v>
      </c>
      <c r="R104" s="415">
        <v>1678</v>
      </c>
      <c r="S104" s="415">
        <v>1679</v>
      </c>
      <c r="T104" s="415">
        <v>1679</v>
      </c>
      <c r="U104" s="415">
        <v>1678</v>
      </c>
      <c r="V104" s="415">
        <v>1679</v>
      </c>
      <c r="W104" s="415">
        <v>1678</v>
      </c>
      <c r="X104" s="415">
        <v>1679</v>
      </c>
      <c r="Y104" s="415">
        <v>1678</v>
      </c>
      <c r="Z104" s="415">
        <v>1679</v>
      </c>
      <c r="AA104" s="415">
        <v>1678</v>
      </c>
      <c r="AB104" s="415">
        <v>1679</v>
      </c>
      <c r="AC104" s="415">
        <v>1678</v>
      </c>
      <c r="AD104" s="415">
        <v>1679</v>
      </c>
      <c r="AE104" s="415"/>
      <c r="AF104" s="415">
        <f>SUM(AG104:AH104)</f>
        <v>300</v>
      </c>
      <c r="AG104" s="415">
        <v>150</v>
      </c>
      <c r="AH104" s="415">
        <v>150</v>
      </c>
      <c r="AI104" s="387">
        <f t="shared" si="25"/>
        <v>0</v>
      </c>
    </row>
    <row r="105" spans="1:35" s="410" customFormat="1" ht="24" customHeight="1">
      <c r="A105" s="405" t="s">
        <v>1099</v>
      </c>
      <c r="B105" s="406"/>
      <c r="C105" s="407"/>
      <c r="D105" s="408"/>
      <c r="E105" s="409">
        <f t="shared" ref="E105:AH105" si="42">E106+E107</f>
        <v>10224780</v>
      </c>
      <c r="F105" s="409">
        <f t="shared" si="42"/>
        <v>10224780</v>
      </c>
      <c r="G105" s="409">
        <f t="shared" si="42"/>
        <v>0</v>
      </c>
      <c r="H105" s="409">
        <f t="shared" si="42"/>
        <v>6695330</v>
      </c>
      <c r="I105" s="409">
        <f t="shared" si="42"/>
        <v>1664607</v>
      </c>
      <c r="J105" s="409">
        <f t="shared" si="42"/>
        <v>1237036</v>
      </c>
      <c r="K105" s="409">
        <f t="shared" si="42"/>
        <v>786193</v>
      </c>
      <c r="L105" s="409">
        <f t="shared" si="42"/>
        <v>1035144</v>
      </c>
      <c r="M105" s="409">
        <f t="shared" si="42"/>
        <v>787409</v>
      </c>
      <c r="N105" s="409">
        <f t="shared" si="42"/>
        <v>1184941</v>
      </c>
      <c r="O105" s="409">
        <f t="shared" si="42"/>
        <v>0</v>
      </c>
      <c r="P105" s="409">
        <f t="shared" si="42"/>
        <v>3416856</v>
      </c>
      <c r="Q105" s="409">
        <f t="shared" si="42"/>
        <v>180774</v>
      </c>
      <c r="R105" s="409">
        <f t="shared" si="42"/>
        <v>202216</v>
      </c>
      <c r="S105" s="409">
        <f t="shared" si="42"/>
        <v>258486</v>
      </c>
      <c r="T105" s="409">
        <f t="shared" si="42"/>
        <v>453921</v>
      </c>
      <c r="U105" s="409">
        <f t="shared" si="42"/>
        <v>292057</v>
      </c>
      <c r="V105" s="409">
        <f t="shared" si="42"/>
        <v>358581</v>
      </c>
      <c r="W105" s="409">
        <f t="shared" si="42"/>
        <v>276919</v>
      </c>
      <c r="X105" s="409">
        <f t="shared" si="42"/>
        <v>438161</v>
      </c>
      <c r="Y105" s="409">
        <f t="shared" si="42"/>
        <v>216348</v>
      </c>
      <c r="Z105" s="409">
        <f t="shared" si="42"/>
        <v>217672</v>
      </c>
      <c r="AA105" s="409">
        <f t="shared" si="42"/>
        <v>105508</v>
      </c>
      <c r="AB105" s="409">
        <f t="shared" si="42"/>
        <v>168877</v>
      </c>
      <c r="AC105" s="409">
        <f t="shared" si="42"/>
        <v>151534</v>
      </c>
      <c r="AD105" s="409">
        <f t="shared" si="42"/>
        <v>95802</v>
      </c>
      <c r="AE105" s="409">
        <f t="shared" si="42"/>
        <v>0</v>
      </c>
      <c r="AF105" s="409">
        <f t="shared" si="42"/>
        <v>112594</v>
      </c>
      <c r="AG105" s="409">
        <f t="shared" si="42"/>
        <v>84596</v>
      </c>
      <c r="AH105" s="409">
        <f t="shared" si="42"/>
        <v>27998</v>
      </c>
      <c r="AI105" s="387">
        <f t="shared" si="25"/>
        <v>0</v>
      </c>
    </row>
    <row r="106" spans="1:35" s="393" customFormat="1" ht="38.1" customHeight="1">
      <c r="A106" s="397" t="s">
        <v>471</v>
      </c>
      <c r="B106" s="394" t="s">
        <v>277</v>
      </c>
      <c r="C106" s="395" t="s">
        <v>90</v>
      </c>
      <c r="D106" s="396">
        <v>1</v>
      </c>
      <c r="E106" s="385">
        <f>SUM(H106,P106,AF106)</f>
        <v>162000</v>
      </c>
      <c r="F106" s="368">
        <v>162000</v>
      </c>
      <c r="G106" s="368"/>
      <c r="H106" s="385">
        <f>SUM(I106:O106)</f>
        <v>83620</v>
      </c>
      <c r="I106" s="371">
        <v>5767</v>
      </c>
      <c r="J106" s="371">
        <v>15880</v>
      </c>
      <c r="K106" s="371">
        <v>5821</v>
      </c>
      <c r="L106" s="371">
        <v>16300</v>
      </c>
      <c r="M106" s="371">
        <v>13756</v>
      </c>
      <c r="N106" s="371">
        <v>26096</v>
      </c>
      <c r="O106" s="370"/>
      <c r="P106" s="386">
        <f>SUM(Q106:AE106)</f>
        <v>73636</v>
      </c>
      <c r="Q106" s="371">
        <v>5739</v>
      </c>
      <c r="R106" s="371">
        <v>3167</v>
      </c>
      <c r="S106" s="371">
        <v>3410</v>
      </c>
      <c r="T106" s="371">
        <v>5873</v>
      </c>
      <c r="U106" s="371">
        <v>5685</v>
      </c>
      <c r="V106" s="371">
        <v>3620</v>
      </c>
      <c r="W106" s="371">
        <v>3860</v>
      </c>
      <c r="X106" s="371">
        <v>6976</v>
      </c>
      <c r="Y106" s="371">
        <v>7736</v>
      </c>
      <c r="Z106" s="371">
        <v>5575</v>
      </c>
      <c r="AA106" s="371">
        <v>2730</v>
      </c>
      <c r="AB106" s="371">
        <v>14663</v>
      </c>
      <c r="AC106" s="371">
        <v>2562</v>
      </c>
      <c r="AD106" s="371">
        <v>2040</v>
      </c>
      <c r="AE106" s="371"/>
      <c r="AF106" s="385">
        <f>SUM(AG106:AH106)</f>
        <v>4744</v>
      </c>
      <c r="AG106" s="371">
        <v>3041</v>
      </c>
      <c r="AH106" s="371">
        <v>1703</v>
      </c>
      <c r="AI106" s="387">
        <f t="shared" si="25"/>
        <v>0</v>
      </c>
    </row>
    <row r="107" spans="1:35" s="438" customFormat="1" ht="27" customHeight="1">
      <c r="A107" s="432" t="s">
        <v>471</v>
      </c>
      <c r="B107" s="433" t="s">
        <v>277</v>
      </c>
      <c r="C107" s="434" t="s">
        <v>635</v>
      </c>
      <c r="D107" s="435">
        <v>9</v>
      </c>
      <c r="E107" s="436">
        <f>SUM(H107,P107,AF107)</f>
        <v>10062780</v>
      </c>
      <c r="F107" s="436">
        <v>10062780</v>
      </c>
      <c r="G107" s="436"/>
      <c r="H107" s="436">
        <f>SUM(I107:O107)</f>
        <v>6611710</v>
      </c>
      <c r="I107" s="436">
        <v>1658840</v>
      </c>
      <c r="J107" s="436">
        <v>1221156</v>
      </c>
      <c r="K107" s="436">
        <v>780372</v>
      </c>
      <c r="L107" s="436">
        <v>1018844</v>
      </c>
      <c r="M107" s="436">
        <v>773653</v>
      </c>
      <c r="N107" s="436">
        <v>1158845</v>
      </c>
      <c r="O107" s="437"/>
      <c r="P107" s="437">
        <f>SUM(Q107:AE107)</f>
        <v>3343220</v>
      </c>
      <c r="Q107" s="436">
        <v>175035</v>
      </c>
      <c r="R107" s="436">
        <v>199049</v>
      </c>
      <c r="S107" s="436">
        <v>255076</v>
      </c>
      <c r="T107" s="436">
        <v>448048</v>
      </c>
      <c r="U107" s="436">
        <v>286372</v>
      </c>
      <c r="V107" s="436">
        <v>354961</v>
      </c>
      <c r="W107" s="436">
        <v>273059</v>
      </c>
      <c r="X107" s="436">
        <v>431185</v>
      </c>
      <c r="Y107" s="436">
        <v>208612</v>
      </c>
      <c r="Z107" s="436">
        <v>212097</v>
      </c>
      <c r="AA107" s="436">
        <v>102778</v>
      </c>
      <c r="AB107" s="436">
        <v>154214</v>
      </c>
      <c r="AC107" s="436">
        <v>148972</v>
      </c>
      <c r="AD107" s="436">
        <v>93762</v>
      </c>
      <c r="AE107" s="436"/>
      <c r="AF107" s="436">
        <f>SUM(AG107:AH107)</f>
        <v>107850</v>
      </c>
      <c r="AG107" s="436">
        <v>81555</v>
      </c>
      <c r="AH107" s="436">
        <v>26295</v>
      </c>
      <c r="AI107" s="387">
        <f t="shared" si="25"/>
        <v>0</v>
      </c>
    </row>
    <row r="108" spans="1:35" s="410" customFormat="1" ht="24" customHeight="1">
      <c r="A108" s="405" t="s">
        <v>1165</v>
      </c>
      <c r="B108" s="406"/>
      <c r="C108" s="407"/>
      <c r="D108" s="408"/>
      <c r="E108" s="409">
        <f t="shared" ref="E108:AH108" si="43">E109+E110</f>
        <v>2695156</v>
      </c>
      <c r="F108" s="409">
        <f t="shared" si="43"/>
        <v>2695156</v>
      </c>
      <c r="G108" s="409">
        <f t="shared" si="43"/>
        <v>0</v>
      </c>
      <c r="H108" s="409">
        <f t="shared" si="43"/>
        <v>1481812</v>
      </c>
      <c r="I108" s="409">
        <f t="shared" si="43"/>
        <v>656674</v>
      </c>
      <c r="J108" s="409">
        <f t="shared" si="43"/>
        <v>213405</v>
      </c>
      <c r="K108" s="409">
        <f t="shared" si="43"/>
        <v>307753</v>
      </c>
      <c r="L108" s="409">
        <f t="shared" si="43"/>
        <v>25996</v>
      </c>
      <c r="M108" s="409">
        <f t="shared" si="43"/>
        <v>199095</v>
      </c>
      <c r="N108" s="409">
        <f t="shared" si="43"/>
        <v>78889</v>
      </c>
      <c r="O108" s="409">
        <f t="shared" si="43"/>
        <v>0</v>
      </c>
      <c r="P108" s="409">
        <f t="shared" si="43"/>
        <v>1213062</v>
      </c>
      <c r="Q108" s="409">
        <f t="shared" si="43"/>
        <v>17489</v>
      </c>
      <c r="R108" s="409">
        <f t="shared" si="43"/>
        <v>62130</v>
      </c>
      <c r="S108" s="409">
        <f t="shared" si="43"/>
        <v>77531</v>
      </c>
      <c r="T108" s="409">
        <f t="shared" si="43"/>
        <v>189044</v>
      </c>
      <c r="U108" s="409">
        <f t="shared" si="43"/>
        <v>53861</v>
      </c>
      <c r="V108" s="409">
        <f t="shared" si="43"/>
        <v>106257</v>
      </c>
      <c r="W108" s="409">
        <f t="shared" si="43"/>
        <v>53605</v>
      </c>
      <c r="X108" s="409">
        <f t="shared" si="43"/>
        <v>114468</v>
      </c>
      <c r="Y108" s="409">
        <f t="shared" si="43"/>
        <v>4561</v>
      </c>
      <c r="Z108" s="409">
        <f t="shared" si="43"/>
        <v>11373</v>
      </c>
      <c r="AA108" s="409">
        <f t="shared" si="43"/>
        <v>58933</v>
      </c>
      <c r="AB108" s="409">
        <f t="shared" si="43"/>
        <v>312846</v>
      </c>
      <c r="AC108" s="409">
        <f t="shared" si="43"/>
        <v>2757</v>
      </c>
      <c r="AD108" s="409">
        <f t="shared" si="43"/>
        <v>148207</v>
      </c>
      <c r="AE108" s="409">
        <f t="shared" si="43"/>
        <v>0</v>
      </c>
      <c r="AF108" s="409">
        <f t="shared" si="43"/>
        <v>282</v>
      </c>
      <c r="AG108" s="409">
        <f t="shared" si="43"/>
        <v>92</v>
      </c>
      <c r="AH108" s="409">
        <f t="shared" si="43"/>
        <v>190</v>
      </c>
      <c r="AI108" s="387">
        <f t="shared" si="25"/>
        <v>0</v>
      </c>
    </row>
    <row r="109" spans="1:35" s="393" customFormat="1" ht="39.950000000000003" customHeight="1">
      <c r="A109" s="397" t="s">
        <v>471</v>
      </c>
      <c r="B109" s="394" t="s">
        <v>278</v>
      </c>
      <c r="C109" s="395" t="s">
        <v>93</v>
      </c>
      <c r="D109" s="396">
        <v>9</v>
      </c>
      <c r="E109" s="385">
        <f>SUM(H109,P109,AF109)</f>
        <v>2278930</v>
      </c>
      <c r="F109" s="368">
        <v>2278930</v>
      </c>
      <c r="G109" s="368">
        <v>0</v>
      </c>
      <c r="H109" s="385">
        <f>SUM(I109:O109)</f>
        <v>1087110</v>
      </c>
      <c r="I109" s="371">
        <v>564260</v>
      </c>
      <c r="J109" s="371">
        <v>0</v>
      </c>
      <c r="K109" s="371">
        <v>289350</v>
      </c>
      <c r="L109" s="371">
        <v>0</v>
      </c>
      <c r="M109" s="371">
        <v>189120</v>
      </c>
      <c r="N109" s="371">
        <v>44380</v>
      </c>
      <c r="O109" s="370"/>
      <c r="P109" s="386">
        <f>SUM(Q109:AE109)</f>
        <v>1191780</v>
      </c>
      <c r="Q109" s="371">
        <v>15610</v>
      </c>
      <c r="R109" s="371">
        <v>59540</v>
      </c>
      <c r="S109" s="371">
        <v>76290</v>
      </c>
      <c r="T109" s="371">
        <v>187860</v>
      </c>
      <c r="U109" s="371">
        <v>52900</v>
      </c>
      <c r="V109" s="371">
        <v>105770</v>
      </c>
      <c r="W109" s="371">
        <v>51380</v>
      </c>
      <c r="X109" s="371">
        <v>113750</v>
      </c>
      <c r="Y109" s="371">
        <v>3740</v>
      </c>
      <c r="Z109" s="371">
        <v>7970</v>
      </c>
      <c r="AA109" s="371">
        <v>58200</v>
      </c>
      <c r="AB109" s="371">
        <v>311690</v>
      </c>
      <c r="AC109" s="371">
        <v>0</v>
      </c>
      <c r="AD109" s="371">
        <v>147080</v>
      </c>
      <c r="AE109" s="371"/>
      <c r="AF109" s="385">
        <f>SUM(AG109:AH109)</f>
        <v>40</v>
      </c>
      <c r="AG109" s="371">
        <v>0</v>
      </c>
      <c r="AH109" s="371">
        <v>40</v>
      </c>
      <c r="AI109" s="387">
        <f t="shared" si="25"/>
        <v>0</v>
      </c>
    </row>
    <row r="110" spans="1:35" s="393" customFormat="1" ht="30.95" customHeight="1">
      <c r="A110" s="397" t="s">
        <v>471</v>
      </c>
      <c r="B110" s="394" t="s">
        <v>278</v>
      </c>
      <c r="C110" s="395" t="s">
        <v>92</v>
      </c>
      <c r="D110" s="396">
        <v>9</v>
      </c>
      <c r="E110" s="385">
        <f>SUM(H110,P110,AF110)</f>
        <v>416226</v>
      </c>
      <c r="F110" s="368">
        <v>416226</v>
      </c>
      <c r="G110" s="368"/>
      <c r="H110" s="385">
        <f>SUM(I110:O110)</f>
        <v>394702</v>
      </c>
      <c r="I110" s="371">
        <v>92414</v>
      </c>
      <c r="J110" s="371">
        <v>213405</v>
      </c>
      <c r="K110" s="371">
        <v>18403</v>
      </c>
      <c r="L110" s="371">
        <v>25996</v>
      </c>
      <c r="M110" s="371">
        <v>9975</v>
      </c>
      <c r="N110" s="371">
        <v>34509</v>
      </c>
      <c r="O110" s="370"/>
      <c r="P110" s="386">
        <f>SUM(Q110:AE110)</f>
        <v>21282</v>
      </c>
      <c r="Q110" s="371">
        <v>1879</v>
      </c>
      <c r="R110" s="371">
        <v>2590</v>
      </c>
      <c r="S110" s="371">
        <v>1241</v>
      </c>
      <c r="T110" s="371">
        <v>1184</v>
      </c>
      <c r="U110" s="371">
        <v>961</v>
      </c>
      <c r="V110" s="371">
        <v>487</v>
      </c>
      <c r="W110" s="371">
        <v>2225</v>
      </c>
      <c r="X110" s="371">
        <v>718</v>
      </c>
      <c r="Y110" s="371">
        <v>821</v>
      </c>
      <c r="Z110" s="371">
        <v>3403</v>
      </c>
      <c r="AA110" s="371">
        <v>733</v>
      </c>
      <c r="AB110" s="371">
        <v>1156</v>
      </c>
      <c r="AC110" s="371">
        <v>2757</v>
      </c>
      <c r="AD110" s="371">
        <v>1127</v>
      </c>
      <c r="AE110" s="371"/>
      <c r="AF110" s="385">
        <f>SUM(AG110:AH110)</f>
        <v>242</v>
      </c>
      <c r="AG110" s="371">
        <v>92</v>
      </c>
      <c r="AH110" s="371">
        <v>150</v>
      </c>
      <c r="AI110" s="387">
        <f t="shared" si="25"/>
        <v>0</v>
      </c>
    </row>
    <row r="111" spans="1:35" s="404" customFormat="1" ht="30.95" customHeight="1">
      <c r="A111" s="398" t="s">
        <v>1100</v>
      </c>
      <c r="B111" s="399"/>
      <c r="C111" s="400"/>
      <c r="D111" s="401"/>
      <c r="E111" s="402">
        <f t="shared" ref="E111:AH111" si="44">E112+E138+E147+E156</f>
        <v>51660248</v>
      </c>
      <c r="F111" s="402">
        <f t="shared" si="44"/>
        <v>40758395</v>
      </c>
      <c r="G111" s="402">
        <f t="shared" si="44"/>
        <v>10901853</v>
      </c>
      <c r="H111" s="402">
        <f t="shared" si="44"/>
        <v>30826607</v>
      </c>
      <c r="I111" s="402">
        <f t="shared" si="44"/>
        <v>5879153</v>
      </c>
      <c r="J111" s="402">
        <f t="shared" si="44"/>
        <v>4989216</v>
      </c>
      <c r="K111" s="402">
        <f t="shared" si="44"/>
        <v>2236248</v>
      </c>
      <c r="L111" s="402">
        <f t="shared" si="44"/>
        <v>6613355</v>
      </c>
      <c r="M111" s="402">
        <f t="shared" si="44"/>
        <v>1986904</v>
      </c>
      <c r="N111" s="402">
        <f t="shared" si="44"/>
        <v>2718528</v>
      </c>
      <c r="O111" s="402">
        <f t="shared" si="44"/>
        <v>6403203</v>
      </c>
      <c r="P111" s="402">
        <f t="shared" si="44"/>
        <v>20041311</v>
      </c>
      <c r="Q111" s="402">
        <f t="shared" si="44"/>
        <v>990581</v>
      </c>
      <c r="R111" s="402">
        <f t="shared" si="44"/>
        <v>1028237</v>
      </c>
      <c r="S111" s="402">
        <f t="shared" si="44"/>
        <v>1075517</v>
      </c>
      <c r="T111" s="402">
        <f t="shared" si="44"/>
        <v>1583161</v>
      </c>
      <c r="U111" s="402">
        <f t="shared" si="44"/>
        <v>1034537</v>
      </c>
      <c r="V111" s="402">
        <f t="shared" si="44"/>
        <v>1168344</v>
      </c>
      <c r="W111" s="402">
        <f t="shared" si="44"/>
        <v>1071199</v>
      </c>
      <c r="X111" s="402">
        <f t="shared" si="44"/>
        <v>1449227</v>
      </c>
      <c r="Y111" s="402">
        <f t="shared" si="44"/>
        <v>1017434</v>
      </c>
      <c r="Z111" s="402">
        <f t="shared" si="44"/>
        <v>989232</v>
      </c>
      <c r="AA111" s="402">
        <f t="shared" si="44"/>
        <v>540627</v>
      </c>
      <c r="AB111" s="402">
        <f t="shared" si="44"/>
        <v>711752</v>
      </c>
      <c r="AC111" s="402">
        <f t="shared" si="44"/>
        <v>815773</v>
      </c>
      <c r="AD111" s="402">
        <f t="shared" si="44"/>
        <v>615777</v>
      </c>
      <c r="AE111" s="402">
        <f t="shared" si="44"/>
        <v>5949913</v>
      </c>
      <c r="AF111" s="402">
        <f t="shared" si="44"/>
        <v>792330</v>
      </c>
      <c r="AG111" s="402">
        <f t="shared" si="44"/>
        <v>378126</v>
      </c>
      <c r="AH111" s="402">
        <f t="shared" si="44"/>
        <v>414204</v>
      </c>
      <c r="AI111" s="387">
        <f t="shared" si="25"/>
        <v>0</v>
      </c>
    </row>
    <row r="112" spans="1:35" s="410" customFormat="1" ht="24" customHeight="1">
      <c r="A112" s="405" t="s">
        <v>1101</v>
      </c>
      <c r="B112" s="406"/>
      <c r="C112" s="407"/>
      <c r="D112" s="408"/>
      <c r="E112" s="409">
        <f t="shared" ref="E112:AH112" si="45">SUM(E113:E137)</f>
        <v>1629964</v>
      </c>
      <c r="F112" s="409">
        <f t="shared" si="45"/>
        <v>1376018</v>
      </c>
      <c r="G112" s="409">
        <f t="shared" si="45"/>
        <v>253946</v>
      </c>
      <c r="H112" s="409">
        <f t="shared" si="45"/>
        <v>612900</v>
      </c>
      <c r="I112" s="409">
        <f t="shared" si="45"/>
        <v>49210</v>
      </c>
      <c r="J112" s="409">
        <f t="shared" si="45"/>
        <v>49710</v>
      </c>
      <c r="K112" s="409">
        <f t="shared" si="45"/>
        <v>23910</v>
      </c>
      <c r="L112" s="409">
        <f t="shared" si="45"/>
        <v>39250</v>
      </c>
      <c r="M112" s="409">
        <f t="shared" si="45"/>
        <v>37030</v>
      </c>
      <c r="N112" s="409">
        <f t="shared" si="45"/>
        <v>29830</v>
      </c>
      <c r="O112" s="409">
        <f t="shared" si="45"/>
        <v>383960</v>
      </c>
      <c r="P112" s="409">
        <f t="shared" si="45"/>
        <v>953524</v>
      </c>
      <c r="Q112" s="409">
        <f t="shared" si="45"/>
        <v>20320</v>
      </c>
      <c r="R112" s="409">
        <f t="shared" si="45"/>
        <v>15470</v>
      </c>
      <c r="S112" s="409">
        <f t="shared" si="45"/>
        <v>19250</v>
      </c>
      <c r="T112" s="409">
        <f t="shared" si="45"/>
        <v>26570</v>
      </c>
      <c r="U112" s="409">
        <f t="shared" si="45"/>
        <v>17477</v>
      </c>
      <c r="V112" s="409">
        <f t="shared" si="45"/>
        <v>19060</v>
      </c>
      <c r="W112" s="409">
        <f t="shared" si="45"/>
        <v>14275</v>
      </c>
      <c r="X112" s="409">
        <f t="shared" si="45"/>
        <v>22870</v>
      </c>
      <c r="Y112" s="409">
        <f t="shared" si="45"/>
        <v>14705</v>
      </c>
      <c r="Z112" s="409">
        <f t="shared" si="45"/>
        <v>11500</v>
      </c>
      <c r="AA112" s="409">
        <f t="shared" si="45"/>
        <v>7455</v>
      </c>
      <c r="AB112" s="409">
        <f t="shared" si="45"/>
        <v>14690</v>
      </c>
      <c r="AC112" s="409">
        <f t="shared" si="45"/>
        <v>14660</v>
      </c>
      <c r="AD112" s="409">
        <f t="shared" si="45"/>
        <v>12920</v>
      </c>
      <c r="AE112" s="409">
        <f t="shared" si="45"/>
        <v>722302</v>
      </c>
      <c r="AF112" s="409">
        <f t="shared" si="45"/>
        <v>63540</v>
      </c>
      <c r="AG112" s="409">
        <f t="shared" si="45"/>
        <v>36331</v>
      </c>
      <c r="AH112" s="409">
        <f t="shared" si="45"/>
        <v>27209</v>
      </c>
      <c r="AI112" s="387">
        <f t="shared" si="25"/>
        <v>0</v>
      </c>
    </row>
    <row r="113" spans="1:35" s="393" customFormat="1" ht="24" customHeight="1">
      <c r="A113" s="397" t="s">
        <v>1</v>
      </c>
      <c r="B113" s="428" t="s">
        <v>433</v>
      </c>
      <c r="C113" s="395" t="s">
        <v>434</v>
      </c>
      <c r="D113" s="396">
        <v>3</v>
      </c>
      <c r="E113" s="385">
        <f t="shared" ref="E113:E137" si="46">SUM(H113,P113,AF113)</f>
        <v>763</v>
      </c>
      <c r="F113" s="368">
        <v>763</v>
      </c>
      <c r="G113" s="368">
        <v>0</v>
      </c>
      <c r="H113" s="385">
        <f t="shared" ref="H113:H137" si="47">SUM(I113:O113)</f>
        <v>0</v>
      </c>
      <c r="I113" s="371">
        <v>0</v>
      </c>
      <c r="J113" s="371">
        <v>0</v>
      </c>
      <c r="K113" s="371">
        <v>0</v>
      </c>
      <c r="L113" s="371">
        <v>0</v>
      </c>
      <c r="M113" s="371">
        <v>0</v>
      </c>
      <c r="N113" s="371">
        <v>0</v>
      </c>
      <c r="O113" s="370">
        <v>0</v>
      </c>
      <c r="P113" s="386">
        <f t="shared" ref="P113:P137" si="48">SUM(Q113:AE113)</f>
        <v>763</v>
      </c>
      <c r="Q113" s="371">
        <v>0</v>
      </c>
      <c r="R113" s="371">
        <v>0</v>
      </c>
      <c r="S113" s="371">
        <v>0</v>
      </c>
      <c r="T113" s="371">
        <v>0</v>
      </c>
      <c r="U113" s="371">
        <v>0</v>
      </c>
      <c r="V113" s="371">
        <v>0</v>
      </c>
      <c r="W113" s="371">
        <v>0</v>
      </c>
      <c r="X113" s="371">
        <v>0</v>
      </c>
      <c r="Y113" s="371">
        <v>0</v>
      </c>
      <c r="Z113" s="371">
        <v>0</v>
      </c>
      <c r="AA113" s="371">
        <v>0</v>
      </c>
      <c r="AB113" s="371">
        <v>0</v>
      </c>
      <c r="AC113" s="371">
        <v>0</v>
      </c>
      <c r="AD113" s="371">
        <v>0</v>
      </c>
      <c r="AE113" s="371">
        <v>763</v>
      </c>
      <c r="AF113" s="385">
        <f t="shared" ref="AF113:AF137" si="49">SUM(AG113:AH113)</f>
        <v>0</v>
      </c>
      <c r="AG113" s="371">
        <v>0</v>
      </c>
      <c r="AH113" s="371">
        <v>0</v>
      </c>
      <c r="AI113" s="387">
        <f t="shared" si="25"/>
        <v>0</v>
      </c>
    </row>
    <row r="114" spans="1:35" s="393" customFormat="1" ht="24" customHeight="1">
      <c r="A114" s="397" t="s">
        <v>1</v>
      </c>
      <c r="B114" s="428" t="s">
        <v>433</v>
      </c>
      <c r="C114" s="395" t="s">
        <v>1115</v>
      </c>
      <c r="D114" s="396">
        <v>3</v>
      </c>
      <c r="E114" s="385">
        <f t="shared" si="46"/>
        <v>1000</v>
      </c>
      <c r="F114" s="368">
        <v>1000</v>
      </c>
      <c r="G114" s="368">
        <v>0</v>
      </c>
      <c r="H114" s="385">
        <f t="shared" si="47"/>
        <v>1000</v>
      </c>
      <c r="I114" s="371">
        <v>0</v>
      </c>
      <c r="J114" s="371">
        <v>0</v>
      </c>
      <c r="K114" s="371">
        <v>0</v>
      </c>
      <c r="L114" s="371">
        <v>0</v>
      </c>
      <c r="M114" s="371">
        <v>0</v>
      </c>
      <c r="N114" s="371">
        <v>0</v>
      </c>
      <c r="O114" s="370">
        <v>1000</v>
      </c>
      <c r="P114" s="386">
        <f t="shared" si="48"/>
        <v>0</v>
      </c>
      <c r="Q114" s="371">
        <v>0</v>
      </c>
      <c r="R114" s="371">
        <v>0</v>
      </c>
      <c r="S114" s="371">
        <v>0</v>
      </c>
      <c r="T114" s="371">
        <v>0</v>
      </c>
      <c r="U114" s="371">
        <v>0</v>
      </c>
      <c r="V114" s="371">
        <v>0</v>
      </c>
      <c r="W114" s="371">
        <v>0</v>
      </c>
      <c r="X114" s="371">
        <v>0</v>
      </c>
      <c r="Y114" s="371">
        <v>0</v>
      </c>
      <c r="Z114" s="371">
        <v>0</v>
      </c>
      <c r="AA114" s="371">
        <v>0</v>
      </c>
      <c r="AB114" s="371">
        <v>0</v>
      </c>
      <c r="AC114" s="371">
        <v>0</v>
      </c>
      <c r="AD114" s="371">
        <v>0</v>
      </c>
      <c r="AE114" s="371">
        <v>0</v>
      </c>
      <c r="AF114" s="385">
        <f t="shared" si="49"/>
        <v>0</v>
      </c>
      <c r="AG114" s="371">
        <v>0</v>
      </c>
      <c r="AH114" s="371">
        <v>0</v>
      </c>
      <c r="AI114" s="387">
        <f t="shared" si="25"/>
        <v>0</v>
      </c>
    </row>
    <row r="115" spans="1:35" s="393" customFormat="1" ht="24" customHeight="1">
      <c r="A115" s="397" t="s">
        <v>1</v>
      </c>
      <c r="B115" s="428" t="s">
        <v>433</v>
      </c>
      <c r="C115" s="395" t="s">
        <v>155</v>
      </c>
      <c r="D115" s="396">
        <v>3</v>
      </c>
      <c r="E115" s="385">
        <f t="shared" si="46"/>
        <v>62900</v>
      </c>
      <c r="F115" s="368">
        <v>52900</v>
      </c>
      <c r="G115" s="368">
        <v>10000</v>
      </c>
      <c r="H115" s="385">
        <f t="shared" si="47"/>
        <v>29500</v>
      </c>
      <c r="I115" s="371">
        <v>0</v>
      </c>
      <c r="J115" s="371">
        <v>0</v>
      </c>
      <c r="K115" s="371">
        <v>0</v>
      </c>
      <c r="L115" s="371">
        <v>0</v>
      </c>
      <c r="M115" s="371">
        <v>0</v>
      </c>
      <c r="N115" s="371">
        <v>0</v>
      </c>
      <c r="O115" s="370">
        <v>29500</v>
      </c>
      <c r="P115" s="386">
        <f t="shared" si="48"/>
        <v>31200</v>
      </c>
      <c r="Q115" s="371">
        <v>0</v>
      </c>
      <c r="R115" s="371">
        <v>0</v>
      </c>
      <c r="S115" s="371">
        <v>0</v>
      </c>
      <c r="T115" s="371">
        <v>0</v>
      </c>
      <c r="U115" s="371">
        <v>0</v>
      </c>
      <c r="V115" s="371">
        <v>0</v>
      </c>
      <c r="W115" s="371">
        <v>0</v>
      </c>
      <c r="X115" s="371">
        <v>0</v>
      </c>
      <c r="Y115" s="371">
        <v>0</v>
      </c>
      <c r="Z115" s="371">
        <v>0</v>
      </c>
      <c r="AA115" s="371">
        <v>0</v>
      </c>
      <c r="AB115" s="371">
        <v>0</v>
      </c>
      <c r="AC115" s="371">
        <v>0</v>
      </c>
      <c r="AD115" s="371">
        <v>0</v>
      </c>
      <c r="AE115" s="371">
        <v>31200</v>
      </c>
      <c r="AF115" s="385">
        <f t="shared" si="49"/>
        <v>2200</v>
      </c>
      <c r="AG115" s="371">
        <v>1100</v>
      </c>
      <c r="AH115" s="371">
        <v>1100</v>
      </c>
      <c r="AI115" s="387">
        <f t="shared" si="25"/>
        <v>0</v>
      </c>
    </row>
    <row r="116" spans="1:35" s="393" customFormat="1" ht="24" customHeight="1">
      <c r="A116" s="397" t="s">
        <v>1</v>
      </c>
      <c r="B116" s="428" t="s">
        <v>433</v>
      </c>
      <c r="C116" s="395" t="s">
        <v>94</v>
      </c>
      <c r="D116" s="396">
        <v>3</v>
      </c>
      <c r="E116" s="385">
        <f t="shared" si="46"/>
        <v>30133</v>
      </c>
      <c r="F116" s="368">
        <v>29493</v>
      </c>
      <c r="G116" s="368">
        <v>640</v>
      </c>
      <c r="H116" s="385">
        <f t="shared" si="47"/>
        <v>21328</v>
      </c>
      <c r="I116" s="371">
        <v>0</v>
      </c>
      <c r="J116" s="371">
        <v>0</v>
      </c>
      <c r="K116" s="371">
        <v>0</v>
      </c>
      <c r="L116" s="371">
        <v>0</v>
      </c>
      <c r="M116" s="371">
        <v>0</v>
      </c>
      <c r="N116" s="371">
        <v>0</v>
      </c>
      <c r="O116" s="370">
        <v>21328</v>
      </c>
      <c r="P116" s="386">
        <f t="shared" si="48"/>
        <v>8805</v>
      </c>
      <c r="Q116" s="371">
        <v>0</v>
      </c>
      <c r="R116" s="371">
        <v>0</v>
      </c>
      <c r="S116" s="371">
        <v>0</v>
      </c>
      <c r="T116" s="371">
        <v>0</v>
      </c>
      <c r="U116" s="371">
        <v>0</v>
      </c>
      <c r="V116" s="371">
        <v>0</v>
      </c>
      <c r="W116" s="371">
        <v>0</v>
      </c>
      <c r="X116" s="371">
        <v>0</v>
      </c>
      <c r="Y116" s="371">
        <v>0</v>
      </c>
      <c r="Z116" s="371">
        <v>0</v>
      </c>
      <c r="AA116" s="371">
        <v>0</v>
      </c>
      <c r="AB116" s="371">
        <v>0</v>
      </c>
      <c r="AC116" s="371">
        <v>0</v>
      </c>
      <c r="AD116" s="371">
        <v>0</v>
      </c>
      <c r="AE116" s="371">
        <v>8805</v>
      </c>
      <c r="AF116" s="385">
        <f t="shared" si="49"/>
        <v>0</v>
      </c>
      <c r="AG116" s="371">
        <v>0</v>
      </c>
      <c r="AH116" s="371">
        <v>0</v>
      </c>
      <c r="AI116" s="387">
        <f t="shared" si="25"/>
        <v>0</v>
      </c>
    </row>
    <row r="117" spans="1:35" s="393" customFormat="1" ht="24" customHeight="1">
      <c r="A117" s="397" t="s">
        <v>1</v>
      </c>
      <c r="B117" s="428" t="s">
        <v>433</v>
      </c>
      <c r="C117" s="395" t="s">
        <v>549</v>
      </c>
      <c r="D117" s="396">
        <v>3</v>
      </c>
      <c r="E117" s="385">
        <f t="shared" si="46"/>
        <v>180252</v>
      </c>
      <c r="F117" s="368">
        <v>145642</v>
      </c>
      <c r="G117" s="368">
        <v>34610</v>
      </c>
      <c r="H117" s="385">
        <f t="shared" si="47"/>
        <v>78101</v>
      </c>
      <c r="I117" s="371">
        <v>0</v>
      </c>
      <c r="J117" s="371">
        <v>0</v>
      </c>
      <c r="K117" s="371">
        <v>0</v>
      </c>
      <c r="L117" s="371">
        <v>0</v>
      </c>
      <c r="M117" s="371">
        <v>0</v>
      </c>
      <c r="N117" s="371">
        <v>0</v>
      </c>
      <c r="O117" s="370">
        <v>78101</v>
      </c>
      <c r="P117" s="386">
        <f t="shared" si="48"/>
        <v>100881</v>
      </c>
      <c r="Q117" s="371">
        <v>0</v>
      </c>
      <c r="R117" s="371">
        <v>0</v>
      </c>
      <c r="S117" s="371">
        <v>0</v>
      </c>
      <c r="T117" s="371">
        <v>0</v>
      </c>
      <c r="U117" s="371">
        <v>0</v>
      </c>
      <c r="V117" s="371">
        <v>0</v>
      </c>
      <c r="W117" s="371">
        <v>0</v>
      </c>
      <c r="X117" s="371">
        <v>0</v>
      </c>
      <c r="Y117" s="371">
        <v>0</v>
      </c>
      <c r="Z117" s="371">
        <v>0</v>
      </c>
      <c r="AA117" s="371">
        <v>0</v>
      </c>
      <c r="AB117" s="371">
        <v>0</v>
      </c>
      <c r="AC117" s="371">
        <v>0</v>
      </c>
      <c r="AD117" s="371">
        <v>0</v>
      </c>
      <c r="AE117" s="371">
        <v>100881</v>
      </c>
      <c r="AF117" s="385">
        <f t="shared" si="49"/>
        <v>1270</v>
      </c>
      <c r="AG117" s="371">
        <v>635</v>
      </c>
      <c r="AH117" s="371">
        <v>635</v>
      </c>
      <c r="AI117" s="387">
        <f t="shared" si="25"/>
        <v>0</v>
      </c>
    </row>
    <row r="118" spans="1:35" s="393" customFormat="1" ht="24" customHeight="1">
      <c r="A118" s="397" t="s">
        <v>1</v>
      </c>
      <c r="B118" s="428" t="s">
        <v>433</v>
      </c>
      <c r="C118" s="395" t="s">
        <v>95</v>
      </c>
      <c r="D118" s="396">
        <v>3</v>
      </c>
      <c r="E118" s="385">
        <f t="shared" si="46"/>
        <v>28667</v>
      </c>
      <c r="F118" s="368">
        <v>28467</v>
      </c>
      <c r="G118" s="368">
        <v>200</v>
      </c>
      <c r="H118" s="385">
        <f t="shared" si="47"/>
        <v>11130</v>
      </c>
      <c r="I118" s="371">
        <v>1310</v>
      </c>
      <c r="J118" s="371">
        <v>660</v>
      </c>
      <c r="K118" s="371">
        <v>1290</v>
      </c>
      <c r="L118" s="371">
        <v>1260</v>
      </c>
      <c r="M118" s="371">
        <v>2550</v>
      </c>
      <c r="N118" s="371">
        <v>1730</v>
      </c>
      <c r="O118" s="370">
        <v>2330</v>
      </c>
      <c r="P118" s="386">
        <f t="shared" si="48"/>
        <v>16537</v>
      </c>
      <c r="Q118" s="371">
        <v>1120</v>
      </c>
      <c r="R118" s="371">
        <v>740</v>
      </c>
      <c r="S118" s="371">
        <v>1480</v>
      </c>
      <c r="T118" s="371">
        <v>1030</v>
      </c>
      <c r="U118" s="371">
        <v>1547</v>
      </c>
      <c r="V118" s="371">
        <v>730</v>
      </c>
      <c r="W118" s="371">
        <v>1025</v>
      </c>
      <c r="X118" s="371">
        <v>1250</v>
      </c>
      <c r="Y118" s="371">
        <v>1175</v>
      </c>
      <c r="Z118" s="371">
        <v>530</v>
      </c>
      <c r="AA118" s="371">
        <v>265</v>
      </c>
      <c r="AB118" s="371">
        <v>480</v>
      </c>
      <c r="AC118" s="371">
        <v>410</v>
      </c>
      <c r="AD118" s="371">
        <v>1120</v>
      </c>
      <c r="AE118" s="371">
        <v>3635</v>
      </c>
      <c r="AF118" s="385">
        <f t="shared" si="49"/>
        <v>1000</v>
      </c>
      <c r="AG118" s="371">
        <v>640</v>
      </c>
      <c r="AH118" s="371">
        <v>360</v>
      </c>
      <c r="AI118" s="387">
        <f t="shared" si="25"/>
        <v>0</v>
      </c>
    </row>
    <row r="119" spans="1:35" s="393" customFormat="1" ht="24" customHeight="1">
      <c r="A119" s="397" t="s">
        <v>1</v>
      </c>
      <c r="B119" s="428" t="s">
        <v>433</v>
      </c>
      <c r="C119" s="395" t="s">
        <v>435</v>
      </c>
      <c r="D119" s="396">
        <v>3</v>
      </c>
      <c r="E119" s="385">
        <f t="shared" si="46"/>
        <v>296741</v>
      </c>
      <c r="F119" s="368">
        <v>288741</v>
      </c>
      <c r="G119" s="368">
        <v>8000</v>
      </c>
      <c r="H119" s="385">
        <f t="shared" si="47"/>
        <v>164719</v>
      </c>
      <c r="I119" s="371">
        <v>34200</v>
      </c>
      <c r="J119" s="371">
        <v>38050</v>
      </c>
      <c r="K119" s="371">
        <v>14620</v>
      </c>
      <c r="L119" s="371">
        <v>26390</v>
      </c>
      <c r="M119" s="371">
        <v>22600</v>
      </c>
      <c r="N119" s="371">
        <v>16900</v>
      </c>
      <c r="O119" s="370">
        <v>11959</v>
      </c>
      <c r="P119" s="386">
        <f t="shared" si="48"/>
        <v>130127</v>
      </c>
      <c r="Q119" s="371">
        <v>9700</v>
      </c>
      <c r="R119" s="371">
        <v>6330</v>
      </c>
      <c r="S119" s="371">
        <v>8470</v>
      </c>
      <c r="T119" s="371">
        <v>16940</v>
      </c>
      <c r="U119" s="371">
        <v>9330</v>
      </c>
      <c r="V119" s="371">
        <v>8430</v>
      </c>
      <c r="W119" s="371">
        <v>5000</v>
      </c>
      <c r="X119" s="371">
        <v>8220</v>
      </c>
      <c r="Y119" s="371">
        <v>3680</v>
      </c>
      <c r="Z119" s="371">
        <v>3370</v>
      </c>
      <c r="AA119" s="371">
        <v>2090</v>
      </c>
      <c r="AB119" s="371">
        <v>6610</v>
      </c>
      <c r="AC119" s="371">
        <v>7700</v>
      </c>
      <c r="AD119" s="371">
        <v>5250</v>
      </c>
      <c r="AE119" s="371">
        <v>29007</v>
      </c>
      <c r="AF119" s="385">
        <f t="shared" si="49"/>
        <v>1895</v>
      </c>
      <c r="AG119" s="371">
        <v>1645</v>
      </c>
      <c r="AH119" s="371">
        <v>250</v>
      </c>
      <c r="AI119" s="387">
        <f t="shared" si="25"/>
        <v>0</v>
      </c>
    </row>
    <row r="120" spans="1:35" s="393" customFormat="1" ht="24" customHeight="1">
      <c r="A120" s="397" t="s">
        <v>1</v>
      </c>
      <c r="B120" s="428" t="s">
        <v>433</v>
      </c>
      <c r="C120" s="395" t="s">
        <v>436</v>
      </c>
      <c r="D120" s="396">
        <v>3</v>
      </c>
      <c r="E120" s="385">
        <f t="shared" si="46"/>
        <v>156183</v>
      </c>
      <c r="F120" s="368">
        <v>155758</v>
      </c>
      <c r="G120" s="368">
        <v>425</v>
      </c>
      <c r="H120" s="385">
        <f t="shared" si="47"/>
        <v>38311</v>
      </c>
      <c r="I120" s="371">
        <v>6500</v>
      </c>
      <c r="J120" s="371">
        <v>500</v>
      </c>
      <c r="K120" s="371">
        <v>5000</v>
      </c>
      <c r="L120" s="371">
        <v>5800</v>
      </c>
      <c r="M120" s="371">
        <v>6200</v>
      </c>
      <c r="N120" s="371">
        <v>6200</v>
      </c>
      <c r="O120" s="370">
        <v>8111</v>
      </c>
      <c r="P120" s="386">
        <f t="shared" si="48"/>
        <v>111472</v>
      </c>
      <c r="Q120" s="371">
        <v>5200</v>
      </c>
      <c r="R120" s="371">
        <v>6300</v>
      </c>
      <c r="S120" s="371">
        <v>6900</v>
      </c>
      <c r="T120" s="371">
        <v>4500</v>
      </c>
      <c r="U120" s="371">
        <v>4500</v>
      </c>
      <c r="V120" s="371">
        <v>7500</v>
      </c>
      <c r="W120" s="371">
        <v>4400</v>
      </c>
      <c r="X120" s="371">
        <v>8300</v>
      </c>
      <c r="Y120" s="371">
        <v>7000</v>
      </c>
      <c r="Z120" s="371">
        <v>5500</v>
      </c>
      <c r="AA120" s="371">
        <v>3500</v>
      </c>
      <c r="AB120" s="371">
        <v>4800</v>
      </c>
      <c r="AC120" s="371">
        <v>5000</v>
      </c>
      <c r="AD120" s="371">
        <v>5000</v>
      </c>
      <c r="AE120" s="371">
        <v>33072</v>
      </c>
      <c r="AF120" s="385">
        <f t="shared" si="49"/>
        <v>6400</v>
      </c>
      <c r="AG120" s="371">
        <v>3650</v>
      </c>
      <c r="AH120" s="371">
        <v>2750</v>
      </c>
      <c r="AI120" s="387">
        <f t="shared" si="25"/>
        <v>0</v>
      </c>
    </row>
    <row r="121" spans="1:35" s="393" customFormat="1" ht="24" customHeight="1">
      <c r="A121" s="397" t="s">
        <v>1</v>
      </c>
      <c r="B121" s="428" t="s">
        <v>433</v>
      </c>
      <c r="C121" s="395" t="s">
        <v>1116</v>
      </c>
      <c r="D121" s="396">
        <v>3</v>
      </c>
      <c r="E121" s="385">
        <f t="shared" si="46"/>
        <v>129914</v>
      </c>
      <c r="F121" s="368">
        <v>123814</v>
      </c>
      <c r="G121" s="368">
        <v>6100</v>
      </c>
      <c r="H121" s="385">
        <f t="shared" si="47"/>
        <v>45672</v>
      </c>
      <c r="I121" s="371">
        <v>3400</v>
      </c>
      <c r="J121" s="371">
        <v>2600</v>
      </c>
      <c r="K121" s="371">
        <v>2600</v>
      </c>
      <c r="L121" s="371">
        <v>3400</v>
      </c>
      <c r="M121" s="371">
        <v>4080</v>
      </c>
      <c r="N121" s="371">
        <v>4000</v>
      </c>
      <c r="O121" s="370">
        <v>25592</v>
      </c>
      <c r="P121" s="386">
        <f t="shared" si="48"/>
        <v>81542</v>
      </c>
      <c r="Q121" s="371">
        <v>2100</v>
      </c>
      <c r="R121" s="371">
        <v>2100</v>
      </c>
      <c r="S121" s="371">
        <v>2400</v>
      </c>
      <c r="T121" s="371">
        <v>2700</v>
      </c>
      <c r="U121" s="371">
        <v>2100</v>
      </c>
      <c r="V121" s="371">
        <v>2400</v>
      </c>
      <c r="W121" s="371">
        <v>2400</v>
      </c>
      <c r="X121" s="371">
        <v>3500</v>
      </c>
      <c r="Y121" s="371">
        <v>2100</v>
      </c>
      <c r="Z121" s="371">
        <v>2100</v>
      </c>
      <c r="AA121" s="371">
        <v>1600</v>
      </c>
      <c r="AB121" s="371">
        <v>2100</v>
      </c>
      <c r="AC121" s="371">
        <v>1550</v>
      </c>
      <c r="AD121" s="371">
        <v>1550</v>
      </c>
      <c r="AE121" s="371">
        <v>50842</v>
      </c>
      <c r="AF121" s="385">
        <f t="shared" si="49"/>
        <v>2700</v>
      </c>
      <c r="AG121" s="371">
        <v>1900</v>
      </c>
      <c r="AH121" s="371">
        <v>800</v>
      </c>
      <c r="AI121" s="387">
        <f t="shared" si="25"/>
        <v>0</v>
      </c>
    </row>
    <row r="122" spans="1:35" s="393" customFormat="1" ht="24" customHeight="1">
      <c r="A122" s="397" t="s">
        <v>1</v>
      </c>
      <c r="B122" s="428" t="s">
        <v>433</v>
      </c>
      <c r="C122" s="395" t="s">
        <v>551</v>
      </c>
      <c r="D122" s="396">
        <v>3</v>
      </c>
      <c r="E122" s="385">
        <f t="shared" si="46"/>
        <v>9580</v>
      </c>
      <c r="F122" s="368">
        <v>9580</v>
      </c>
      <c r="G122" s="368">
        <v>0</v>
      </c>
      <c r="H122" s="385">
        <f t="shared" si="47"/>
        <v>3000</v>
      </c>
      <c r="I122" s="371">
        <v>0</v>
      </c>
      <c r="J122" s="371">
        <v>0</v>
      </c>
      <c r="K122" s="371">
        <v>0</v>
      </c>
      <c r="L122" s="371">
        <v>0</v>
      </c>
      <c r="M122" s="371">
        <v>0</v>
      </c>
      <c r="N122" s="371">
        <v>0</v>
      </c>
      <c r="O122" s="370">
        <v>3000</v>
      </c>
      <c r="P122" s="386">
        <f t="shared" si="48"/>
        <v>6280</v>
      </c>
      <c r="Q122" s="371">
        <v>0</v>
      </c>
      <c r="R122" s="371">
        <v>0</v>
      </c>
      <c r="S122" s="371">
        <v>0</v>
      </c>
      <c r="T122" s="371">
        <v>0</v>
      </c>
      <c r="U122" s="371">
        <v>0</v>
      </c>
      <c r="V122" s="371">
        <v>0</v>
      </c>
      <c r="W122" s="371">
        <v>0</v>
      </c>
      <c r="X122" s="371">
        <v>0</v>
      </c>
      <c r="Y122" s="371">
        <v>0</v>
      </c>
      <c r="Z122" s="371">
        <v>0</v>
      </c>
      <c r="AA122" s="371">
        <v>0</v>
      </c>
      <c r="AB122" s="371">
        <v>0</v>
      </c>
      <c r="AC122" s="371">
        <v>0</v>
      </c>
      <c r="AD122" s="371">
        <v>0</v>
      </c>
      <c r="AE122" s="371">
        <v>6280</v>
      </c>
      <c r="AF122" s="385">
        <f t="shared" si="49"/>
        <v>300</v>
      </c>
      <c r="AG122" s="371">
        <v>150</v>
      </c>
      <c r="AH122" s="371">
        <v>150</v>
      </c>
      <c r="AI122" s="387">
        <f t="shared" si="25"/>
        <v>0</v>
      </c>
    </row>
    <row r="123" spans="1:35" s="393" customFormat="1" ht="24" customHeight="1">
      <c r="A123" s="397" t="s">
        <v>1</v>
      </c>
      <c r="B123" s="428" t="s">
        <v>433</v>
      </c>
      <c r="C123" s="395" t="s">
        <v>437</v>
      </c>
      <c r="D123" s="396">
        <v>3</v>
      </c>
      <c r="E123" s="385">
        <f t="shared" si="46"/>
        <v>7000</v>
      </c>
      <c r="F123" s="368">
        <v>5190</v>
      </c>
      <c r="G123" s="368">
        <v>1810</v>
      </c>
      <c r="H123" s="385">
        <f t="shared" si="47"/>
        <v>1600</v>
      </c>
      <c r="I123" s="371">
        <v>0</v>
      </c>
      <c r="J123" s="371">
        <v>0</v>
      </c>
      <c r="K123" s="371">
        <v>0</v>
      </c>
      <c r="L123" s="371">
        <v>0</v>
      </c>
      <c r="M123" s="371">
        <v>1600</v>
      </c>
      <c r="N123" s="371">
        <v>0</v>
      </c>
      <c r="O123" s="370">
        <v>0</v>
      </c>
      <c r="P123" s="386">
        <f t="shared" si="48"/>
        <v>5400</v>
      </c>
      <c r="Q123" s="371">
        <v>1600</v>
      </c>
      <c r="R123" s="371">
        <v>0</v>
      </c>
      <c r="S123" s="371">
        <v>0</v>
      </c>
      <c r="T123" s="371">
        <v>0</v>
      </c>
      <c r="U123" s="371">
        <v>0</v>
      </c>
      <c r="V123" s="371">
        <v>0</v>
      </c>
      <c r="W123" s="371">
        <v>1450</v>
      </c>
      <c r="X123" s="371">
        <v>1600</v>
      </c>
      <c r="Y123" s="371">
        <v>750</v>
      </c>
      <c r="Z123" s="371">
        <v>0</v>
      </c>
      <c r="AA123" s="371">
        <v>0</v>
      </c>
      <c r="AB123" s="371">
        <v>0</v>
      </c>
      <c r="AC123" s="371">
        <v>0</v>
      </c>
      <c r="AD123" s="371">
        <v>0</v>
      </c>
      <c r="AE123" s="371">
        <v>0</v>
      </c>
      <c r="AF123" s="385">
        <f t="shared" si="49"/>
        <v>0</v>
      </c>
      <c r="AG123" s="371">
        <v>0</v>
      </c>
      <c r="AH123" s="371">
        <v>0</v>
      </c>
      <c r="AI123" s="387">
        <f t="shared" si="25"/>
        <v>0</v>
      </c>
    </row>
    <row r="124" spans="1:35" s="393" customFormat="1" ht="24" customHeight="1">
      <c r="A124" s="397" t="s">
        <v>1</v>
      </c>
      <c r="B124" s="428" t="s">
        <v>433</v>
      </c>
      <c r="C124" s="395" t="s">
        <v>1117</v>
      </c>
      <c r="D124" s="396">
        <v>3</v>
      </c>
      <c r="E124" s="385">
        <f t="shared" si="46"/>
        <v>80000</v>
      </c>
      <c r="F124" s="368">
        <v>50000</v>
      </c>
      <c r="G124" s="368">
        <v>30000</v>
      </c>
      <c r="H124" s="385">
        <f t="shared" si="47"/>
        <v>23932</v>
      </c>
      <c r="I124" s="371">
        <v>0</v>
      </c>
      <c r="J124" s="371">
        <v>0</v>
      </c>
      <c r="K124" s="371">
        <v>0</v>
      </c>
      <c r="L124" s="371">
        <v>0</v>
      </c>
      <c r="M124" s="371">
        <v>0</v>
      </c>
      <c r="N124" s="371">
        <v>0</v>
      </c>
      <c r="O124" s="370">
        <v>23932</v>
      </c>
      <c r="P124" s="386">
        <f t="shared" si="48"/>
        <v>46614</v>
      </c>
      <c r="Q124" s="371">
        <v>0</v>
      </c>
      <c r="R124" s="371">
        <v>0</v>
      </c>
      <c r="S124" s="371">
        <v>0</v>
      </c>
      <c r="T124" s="371">
        <v>0</v>
      </c>
      <c r="U124" s="371">
        <v>0</v>
      </c>
      <c r="V124" s="371">
        <v>0</v>
      </c>
      <c r="W124" s="371">
        <v>0</v>
      </c>
      <c r="X124" s="371">
        <v>0</v>
      </c>
      <c r="Y124" s="371">
        <v>0</v>
      </c>
      <c r="Z124" s="371">
        <v>0</v>
      </c>
      <c r="AA124" s="371">
        <v>0</v>
      </c>
      <c r="AB124" s="371">
        <v>0</v>
      </c>
      <c r="AC124" s="371">
        <v>0</v>
      </c>
      <c r="AD124" s="371">
        <v>0</v>
      </c>
      <c r="AE124" s="371">
        <v>46614</v>
      </c>
      <c r="AF124" s="385">
        <f t="shared" si="49"/>
        <v>9454</v>
      </c>
      <c r="AG124" s="371">
        <v>5000</v>
      </c>
      <c r="AH124" s="371">
        <v>4454</v>
      </c>
      <c r="AI124" s="387">
        <f t="shared" si="25"/>
        <v>0</v>
      </c>
    </row>
    <row r="125" spans="1:35" s="393" customFormat="1" ht="24" customHeight="1">
      <c r="A125" s="397" t="s">
        <v>1</v>
      </c>
      <c r="B125" s="428" t="s">
        <v>433</v>
      </c>
      <c r="C125" s="395" t="s">
        <v>1118</v>
      </c>
      <c r="D125" s="396">
        <v>3</v>
      </c>
      <c r="E125" s="385">
        <f t="shared" si="46"/>
        <v>2000</v>
      </c>
      <c r="F125" s="368">
        <v>2000</v>
      </c>
      <c r="G125" s="368">
        <v>0</v>
      </c>
      <c r="H125" s="385">
        <f t="shared" si="47"/>
        <v>1000</v>
      </c>
      <c r="I125" s="371">
        <v>0</v>
      </c>
      <c r="J125" s="371">
        <v>0</v>
      </c>
      <c r="K125" s="371">
        <v>0</v>
      </c>
      <c r="L125" s="371">
        <v>0</v>
      </c>
      <c r="M125" s="371">
        <v>0</v>
      </c>
      <c r="N125" s="371">
        <v>0</v>
      </c>
      <c r="O125" s="370">
        <v>1000</v>
      </c>
      <c r="P125" s="386">
        <f t="shared" si="48"/>
        <v>1000</v>
      </c>
      <c r="Q125" s="371">
        <v>0</v>
      </c>
      <c r="R125" s="371">
        <v>0</v>
      </c>
      <c r="S125" s="371">
        <v>0</v>
      </c>
      <c r="T125" s="371">
        <v>0</v>
      </c>
      <c r="U125" s="371">
        <v>0</v>
      </c>
      <c r="V125" s="371">
        <v>0</v>
      </c>
      <c r="W125" s="371">
        <v>0</v>
      </c>
      <c r="X125" s="371">
        <v>0</v>
      </c>
      <c r="Y125" s="371">
        <v>0</v>
      </c>
      <c r="Z125" s="371">
        <v>0</v>
      </c>
      <c r="AA125" s="371">
        <v>0</v>
      </c>
      <c r="AB125" s="371">
        <v>0</v>
      </c>
      <c r="AC125" s="371">
        <v>0</v>
      </c>
      <c r="AD125" s="371">
        <v>0</v>
      </c>
      <c r="AE125" s="371">
        <v>1000</v>
      </c>
      <c r="AF125" s="385">
        <f t="shared" si="49"/>
        <v>0</v>
      </c>
      <c r="AG125" s="371">
        <v>0</v>
      </c>
      <c r="AH125" s="371">
        <v>0</v>
      </c>
      <c r="AI125" s="387">
        <f t="shared" si="25"/>
        <v>0</v>
      </c>
    </row>
    <row r="126" spans="1:35" s="393" customFormat="1" ht="33.950000000000003" customHeight="1">
      <c r="A126" s="397" t="s">
        <v>1</v>
      </c>
      <c r="B126" s="428" t="s">
        <v>433</v>
      </c>
      <c r="C126" s="395" t="s">
        <v>552</v>
      </c>
      <c r="D126" s="396">
        <v>3</v>
      </c>
      <c r="E126" s="385">
        <f t="shared" si="46"/>
        <v>25700</v>
      </c>
      <c r="F126" s="368">
        <v>24500</v>
      </c>
      <c r="G126" s="368">
        <v>1200</v>
      </c>
      <c r="H126" s="385">
        <f t="shared" si="47"/>
        <v>8200</v>
      </c>
      <c r="I126" s="371">
        <v>0</v>
      </c>
      <c r="J126" s="371">
        <v>0</v>
      </c>
      <c r="K126" s="371">
        <v>0</v>
      </c>
      <c r="L126" s="371">
        <v>0</v>
      </c>
      <c r="M126" s="371">
        <v>0</v>
      </c>
      <c r="N126" s="371">
        <v>0</v>
      </c>
      <c r="O126" s="370">
        <v>8200</v>
      </c>
      <c r="P126" s="386">
        <f t="shared" si="48"/>
        <v>17500</v>
      </c>
      <c r="Q126" s="371">
        <v>0</v>
      </c>
      <c r="R126" s="371">
        <v>0</v>
      </c>
      <c r="S126" s="371">
        <v>0</v>
      </c>
      <c r="T126" s="371">
        <v>0</v>
      </c>
      <c r="U126" s="371">
        <v>0</v>
      </c>
      <c r="V126" s="371">
        <v>0</v>
      </c>
      <c r="W126" s="371">
        <v>0</v>
      </c>
      <c r="X126" s="371">
        <v>0</v>
      </c>
      <c r="Y126" s="371">
        <v>0</v>
      </c>
      <c r="Z126" s="371">
        <v>0</v>
      </c>
      <c r="AA126" s="371">
        <v>0</v>
      </c>
      <c r="AB126" s="371">
        <v>0</v>
      </c>
      <c r="AC126" s="371">
        <v>0</v>
      </c>
      <c r="AD126" s="371">
        <v>0</v>
      </c>
      <c r="AE126" s="371">
        <v>17500</v>
      </c>
      <c r="AF126" s="385">
        <f t="shared" si="49"/>
        <v>0</v>
      </c>
      <c r="AG126" s="371">
        <v>0</v>
      </c>
      <c r="AH126" s="371">
        <v>0</v>
      </c>
      <c r="AI126" s="387">
        <f t="shared" si="25"/>
        <v>0</v>
      </c>
    </row>
    <row r="127" spans="1:35" s="393" customFormat="1" ht="24" customHeight="1">
      <c r="A127" s="397" t="s">
        <v>1</v>
      </c>
      <c r="B127" s="428" t="s">
        <v>433</v>
      </c>
      <c r="C127" s="395" t="s">
        <v>438</v>
      </c>
      <c r="D127" s="396">
        <v>3</v>
      </c>
      <c r="E127" s="385">
        <f t="shared" si="46"/>
        <v>2074</v>
      </c>
      <c r="F127" s="368">
        <v>2074</v>
      </c>
      <c r="G127" s="368">
        <v>0</v>
      </c>
      <c r="H127" s="385">
        <f t="shared" si="47"/>
        <v>574</v>
      </c>
      <c r="I127" s="371">
        <v>0</v>
      </c>
      <c r="J127" s="371">
        <v>0</v>
      </c>
      <c r="K127" s="371">
        <v>0</v>
      </c>
      <c r="L127" s="371">
        <v>0</v>
      </c>
      <c r="M127" s="371">
        <v>0</v>
      </c>
      <c r="N127" s="371">
        <v>0</v>
      </c>
      <c r="O127" s="370">
        <v>574</v>
      </c>
      <c r="P127" s="386">
        <f t="shared" si="48"/>
        <v>1500</v>
      </c>
      <c r="Q127" s="371">
        <v>0</v>
      </c>
      <c r="R127" s="371">
        <v>0</v>
      </c>
      <c r="S127" s="371">
        <v>0</v>
      </c>
      <c r="T127" s="371">
        <v>0</v>
      </c>
      <c r="U127" s="371">
        <v>0</v>
      </c>
      <c r="V127" s="371">
        <v>0</v>
      </c>
      <c r="W127" s="371">
        <v>0</v>
      </c>
      <c r="X127" s="371">
        <v>0</v>
      </c>
      <c r="Y127" s="371">
        <v>0</v>
      </c>
      <c r="Z127" s="371">
        <v>0</v>
      </c>
      <c r="AA127" s="371">
        <v>0</v>
      </c>
      <c r="AB127" s="371">
        <v>0</v>
      </c>
      <c r="AC127" s="371">
        <v>0</v>
      </c>
      <c r="AD127" s="371">
        <v>0</v>
      </c>
      <c r="AE127" s="371">
        <v>1500</v>
      </c>
      <c r="AF127" s="385">
        <f t="shared" si="49"/>
        <v>0</v>
      </c>
      <c r="AG127" s="371">
        <v>0</v>
      </c>
      <c r="AH127" s="371">
        <v>0</v>
      </c>
      <c r="AI127" s="387">
        <f t="shared" si="25"/>
        <v>0</v>
      </c>
    </row>
    <row r="128" spans="1:35" s="393" customFormat="1" ht="24" customHeight="1">
      <c r="A128" s="397" t="s">
        <v>1</v>
      </c>
      <c r="B128" s="428" t="s">
        <v>433</v>
      </c>
      <c r="C128" s="395" t="s">
        <v>439</v>
      </c>
      <c r="D128" s="396">
        <v>3</v>
      </c>
      <c r="E128" s="385">
        <f t="shared" si="46"/>
        <v>2500</v>
      </c>
      <c r="F128" s="368">
        <v>2500</v>
      </c>
      <c r="G128" s="368">
        <v>0</v>
      </c>
      <c r="H128" s="385">
        <f t="shared" si="47"/>
        <v>2500</v>
      </c>
      <c r="I128" s="371">
        <v>0</v>
      </c>
      <c r="J128" s="371">
        <v>2500</v>
      </c>
      <c r="K128" s="371">
        <v>0</v>
      </c>
      <c r="L128" s="371">
        <v>0</v>
      </c>
      <c r="M128" s="371">
        <v>0</v>
      </c>
      <c r="N128" s="371">
        <v>0</v>
      </c>
      <c r="O128" s="370">
        <v>0</v>
      </c>
      <c r="P128" s="386">
        <f t="shared" si="48"/>
        <v>0</v>
      </c>
      <c r="Q128" s="371">
        <v>0</v>
      </c>
      <c r="R128" s="371">
        <v>0</v>
      </c>
      <c r="S128" s="371">
        <v>0</v>
      </c>
      <c r="T128" s="371">
        <v>0</v>
      </c>
      <c r="U128" s="371">
        <v>0</v>
      </c>
      <c r="V128" s="371">
        <v>0</v>
      </c>
      <c r="W128" s="371">
        <v>0</v>
      </c>
      <c r="X128" s="371">
        <v>0</v>
      </c>
      <c r="Y128" s="371">
        <v>0</v>
      </c>
      <c r="Z128" s="371">
        <v>0</v>
      </c>
      <c r="AA128" s="371">
        <v>0</v>
      </c>
      <c r="AB128" s="371">
        <v>0</v>
      </c>
      <c r="AC128" s="371">
        <v>0</v>
      </c>
      <c r="AD128" s="371">
        <v>0</v>
      </c>
      <c r="AE128" s="371">
        <v>0</v>
      </c>
      <c r="AF128" s="385">
        <f t="shared" si="49"/>
        <v>0</v>
      </c>
      <c r="AG128" s="371">
        <v>0</v>
      </c>
      <c r="AH128" s="371">
        <v>0</v>
      </c>
      <c r="AI128" s="387">
        <f t="shared" si="25"/>
        <v>0</v>
      </c>
    </row>
    <row r="129" spans="1:35" s="393" customFormat="1" ht="36.6" customHeight="1">
      <c r="A129" s="397" t="s">
        <v>1</v>
      </c>
      <c r="B129" s="428" t="s">
        <v>433</v>
      </c>
      <c r="C129" s="395" t="s">
        <v>440</v>
      </c>
      <c r="D129" s="396">
        <v>3</v>
      </c>
      <c r="E129" s="385">
        <f t="shared" si="46"/>
        <v>27416</v>
      </c>
      <c r="F129" s="368">
        <v>24276</v>
      </c>
      <c r="G129" s="368">
        <v>3140</v>
      </c>
      <c r="H129" s="385">
        <f t="shared" si="47"/>
        <v>8485</v>
      </c>
      <c r="I129" s="371">
        <v>0</v>
      </c>
      <c r="J129" s="371">
        <v>0</v>
      </c>
      <c r="K129" s="371">
        <v>0</v>
      </c>
      <c r="L129" s="371">
        <v>0</v>
      </c>
      <c r="M129" s="371">
        <v>0</v>
      </c>
      <c r="N129" s="371">
        <v>0</v>
      </c>
      <c r="O129" s="370">
        <v>8485</v>
      </c>
      <c r="P129" s="386">
        <f t="shared" si="48"/>
        <v>16331</v>
      </c>
      <c r="Q129" s="371">
        <v>0</v>
      </c>
      <c r="R129" s="371">
        <v>0</v>
      </c>
      <c r="S129" s="371">
        <v>0</v>
      </c>
      <c r="T129" s="371">
        <v>0</v>
      </c>
      <c r="U129" s="371">
        <v>0</v>
      </c>
      <c r="V129" s="371">
        <v>0</v>
      </c>
      <c r="W129" s="371">
        <v>0</v>
      </c>
      <c r="X129" s="371">
        <v>0</v>
      </c>
      <c r="Y129" s="371">
        <v>0</v>
      </c>
      <c r="Z129" s="371">
        <v>0</v>
      </c>
      <c r="AA129" s="371">
        <v>0</v>
      </c>
      <c r="AB129" s="371">
        <v>0</v>
      </c>
      <c r="AC129" s="371">
        <v>0</v>
      </c>
      <c r="AD129" s="371">
        <v>0</v>
      </c>
      <c r="AE129" s="371">
        <v>16331</v>
      </c>
      <c r="AF129" s="385">
        <f t="shared" si="49"/>
        <v>2600</v>
      </c>
      <c r="AG129" s="371">
        <v>1300</v>
      </c>
      <c r="AH129" s="371">
        <v>1300</v>
      </c>
      <c r="AI129" s="387">
        <f t="shared" si="25"/>
        <v>0</v>
      </c>
    </row>
    <row r="130" spans="1:35" s="393" customFormat="1" ht="24" customHeight="1">
      <c r="A130" s="397" t="s">
        <v>1</v>
      </c>
      <c r="B130" s="428" t="s">
        <v>433</v>
      </c>
      <c r="C130" s="395" t="s">
        <v>466</v>
      </c>
      <c r="D130" s="396">
        <v>3</v>
      </c>
      <c r="E130" s="385">
        <f t="shared" si="46"/>
        <v>43580</v>
      </c>
      <c r="F130" s="368">
        <v>31080</v>
      </c>
      <c r="G130" s="368">
        <v>12500</v>
      </c>
      <c r="H130" s="385">
        <f t="shared" si="47"/>
        <v>13650</v>
      </c>
      <c r="I130" s="371">
        <v>0</v>
      </c>
      <c r="J130" s="371">
        <v>0</v>
      </c>
      <c r="K130" s="371">
        <v>0</v>
      </c>
      <c r="L130" s="371">
        <v>0</v>
      </c>
      <c r="M130" s="371">
        <v>0</v>
      </c>
      <c r="N130" s="371">
        <v>0</v>
      </c>
      <c r="O130" s="370">
        <v>13650</v>
      </c>
      <c r="P130" s="386">
        <f t="shared" si="48"/>
        <v>26030</v>
      </c>
      <c r="Q130" s="371">
        <v>0</v>
      </c>
      <c r="R130" s="371">
        <v>0</v>
      </c>
      <c r="S130" s="371">
        <v>0</v>
      </c>
      <c r="T130" s="371">
        <v>0</v>
      </c>
      <c r="U130" s="371">
        <v>0</v>
      </c>
      <c r="V130" s="371">
        <v>0</v>
      </c>
      <c r="W130" s="371">
        <v>0</v>
      </c>
      <c r="X130" s="371">
        <v>0</v>
      </c>
      <c r="Y130" s="371">
        <v>0</v>
      </c>
      <c r="Z130" s="371">
        <v>0</v>
      </c>
      <c r="AA130" s="371">
        <v>0</v>
      </c>
      <c r="AB130" s="371">
        <v>0</v>
      </c>
      <c r="AC130" s="371">
        <v>0</v>
      </c>
      <c r="AD130" s="371">
        <v>0</v>
      </c>
      <c r="AE130" s="371">
        <v>26030</v>
      </c>
      <c r="AF130" s="385">
        <f t="shared" si="49"/>
        <v>3900</v>
      </c>
      <c r="AG130" s="371">
        <v>2200</v>
      </c>
      <c r="AH130" s="371">
        <v>1700</v>
      </c>
      <c r="AI130" s="387">
        <f t="shared" si="25"/>
        <v>0</v>
      </c>
    </row>
    <row r="131" spans="1:35" s="393" customFormat="1" ht="33" customHeight="1">
      <c r="A131" s="397" t="s">
        <v>1</v>
      </c>
      <c r="B131" s="428" t="s">
        <v>433</v>
      </c>
      <c r="C131" s="395" t="s">
        <v>441</v>
      </c>
      <c r="D131" s="396">
        <v>3</v>
      </c>
      <c r="E131" s="385">
        <f t="shared" si="46"/>
        <v>216715</v>
      </c>
      <c r="F131" s="368">
        <v>149231</v>
      </c>
      <c r="G131" s="368">
        <v>67484</v>
      </c>
      <c r="H131" s="385">
        <f t="shared" si="47"/>
        <v>63872</v>
      </c>
      <c r="I131" s="371">
        <v>0</v>
      </c>
      <c r="J131" s="371">
        <v>0</v>
      </c>
      <c r="K131" s="371">
        <v>0</v>
      </c>
      <c r="L131" s="371">
        <v>0</v>
      </c>
      <c r="M131" s="371">
        <v>0</v>
      </c>
      <c r="N131" s="371">
        <v>0</v>
      </c>
      <c r="O131" s="370">
        <v>63872</v>
      </c>
      <c r="P131" s="386">
        <f t="shared" si="48"/>
        <v>140042</v>
      </c>
      <c r="Q131" s="371">
        <v>0</v>
      </c>
      <c r="R131" s="371">
        <v>0</v>
      </c>
      <c r="S131" s="371">
        <v>0</v>
      </c>
      <c r="T131" s="371">
        <v>0</v>
      </c>
      <c r="U131" s="371">
        <v>0</v>
      </c>
      <c r="V131" s="371">
        <v>0</v>
      </c>
      <c r="W131" s="371">
        <v>0</v>
      </c>
      <c r="X131" s="371">
        <v>0</v>
      </c>
      <c r="Y131" s="371">
        <v>0</v>
      </c>
      <c r="Z131" s="371">
        <v>0</v>
      </c>
      <c r="AA131" s="371">
        <v>0</v>
      </c>
      <c r="AB131" s="371">
        <v>0</v>
      </c>
      <c r="AC131" s="371">
        <v>0</v>
      </c>
      <c r="AD131" s="371">
        <v>0</v>
      </c>
      <c r="AE131" s="371">
        <v>140042</v>
      </c>
      <c r="AF131" s="385">
        <f t="shared" si="49"/>
        <v>12801</v>
      </c>
      <c r="AG131" s="371">
        <v>6596</v>
      </c>
      <c r="AH131" s="371">
        <v>6205</v>
      </c>
      <c r="AI131" s="387">
        <f t="shared" si="25"/>
        <v>0</v>
      </c>
    </row>
    <row r="132" spans="1:35" s="393" customFormat="1" ht="24" customHeight="1">
      <c r="A132" s="397" t="s">
        <v>1</v>
      </c>
      <c r="B132" s="428" t="s">
        <v>433</v>
      </c>
      <c r="C132" s="395" t="s">
        <v>442</v>
      </c>
      <c r="D132" s="396">
        <v>3</v>
      </c>
      <c r="E132" s="385">
        <f t="shared" si="46"/>
        <v>75180</v>
      </c>
      <c r="F132" s="368">
        <v>42743</v>
      </c>
      <c r="G132" s="368">
        <v>32437</v>
      </c>
      <c r="H132" s="385">
        <f t="shared" si="47"/>
        <v>30346</v>
      </c>
      <c r="I132" s="371">
        <v>0</v>
      </c>
      <c r="J132" s="371">
        <v>0</v>
      </c>
      <c r="K132" s="371">
        <v>0</v>
      </c>
      <c r="L132" s="371">
        <v>0</v>
      </c>
      <c r="M132" s="371">
        <v>0</v>
      </c>
      <c r="N132" s="371">
        <v>0</v>
      </c>
      <c r="O132" s="370">
        <v>30346</v>
      </c>
      <c r="P132" s="386">
        <f t="shared" si="48"/>
        <v>40874</v>
      </c>
      <c r="Q132" s="371">
        <v>0</v>
      </c>
      <c r="R132" s="371">
        <v>0</v>
      </c>
      <c r="S132" s="371">
        <v>0</v>
      </c>
      <c r="T132" s="371">
        <v>0</v>
      </c>
      <c r="U132" s="371">
        <v>0</v>
      </c>
      <c r="V132" s="371">
        <v>0</v>
      </c>
      <c r="W132" s="371">
        <v>0</v>
      </c>
      <c r="X132" s="371">
        <v>0</v>
      </c>
      <c r="Y132" s="371">
        <v>0</v>
      </c>
      <c r="Z132" s="371">
        <v>0</v>
      </c>
      <c r="AA132" s="371">
        <v>0</v>
      </c>
      <c r="AB132" s="371">
        <v>0</v>
      </c>
      <c r="AC132" s="371">
        <v>0</v>
      </c>
      <c r="AD132" s="371">
        <v>0</v>
      </c>
      <c r="AE132" s="371">
        <v>40874</v>
      </c>
      <c r="AF132" s="385">
        <f t="shared" si="49"/>
        <v>3960</v>
      </c>
      <c r="AG132" s="371">
        <v>2010</v>
      </c>
      <c r="AH132" s="371">
        <v>1950</v>
      </c>
      <c r="AI132" s="387">
        <f t="shared" si="25"/>
        <v>0</v>
      </c>
    </row>
    <row r="133" spans="1:35" s="393" customFormat="1" ht="24" customHeight="1">
      <c r="A133" s="397" t="s">
        <v>1</v>
      </c>
      <c r="B133" s="428" t="s">
        <v>433</v>
      </c>
      <c r="C133" s="395" t="s">
        <v>637</v>
      </c>
      <c r="D133" s="396">
        <v>3</v>
      </c>
      <c r="E133" s="385">
        <f t="shared" si="46"/>
        <v>81150</v>
      </c>
      <c r="F133" s="368">
        <v>73900</v>
      </c>
      <c r="G133" s="368">
        <v>7250</v>
      </c>
      <c r="H133" s="385">
        <f t="shared" si="47"/>
        <v>20275</v>
      </c>
      <c r="I133" s="371">
        <v>0</v>
      </c>
      <c r="J133" s="371">
        <v>0</v>
      </c>
      <c r="K133" s="371">
        <v>0</v>
      </c>
      <c r="L133" s="371">
        <v>0</v>
      </c>
      <c r="M133" s="371">
        <v>0</v>
      </c>
      <c r="N133" s="371">
        <v>0</v>
      </c>
      <c r="O133" s="370">
        <v>20275</v>
      </c>
      <c r="P133" s="386">
        <f t="shared" si="48"/>
        <v>59525</v>
      </c>
      <c r="Q133" s="371">
        <v>0</v>
      </c>
      <c r="R133" s="371">
        <v>0</v>
      </c>
      <c r="S133" s="371">
        <v>0</v>
      </c>
      <c r="T133" s="371">
        <v>0</v>
      </c>
      <c r="U133" s="371">
        <v>0</v>
      </c>
      <c r="V133" s="371">
        <v>0</v>
      </c>
      <c r="W133" s="371">
        <v>0</v>
      </c>
      <c r="X133" s="371">
        <v>0</v>
      </c>
      <c r="Y133" s="371">
        <v>0</v>
      </c>
      <c r="Z133" s="371">
        <v>0</v>
      </c>
      <c r="AA133" s="371">
        <v>0</v>
      </c>
      <c r="AB133" s="371">
        <v>0</v>
      </c>
      <c r="AC133" s="371">
        <v>0</v>
      </c>
      <c r="AD133" s="371">
        <v>0</v>
      </c>
      <c r="AE133" s="371">
        <v>59525</v>
      </c>
      <c r="AF133" s="385">
        <f t="shared" si="49"/>
        <v>1350</v>
      </c>
      <c r="AG133" s="371">
        <v>1150</v>
      </c>
      <c r="AH133" s="371">
        <v>200</v>
      </c>
      <c r="AI133" s="387">
        <f t="shared" ref="AI133:AI196" si="50">IF(+F133+G133=E133,0,FALSE)</f>
        <v>0</v>
      </c>
    </row>
    <row r="134" spans="1:35" s="393" customFormat="1" ht="24" customHeight="1">
      <c r="A134" s="397" t="s">
        <v>1</v>
      </c>
      <c r="B134" s="428" t="s">
        <v>433</v>
      </c>
      <c r="C134" s="395" t="s">
        <v>444</v>
      </c>
      <c r="D134" s="396">
        <v>3</v>
      </c>
      <c r="E134" s="385">
        <f t="shared" si="46"/>
        <v>66192</v>
      </c>
      <c r="F134" s="368">
        <v>59792</v>
      </c>
      <c r="G134" s="368">
        <v>6400</v>
      </c>
      <c r="H134" s="385">
        <f t="shared" si="47"/>
        <v>16940</v>
      </c>
      <c r="I134" s="371">
        <v>0</v>
      </c>
      <c r="J134" s="371">
        <v>0</v>
      </c>
      <c r="K134" s="371">
        <v>0</v>
      </c>
      <c r="L134" s="371">
        <v>0</v>
      </c>
      <c r="M134" s="371">
        <v>0</v>
      </c>
      <c r="N134" s="371">
        <v>0</v>
      </c>
      <c r="O134" s="370">
        <v>16940</v>
      </c>
      <c r="P134" s="386">
        <f t="shared" si="48"/>
        <v>43942</v>
      </c>
      <c r="Q134" s="371">
        <v>0</v>
      </c>
      <c r="R134" s="371">
        <v>0</v>
      </c>
      <c r="S134" s="371">
        <v>0</v>
      </c>
      <c r="T134" s="371">
        <v>0</v>
      </c>
      <c r="U134" s="371">
        <v>0</v>
      </c>
      <c r="V134" s="371">
        <v>0</v>
      </c>
      <c r="W134" s="371">
        <v>0</v>
      </c>
      <c r="X134" s="371">
        <v>0</v>
      </c>
      <c r="Y134" s="371">
        <v>0</v>
      </c>
      <c r="Z134" s="371">
        <v>0</v>
      </c>
      <c r="AA134" s="371">
        <v>0</v>
      </c>
      <c r="AB134" s="371">
        <v>0</v>
      </c>
      <c r="AC134" s="371">
        <v>0</v>
      </c>
      <c r="AD134" s="371">
        <v>0</v>
      </c>
      <c r="AE134" s="371">
        <v>43942</v>
      </c>
      <c r="AF134" s="385">
        <f t="shared" si="49"/>
        <v>5310</v>
      </c>
      <c r="AG134" s="371">
        <v>2655</v>
      </c>
      <c r="AH134" s="371">
        <v>2655</v>
      </c>
      <c r="AI134" s="387">
        <f t="shared" si="50"/>
        <v>0</v>
      </c>
    </row>
    <row r="135" spans="1:35" s="393" customFormat="1" ht="34.5" customHeight="1">
      <c r="A135" s="397" t="s">
        <v>1</v>
      </c>
      <c r="B135" s="428" t="s">
        <v>433</v>
      </c>
      <c r="C135" s="395" t="s">
        <v>445</v>
      </c>
      <c r="D135" s="396">
        <v>3</v>
      </c>
      <c r="E135" s="385">
        <f t="shared" si="46"/>
        <v>85624</v>
      </c>
      <c r="F135" s="368">
        <v>53874</v>
      </c>
      <c r="G135" s="368">
        <v>31750</v>
      </c>
      <c r="H135" s="385">
        <f t="shared" si="47"/>
        <v>15765</v>
      </c>
      <c r="I135" s="371">
        <v>0</v>
      </c>
      <c r="J135" s="371">
        <v>0</v>
      </c>
      <c r="K135" s="371">
        <v>0</v>
      </c>
      <c r="L135" s="371">
        <v>0</v>
      </c>
      <c r="M135" s="371">
        <v>0</v>
      </c>
      <c r="N135" s="371">
        <v>0</v>
      </c>
      <c r="O135" s="370">
        <v>15765</v>
      </c>
      <c r="P135" s="386">
        <f t="shared" si="48"/>
        <v>64459</v>
      </c>
      <c r="Q135" s="371">
        <v>0</v>
      </c>
      <c r="R135" s="371">
        <v>0</v>
      </c>
      <c r="S135" s="371">
        <v>0</v>
      </c>
      <c r="T135" s="371">
        <v>0</v>
      </c>
      <c r="U135" s="371">
        <v>0</v>
      </c>
      <c r="V135" s="371">
        <v>0</v>
      </c>
      <c r="W135" s="371">
        <v>0</v>
      </c>
      <c r="X135" s="371">
        <v>0</v>
      </c>
      <c r="Y135" s="371">
        <v>0</v>
      </c>
      <c r="Z135" s="371">
        <v>0</v>
      </c>
      <c r="AA135" s="371">
        <v>0</v>
      </c>
      <c r="AB135" s="371">
        <v>0</v>
      </c>
      <c r="AC135" s="371">
        <v>0</v>
      </c>
      <c r="AD135" s="371">
        <v>0</v>
      </c>
      <c r="AE135" s="371">
        <v>64459</v>
      </c>
      <c r="AF135" s="385">
        <f t="shared" si="49"/>
        <v>5400</v>
      </c>
      <c r="AG135" s="371">
        <v>2700</v>
      </c>
      <c r="AH135" s="371">
        <v>2700</v>
      </c>
      <c r="AI135" s="387">
        <f t="shared" si="50"/>
        <v>0</v>
      </c>
    </row>
    <row r="136" spans="1:35" s="393" customFormat="1" ht="24" customHeight="1">
      <c r="A136" s="397" t="s">
        <v>1</v>
      </c>
      <c r="B136" s="428" t="s">
        <v>433</v>
      </c>
      <c r="C136" s="395" t="s">
        <v>638</v>
      </c>
      <c r="D136" s="396">
        <v>3</v>
      </c>
      <c r="E136" s="385">
        <f t="shared" si="46"/>
        <v>9700</v>
      </c>
      <c r="F136" s="368">
        <v>9700</v>
      </c>
      <c r="G136" s="368">
        <v>0</v>
      </c>
      <c r="H136" s="385">
        <f t="shared" si="47"/>
        <v>8400</v>
      </c>
      <c r="I136" s="371">
        <v>1800</v>
      </c>
      <c r="J136" s="371">
        <v>3400</v>
      </c>
      <c r="K136" s="371">
        <v>400</v>
      </c>
      <c r="L136" s="371">
        <v>1800</v>
      </c>
      <c r="M136" s="371">
        <v>0</v>
      </c>
      <c r="N136" s="371">
        <v>1000</v>
      </c>
      <c r="O136" s="370">
        <v>0</v>
      </c>
      <c r="P136" s="386">
        <f t="shared" si="48"/>
        <v>1300</v>
      </c>
      <c r="Q136" s="371">
        <v>600</v>
      </c>
      <c r="R136" s="371">
        <v>0</v>
      </c>
      <c r="S136" s="371">
        <v>0</v>
      </c>
      <c r="T136" s="371">
        <v>0</v>
      </c>
      <c r="U136" s="371">
        <v>0</v>
      </c>
      <c r="V136" s="371">
        <v>0</v>
      </c>
      <c r="W136" s="371">
        <v>0</v>
      </c>
      <c r="X136" s="371">
        <v>0</v>
      </c>
      <c r="Y136" s="371">
        <v>0</v>
      </c>
      <c r="Z136" s="371">
        <v>0</v>
      </c>
      <c r="AA136" s="371">
        <v>0</v>
      </c>
      <c r="AB136" s="371">
        <v>700</v>
      </c>
      <c r="AC136" s="371">
        <v>0</v>
      </c>
      <c r="AD136" s="371">
        <v>0</v>
      </c>
      <c r="AE136" s="371">
        <v>0</v>
      </c>
      <c r="AF136" s="385">
        <f t="shared" si="49"/>
        <v>0</v>
      </c>
      <c r="AG136" s="371">
        <v>0</v>
      </c>
      <c r="AH136" s="371">
        <v>0</v>
      </c>
      <c r="AI136" s="387">
        <f t="shared" si="50"/>
        <v>0</v>
      </c>
    </row>
    <row r="137" spans="1:35" s="393" customFormat="1" ht="37.5" customHeight="1">
      <c r="A137" s="397" t="s">
        <v>1</v>
      </c>
      <c r="B137" s="428" t="s">
        <v>433</v>
      </c>
      <c r="C137" s="395" t="s">
        <v>639</v>
      </c>
      <c r="D137" s="396">
        <v>3</v>
      </c>
      <c r="E137" s="385">
        <f t="shared" si="46"/>
        <v>9000</v>
      </c>
      <c r="F137" s="368">
        <v>9000</v>
      </c>
      <c r="G137" s="368">
        <v>0</v>
      </c>
      <c r="H137" s="385">
        <f t="shared" si="47"/>
        <v>4600</v>
      </c>
      <c r="I137" s="371">
        <v>2000</v>
      </c>
      <c r="J137" s="371">
        <v>2000</v>
      </c>
      <c r="K137" s="371">
        <v>0</v>
      </c>
      <c r="L137" s="371">
        <v>600</v>
      </c>
      <c r="M137" s="371">
        <v>0</v>
      </c>
      <c r="N137" s="371">
        <v>0</v>
      </c>
      <c r="O137" s="370">
        <v>0</v>
      </c>
      <c r="P137" s="386">
        <f t="shared" si="48"/>
        <v>1400</v>
      </c>
      <c r="Q137" s="371">
        <v>0</v>
      </c>
      <c r="R137" s="371">
        <v>0</v>
      </c>
      <c r="S137" s="371">
        <v>0</v>
      </c>
      <c r="T137" s="371">
        <v>1400</v>
      </c>
      <c r="U137" s="371">
        <v>0</v>
      </c>
      <c r="V137" s="371">
        <v>0</v>
      </c>
      <c r="W137" s="371">
        <v>0</v>
      </c>
      <c r="X137" s="371">
        <v>0</v>
      </c>
      <c r="Y137" s="371">
        <v>0</v>
      </c>
      <c r="Z137" s="371">
        <v>0</v>
      </c>
      <c r="AA137" s="371">
        <v>0</v>
      </c>
      <c r="AB137" s="371">
        <v>0</v>
      </c>
      <c r="AC137" s="371">
        <v>0</v>
      </c>
      <c r="AD137" s="371">
        <v>0</v>
      </c>
      <c r="AE137" s="371">
        <v>0</v>
      </c>
      <c r="AF137" s="385">
        <f t="shared" si="49"/>
        <v>3000</v>
      </c>
      <c r="AG137" s="371">
        <v>3000</v>
      </c>
      <c r="AH137" s="371">
        <v>0</v>
      </c>
      <c r="AI137" s="387">
        <f t="shared" si="50"/>
        <v>0</v>
      </c>
    </row>
    <row r="138" spans="1:35" s="410" customFormat="1" ht="24" customHeight="1">
      <c r="A138" s="405" t="s">
        <v>1120</v>
      </c>
      <c r="B138" s="406"/>
      <c r="C138" s="407"/>
      <c r="D138" s="408"/>
      <c r="E138" s="409">
        <f t="shared" ref="E138:AH138" si="51">SUM(E139:E146)</f>
        <v>43691664</v>
      </c>
      <c r="F138" s="409">
        <f t="shared" si="51"/>
        <v>35973514</v>
      </c>
      <c r="G138" s="409">
        <f t="shared" si="51"/>
        <v>7718150</v>
      </c>
      <c r="H138" s="409">
        <f t="shared" si="51"/>
        <v>26198284</v>
      </c>
      <c r="I138" s="409">
        <f t="shared" si="51"/>
        <v>5734608</v>
      </c>
      <c r="J138" s="409">
        <f t="shared" si="51"/>
        <v>1982272</v>
      </c>
      <c r="K138" s="409">
        <f t="shared" si="51"/>
        <v>2023699</v>
      </c>
      <c r="L138" s="409">
        <f t="shared" si="51"/>
        <v>6321283</v>
      </c>
      <c r="M138" s="409">
        <f t="shared" si="51"/>
        <v>1793284</v>
      </c>
      <c r="N138" s="409">
        <f t="shared" si="51"/>
        <v>2533505</v>
      </c>
      <c r="O138" s="409">
        <f t="shared" si="51"/>
        <v>5809633</v>
      </c>
      <c r="P138" s="409">
        <f t="shared" si="51"/>
        <v>16906727</v>
      </c>
      <c r="Q138" s="409">
        <f t="shared" si="51"/>
        <v>828769</v>
      </c>
      <c r="R138" s="409">
        <f t="shared" si="51"/>
        <v>847870</v>
      </c>
      <c r="S138" s="409">
        <f t="shared" si="51"/>
        <v>965334</v>
      </c>
      <c r="T138" s="409">
        <f t="shared" si="51"/>
        <v>1417961</v>
      </c>
      <c r="U138" s="409">
        <f t="shared" si="51"/>
        <v>907464</v>
      </c>
      <c r="V138" s="409">
        <f t="shared" si="51"/>
        <v>1053917</v>
      </c>
      <c r="W138" s="409">
        <f t="shared" si="51"/>
        <v>953484</v>
      </c>
      <c r="X138" s="409">
        <f t="shared" si="51"/>
        <v>1333702</v>
      </c>
      <c r="Y138" s="409">
        <f t="shared" si="51"/>
        <v>892688</v>
      </c>
      <c r="Z138" s="409">
        <f t="shared" si="51"/>
        <v>881405</v>
      </c>
      <c r="AA138" s="409">
        <f t="shared" si="51"/>
        <v>384930</v>
      </c>
      <c r="AB138" s="409">
        <f t="shared" si="51"/>
        <v>606295</v>
      </c>
      <c r="AC138" s="409">
        <f t="shared" si="51"/>
        <v>614137</v>
      </c>
      <c r="AD138" s="409">
        <f t="shared" si="51"/>
        <v>415217</v>
      </c>
      <c r="AE138" s="409">
        <f t="shared" si="51"/>
        <v>4803554</v>
      </c>
      <c r="AF138" s="409">
        <f t="shared" si="51"/>
        <v>586653</v>
      </c>
      <c r="AG138" s="409">
        <f t="shared" si="51"/>
        <v>319086</v>
      </c>
      <c r="AH138" s="409">
        <f t="shared" si="51"/>
        <v>267567</v>
      </c>
      <c r="AI138" s="387">
        <f t="shared" si="50"/>
        <v>0</v>
      </c>
    </row>
    <row r="139" spans="1:35" s="393" customFormat="1" ht="33.950000000000003" customHeight="1">
      <c r="A139" s="397" t="s">
        <v>1</v>
      </c>
      <c r="B139" s="428" t="s">
        <v>1121</v>
      </c>
      <c r="C139" s="395" t="s">
        <v>449</v>
      </c>
      <c r="D139" s="396">
        <v>3</v>
      </c>
      <c r="E139" s="385">
        <f t="shared" ref="E139:E146" si="52">SUM(H139,P139,AF139)</f>
        <v>1791087</v>
      </c>
      <c r="F139" s="368">
        <v>930509</v>
      </c>
      <c r="G139" s="368">
        <v>860578</v>
      </c>
      <c r="H139" s="385">
        <f t="shared" ref="H139:H146" si="53">SUM(I139:O139)</f>
        <v>1115250</v>
      </c>
      <c r="I139" s="371">
        <v>280444</v>
      </c>
      <c r="J139" s="371">
        <v>225993</v>
      </c>
      <c r="K139" s="371">
        <v>74934</v>
      </c>
      <c r="L139" s="371">
        <v>217503</v>
      </c>
      <c r="M139" s="371">
        <v>90030</v>
      </c>
      <c r="N139" s="371">
        <v>226346</v>
      </c>
      <c r="O139" s="370">
        <v>0</v>
      </c>
      <c r="P139" s="386">
        <f t="shared" ref="P139:P146" si="54">SUM(Q139:AE139)</f>
        <v>615801</v>
      </c>
      <c r="Q139" s="371">
        <v>56213</v>
      </c>
      <c r="R139" s="371">
        <v>36030</v>
      </c>
      <c r="S139" s="371">
        <v>37239</v>
      </c>
      <c r="T139" s="371">
        <v>49141</v>
      </c>
      <c r="U139" s="371">
        <v>33019</v>
      </c>
      <c r="V139" s="371">
        <v>43333</v>
      </c>
      <c r="W139" s="371">
        <v>33090</v>
      </c>
      <c r="X139" s="371">
        <v>77330</v>
      </c>
      <c r="Y139" s="371">
        <v>45738</v>
      </c>
      <c r="Z139" s="371">
        <v>36579</v>
      </c>
      <c r="AA139" s="371">
        <v>30261</v>
      </c>
      <c r="AB139" s="371">
        <v>78678</v>
      </c>
      <c r="AC139" s="371">
        <v>48384</v>
      </c>
      <c r="AD139" s="371">
        <v>10766</v>
      </c>
      <c r="AE139" s="371">
        <v>0</v>
      </c>
      <c r="AF139" s="385">
        <f t="shared" ref="AF139:AF146" si="55">SUM(AG139:AH139)</f>
        <v>60036</v>
      </c>
      <c r="AG139" s="371">
        <v>30018</v>
      </c>
      <c r="AH139" s="371">
        <v>30018</v>
      </c>
      <c r="AI139" s="387">
        <f t="shared" si="50"/>
        <v>0</v>
      </c>
    </row>
    <row r="140" spans="1:35" s="393" customFormat="1" ht="31.5" customHeight="1">
      <c r="A140" s="397" t="s">
        <v>1</v>
      </c>
      <c r="B140" s="428" t="s">
        <v>1121</v>
      </c>
      <c r="C140" s="395" t="s">
        <v>450</v>
      </c>
      <c r="D140" s="396">
        <v>3</v>
      </c>
      <c r="E140" s="385">
        <f t="shared" si="52"/>
        <v>20268205</v>
      </c>
      <c r="F140" s="368">
        <v>15116645</v>
      </c>
      <c r="G140" s="368">
        <v>5151560</v>
      </c>
      <c r="H140" s="385">
        <f t="shared" si="53"/>
        <v>9676514</v>
      </c>
      <c r="I140" s="371">
        <v>826398</v>
      </c>
      <c r="J140" s="371">
        <v>771832</v>
      </c>
      <c r="K140" s="371">
        <v>791829</v>
      </c>
      <c r="L140" s="371">
        <v>1036124</v>
      </c>
      <c r="M140" s="371">
        <v>691819</v>
      </c>
      <c r="N140" s="371">
        <v>867510</v>
      </c>
      <c r="O140" s="370">
        <v>4691002</v>
      </c>
      <c r="P140" s="386">
        <f t="shared" si="54"/>
        <v>10253832</v>
      </c>
      <c r="Q140" s="371">
        <v>379068</v>
      </c>
      <c r="R140" s="371">
        <v>396024</v>
      </c>
      <c r="S140" s="371">
        <v>533143</v>
      </c>
      <c r="T140" s="371">
        <v>633240</v>
      </c>
      <c r="U140" s="371">
        <v>472339</v>
      </c>
      <c r="V140" s="371">
        <v>589106</v>
      </c>
      <c r="W140" s="371">
        <v>573396</v>
      </c>
      <c r="X140" s="371">
        <v>614544</v>
      </c>
      <c r="Y140" s="371">
        <v>482702</v>
      </c>
      <c r="Z140" s="371">
        <v>497665</v>
      </c>
      <c r="AA140" s="371">
        <v>206352</v>
      </c>
      <c r="AB140" s="371">
        <v>259860</v>
      </c>
      <c r="AC140" s="371">
        <v>235339</v>
      </c>
      <c r="AD140" s="371">
        <v>193599</v>
      </c>
      <c r="AE140" s="371">
        <v>4187455</v>
      </c>
      <c r="AF140" s="385">
        <f t="shared" si="55"/>
        <v>337859</v>
      </c>
      <c r="AG140" s="371">
        <v>178733</v>
      </c>
      <c r="AH140" s="371">
        <v>159126</v>
      </c>
      <c r="AI140" s="387">
        <f t="shared" si="50"/>
        <v>0</v>
      </c>
    </row>
    <row r="141" spans="1:35" s="393" customFormat="1" ht="28.5" customHeight="1">
      <c r="A141" s="397" t="s">
        <v>1</v>
      </c>
      <c r="B141" s="428" t="s">
        <v>1121</v>
      </c>
      <c r="C141" s="395" t="s">
        <v>451</v>
      </c>
      <c r="D141" s="396">
        <v>3</v>
      </c>
      <c r="E141" s="385">
        <f t="shared" si="52"/>
        <v>10022523</v>
      </c>
      <c r="F141" s="368">
        <v>9260463</v>
      </c>
      <c r="G141" s="368">
        <v>762060</v>
      </c>
      <c r="H141" s="385">
        <f t="shared" si="53"/>
        <v>6301826</v>
      </c>
      <c r="I141" s="371">
        <v>1233599</v>
      </c>
      <c r="J141" s="371">
        <v>697052</v>
      </c>
      <c r="K141" s="371">
        <v>761195</v>
      </c>
      <c r="L141" s="371">
        <v>1031132</v>
      </c>
      <c r="M141" s="371">
        <v>675547</v>
      </c>
      <c r="N141" s="371">
        <v>1063331</v>
      </c>
      <c r="O141" s="370">
        <v>839970</v>
      </c>
      <c r="P141" s="386">
        <f t="shared" si="54"/>
        <v>3672838</v>
      </c>
      <c r="Q141" s="371">
        <v>231197</v>
      </c>
      <c r="R141" s="371">
        <v>268438</v>
      </c>
      <c r="S141" s="371">
        <v>238892</v>
      </c>
      <c r="T141" s="371">
        <v>536633</v>
      </c>
      <c r="U141" s="371">
        <v>241569</v>
      </c>
      <c r="V141" s="371">
        <v>264215</v>
      </c>
      <c r="W141" s="371">
        <v>214309</v>
      </c>
      <c r="X141" s="371">
        <v>382314</v>
      </c>
      <c r="Y141" s="371">
        <v>168885</v>
      </c>
      <c r="Z141" s="371">
        <v>163130</v>
      </c>
      <c r="AA141" s="371">
        <v>57506</v>
      </c>
      <c r="AB141" s="371">
        <v>151079</v>
      </c>
      <c r="AC141" s="371">
        <v>205158</v>
      </c>
      <c r="AD141" s="371">
        <v>112012</v>
      </c>
      <c r="AE141" s="371">
        <v>437501</v>
      </c>
      <c r="AF141" s="385">
        <f t="shared" si="55"/>
        <v>47859</v>
      </c>
      <c r="AG141" s="371">
        <v>34065</v>
      </c>
      <c r="AH141" s="371">
        <v>13794</v>
      </c>
      <c r="AI141" s="387">
        <f t="shared" si="50"/>
        <v>0</v>
      </c>
    </row>
    <row r="142" spans="1:35" s="393" customFormat="1" ht="31.5" customHeight="1">
      <c r="A142" s="397" t="s">
        <v>1</v>
      </c>
      <c r="B142" s="428" t="s">
        <v>1121</v>
      </c>
      <c r="C142" s="395" t="s">
        <v>452</v>
      </c>
      <c r="D142" s="396">
        <v>3</v>
      </c>
      <c r="E142" s="385">
        <f t="shared" si="52"/>
        <v>696624</v>
      </c>
      <c r="F142" s="368">
        <v>504797</v>
      </c>
      <c r="G142" s="368">
        <v>191827</v>
      </c>
      <c r="H142" s="385">
        <f t="shared" si="53"/>
        <v>291407</v>
      </c>
      <c r="I142" s="371">
        <v>39630</v>
      </c>
      <c r="J142" s="371">
        <v>22160</v>
      </c>
      <c r="K142" s="371">
        <v>21300</v>
      </c>
      <c r="L142" s="371">
        <v>31200</v>
      </c>
      <c r="M142" s="371">
        <v>9300</v>
      </c>
      <c r="N142" s="371">
        <v>35950</v>
      </c>
      <c r="O142" s="370">
        <v>131867</v>
      </c>
      <c r="P142" s="386">
        <f t="shared" si="54"/>
        <v>381797</v>
      </c>
      <c r="Q142" s="371">
        <v>30813</v>
      </c>
      <c r="R142" s="371">
        <v>5960</v>
      </c>
      <c r="S142" s="371">
        <v>3200</v>
      </c>
      <c r="T142" s="371">
        <v>1000</v>
      </c>
      <c r="U142" s="371">
        <v>14200</v>
      </c>
      <c r="V142" s="371">
        <v>1200</v>
      </c>
      <c r="W142" s="371">
        <v>1940</v>
      </c>
      <c r="X142" s="371">
        <v>79813</v>
      </c>
      <c r="Y142" s="371">
        <v>75681</v>
      </c>
      <c r="Z142" s="371">
        <v>61500</v>
      </c>
      <c r="AA142" s="371">
        <v>0</v>
      </c>
      <c r="AB142" s="371">
        <v>4770</v>
      </c>
      <c r="AC142" s="371">
        <v>2200</v>
      </c>
      <c r="AD142" s="371">
        <v>500</v>
      </c>
      <c r="AE142" s="371">
        <v>99020</v>
      </c>
      <c r="AF142" s="385">
        <f t="shared" si="55"/>
        <v>23420</v>
      </c>
      <c r="AG142" s="371">
        <v>12160</v>
      </c>
      <c r="AH142" s="371">
        <v>11260</v>
      </c>
      <c r="AI142" s="387">
        <f t="shared" si="50"/>
        <v>0</v>
      </c>
    </row>
    <row r="143" spans="1:35" s="393" customFormat="1" ht="32.450000000000003" customHeight="1">
      <c r="A143" s="397" t="s">
        <v>1</v>
      </c>
      <c r="B143" s="428" t="s">
        <v>1121</v>
      </c>
      <c r="C143" s="395" t="s">
        <v>453</v>
      </c>
      <c r="D143" s="396">
        <v>3</v>
      </c>
      <c r="E143" s="385">
        <f t="shared" si="52"/>
        <v>1318503</v>
      </c>
      <c r="F143" s="368">
        <v>969030</v>
      </c>
      <c r="G143" s="368">
        <v>349473</v>
      </c>
      <c r="H143" s="385">
        <f t="shared" si="53"/>
        <v>700533</v>
      </c>
      <c r="I143" s="371">
        <v>108994</v>
      </c>
      <c r="J143" s="371">
        <v>112614</v>
      </c>
      <c r="K143" s="371">
        <v>66095</v>
      </c>
      <c r="L143" s="371">
        <v>94217</v>
      </c>
      <c r="M143" s="371">
        <v>57539</v>
      </c>
      <c r="N143" s="371">
        <v>114280</v>
      </c>
      <c r="O143" s="370">
        <v>146794</v>
      </c>
      <c r="P143" s="386">
        <f t="shared" si="54"/>
        <v>584250</v>
      </c>
      <c r="Q143" s="371">
        <v>34735</v>
      </c>
      <c r="R143" s="371">
        <v>35690</v>
      </c>
      <c r="S143" s="371">
        <v>41902</v>
      </c>
      <c r="T143" s="371">
        <v>47328</v>
      </c>
      <c r="U143" s="371">
        <v>39061</v>
      </c>
      <c r="V143" s="371">
        <v>39963</v>
      </c>
      <c r="W143" s="371">
        <v>33949</v>
      </c>
      <c r="X143" s="371">
        <v>44932</v>
      </c>
      <c r="Y143" s="371">
        <v>32875</v>
      </c>
      <c r="Z143" s="371">
        <v>32242</v>
      </c>
      <c r="AA143" s="371">
        <v>23560</v>
      </c>
      <c r="AB143" s="371">
        <v>34902</v>
      </c>
      <c r="AC143" s="371">
        <v>34026</v>
      </c>
      <c r="AD143" s="371">
        <v>29507</v>
      </c>
      <c r="AE143" s="371">
        <v>79578</v>
      </c>
      <c r="AF143" s="385">
        <f t="shared" si="55"/>
        <v>33720</v>
      </c>
      <c r="AG143" s="371">
        <v>19676</v>
      </c>
      <c r="AH143" s="371">
        <v>14044</v>
      </c>
      <c r="AI143" s="387">
        <f t="shared" si="50"/>
        <v>0</v>
      </c>
    </row>
    <row r="144" spans="1:35" s="393" customFormat="1" ht="33" customHeight="1">
      <c r="A144" s="397" t="s">
        <v>1</v>
      </c>
      <c r="B144" s="428" t="s">
        <v>1121</v>
      </c>
      <c r="C144" s="395" t="s">
        <v>454</v>
      </c>
      <c r="D144" s="396">
        <v>3</v>
      </c>
      <c r="E144" s="385">
        <f t="shared" si="52"/>
        <v>2988028</v>
      </c>
      <c r="F144" s="368">
        <v>2655376</v>
      </c>
      <c r="G144" s="368">
        <v>332652</v>
      </c>
      <c r="H144" s="385">
        <f t="shared" si="53"/>
        <v>1506537</v>
      </c>
      <c r="I144" s="371">
        <v>283297</v>
      </c>
      <c r="J144" s="371">
        <v>150621</v>
      </c>
      <c r="K144" s="371">
        <v>308076</v>
      </c>
      <c r="L144" s="371">
        <v>270616</v>
      </c>
      <c r="M144" s="371">
        <v>268989</v>
      </c>
      <c r="N144" s="371">
        <v>224938</v>
      </c>
      <c r="O144" s="370">
        <v>0</v>
      </c>
      <c r="P144" s="386">
        <f t="shared" si="54"/>
        <v>1397732</v>
      </c>
      <c r="Q144" s="371">
        <v>96723</v>
      </c>
      <c r="R144" s="371">
        <v>105708</v>
      </c>
      <c r="S144" s="371">
        <v>110903</v>
      </c>
      <c r="T144" s="371">
        <v>150539</v>
      </c>
      <c r="U144" s="371">
        <v>107254</v>
      </c>
      <c r="V144" s="371">
        <v>116050</v>
      </c>
      <c r="W144" s="371">
        <v>96775</v>
      </c>
      <c r="X144" s="371">
        <v>134704</v>
      </c>
      <c r="Y144" s="371">
        <v>86802</v>
      </c>
      <c r="Z144" s="371">
        <v>90279</v>
      </c>
      <c r="AA144" s="371">
        <v>67251</v>
      </c>
      <c r="AB144" s="371">
        <v>76956</v>
      </c>
      <c r="AC144" s="371">
        <v>88955</v>
      </c>
      <c r="AD144" s="371">
        <v>68833</v>
      </c>
      <c r="AE144" s="371">
        <v>0</v>
      </c>
      <c r="AF144" s="385">
        <f t="shared" si="55"/>
        <v>83759</v>
      </c>
      <c r="AG144" s="371">
        <v>44434</v>
      </c>
      <c r="AH144" s="371">
        <v>39325</v>
      </c>
      <c r="AI144" s="387">
        <f t="shared" si="50"/>
        <v>0</v>
      </c>
    </row>
    <row r="145" spans="1:35" s="393" customFormat="1" ht="33.6" customHeight="1">
      <c r="A145" s="397" t="s">
        <v>1</v>
      </c>
      <c r="B145" s="428" t="s">
        <v>1121</v>
      </c>
      <c r="C145" s="395" t="s">
        <v>455</v>
      </c>
      <c r="D145" s="396">
        <v>3</v>
      </c>
      <c r="E145" s="385">
        <f t="shared" si="52"/>
        <v>49926</v>
      </c>
      <c r="F145" s="368">
        <v>49926</v>
      </c>
      <c r="G145" s="368">
        <v>0</v>
      </c>
      <c r="H145" s="385">
        <f t="shared" si="53"/>
        <v>49449</v>
      </c>
      <c r="I145" s="371">
        <v>45669</v>
      </c>
      <c r="J145" s="371">
        <v>2000</v>
      </c>
      <c r="K145" s="371">
        <v>270</v>
      </c>
      <c r="L145" s="371">
        <v>300</v>
      </c>
      <c r="M145" s="371">
        <v>60</v>
      </c>
      <c r="N145" s="371">
        <v>1150</v>
      </c>
      <c r="O145" s="370">
        <v>0</v>
      </c>
      <c r="P145" s="386">
        <f t="shared" si="54"/>
        <v>477</v>
      </c>
      <c r="Q145" s="371">
        <v>20</v>
      </c>
      <c r="R145" s="371">
        <v>20</v>
      </c>
      <c r="S145" s="371">
        <v>55</v>
      </c>
      <c r="T145" s="371">
        <v>80</v>
      </c>
      <c r="U145" s="371">
        <v>22</v>
      </c>
      <c r="V145" s="371">
        <v>50</v>
      </c>
      <c r="W145" s="371">
        <v>25</v>
      </c>
      <c r="X145" s="371">
        <v>65</v>
      </c>
      <c r="Y145" s="371">
        <v>5</v>
      </c>
      <c r="Z145" s="371">
        <v>10</v>
      </c>
      <c r="AA145" s="371">
        <v>0</v>
      </c>
      <c r="AB145" s="371">
        <v>50</v>
      </c>
      <c r="AC145" s="371">
        <v>75</v>
      </c>
      <c r="AD145" s="371">
        <v>0</v>
      </c>
      <c r="AE145" s="371">
        <v>0</v>
      </c>
      <c r="AF145" s="385">
        <f t="shared" si="55"/>
        <v>0</v>
      </c>
      <c r="AG145" s="371">
        <v>0</v>
      </c>
      <c r="AH145" s="371">
        <v>0</v>
      </c>
      <c r="AI145" s="387">
        <f t="shared" si="50"/>
        <v>0</v>
      </c>
    </row>
    <row r="146" spans="1:35" s="393" customFormat="1" ht="30.95" customHeight="1">
      <c r="A146" s="397" t="s">
        <v>1</v>
      </c>
      <c r="B146" s="428" t="s">
        <v>1121</v>
      </c>
      <c r="C146" s="395" t="s">
        <v>456</v>
      </c>
      <c r="D146" s="396">
        <v>3</v>
      </c>
      <c r="E146" s="385">
        <f t="shared" si="52"/>
        <v>6556768</v>
      </c>
      <c r="F146" s="368">
        <v>6486768</v>
      </c>
      <c r="G146" s="368">
        <v>70000</v>
      </c>
      <c r="H146" s="385">
        <f t="shared" si="53"/>
        <v>6556768</v>
      </c>
      <c r="I146" s="371">
        <v>2916577</v>
      </c>
      <c r="J146" s="371">
        <v>0</v>
      </c>
      <c r="K146" s="371">
        <v>0</v>
      </c>
      <c r="L146" s="371">
        <v>3640191</v>
      </c>
      <c r="M146" s="371">
        <v>0</v>
      </c>
      <c r="N146" s="371">
        <v>0</v>
      </c>
      <c r="O146" s="370">
        <v>0</v>
      </c>
      <c r="P146" s="386">
        <f t="shared" si="54"/>
        <v>0</v>
      </c>
      <c r="Q146" s="371">
        <v>0</v>
      </c>
      <c r="R146" s="371">
        <v>0</v>
      </c>
      <c r="S146" s="371">
        <v>0</v>
      </c>
      <c r="T146" s="371">
        <v>0</v>
      </c>
      <c r="U146" s="371">
        <v>0</v>
      </c>
      <c r="V146" s="371">
        <v>0</v>
      </c>
      <c r="W146" s="371">
        <v>0</v>
      </c>
      <c r="X146" s="371">
        <v>0</v>
      </c>
      <c r="Y146" s="371">
        <v>0</v>
      </c>
      <c r="Z146" s="371">
        <v>0</v>
      </c>
      <c r="AA146" s="371">
        <v>0</v>
      </c>
      <c r="AB146" s="371">
        <v>0</v>
      </c>
      <c r="AC146" s="371">
        <v>0</v>
      </c>
      <c r="AD146" s="371">
        <v>0</v>
      </c>
      <c r="AE146" s="371">
        <v>0</v>
      </c>
      <c r="AF146" s="385">
        <f t="shared" si="55"/>
        <v>0</v>
      </c>
      <c r="AG146" s="371">
        <v>0</v>
      </c>
      <c r="AH146" s="371">
        <v>0</v>
      </c>
      <c r="AI146" s="387">
        <f t="shared" si="50"/>
        <v>0</v>
      </c>
    </row>
    <row r="147" spans="1:35" s="410" customFormat="1" ht="24" customHeight="1">
      <c r="A147" s="405" t="s">
        <v>1122</v>
      </c>
      <c r="B147" s="406"/>
      <c r="C147" s="407"/>
      <c r="D147" s="408"/>
      <c r="E147" s="409">
        <f t="shared" ref="E147:AH147" si="56">SUM(E148:E155)</f>
        <v>6338020</v>
      </c>
      <c r="F147" s="409">
        <f t="shared" si="56"/>
        <v>3408263</v>
      </c>
      <c r="G147" s="409">
        <f t="shared" si="56"/>
        <v>2929757</v>
      </c>
      <c r="H147" s="409">
        <f t="shared" si="56"/>
        <v>4014823</v>
      </c>
      <c r="I147" s="409">
        <f t="shared" si="56"/>
        <v>95335</v>
      </c>
      <c r="J147" s="409">
        <f t="shared" si="56"/>
        <v>2957234</v>
      </c>
      <c r="K147" s="409">
        <f t="shared" si="56"/>
        <v>188639</v>
      </c>
      <c r="L147" s="409">
        <f t="shared" si="56"/>
        <v>252822</v>
      </c>
      <c r="M147" s="409">
        <f t="shared" si="56"/>
        <v>156590</v>
      </c>
      <c r="N147" s="409">
        <f t="shared" si="56"/>
        <v>155193</v>
      </c>
      <c r="O147" s="409">
        <f t="shared" si="56"/>
        <v>209010</v>
      </c>
      <c r="P147" s="409">
        <f t="shared" si="56"/>
        <v>2181060</v>
      </c>
      <c r="Q147" s="409">
        <f t="shared" si="56"/>
        <v>141492</v>
      </c>
      <c r="R147" s="409">
        <f t="shared" si="56"/>
        <v>164897</v>
      </c>
      <c r="S147" s="409">
        <f t="shared" si="56"/>
        <v>90933</v>
      </c>
      <c r="T147" s="409">
        <f t="shared" si="56"/>
        <v>138630</v>
      </c>
      <c r="U147" s="409">
        <f t="shared" si="56"/>
        <v>109596</v>
      </c>
      <c r="V147" s="409">
        <f t="shared" si="56"/>
        <v>95367</v>
      </c>
      <c r="W147" s="409">
        <f t="shared" si="56"/>
        <v>103440</v>
      </c>
      <c r="X147" s="409">
        <f t="shared" si="56"/>
        <v>92655</v>
      </c>
      <c r="Y147" s="409">
        <f t="shared" si="56"/>
        <v>110041</v>
      </c>
      <c r="Z147" s="409">
        <f t="shared" si="56"/>
        <v>96327</v>
      </c>
      <c r="AA147" s="409">
        <f t="shared" si="56"/>
        <v>148242</v>
      </c>
      <c r="AB147" s="409">
        <f t="shared" si="56"/>
        <v>90767</v>
      </c>
      <c r="AC147" s="409">
        <f t="shared" si="56"/>
        <v>186976</v>
      </c>
      <c r="AD147" s="409">
        <f t="shared" si="56"/>
        <v>187640</v>
      </c>
      <c r="AE147" s="409">
        <f t="shared" si="56"/>
        <v>424057</v>
      </c>
      <c r="AF147" s="409">
        <f t="shared" si="56"/>
        <v>142137</v>
      </c>
      <c r="AG147" s="409">
        <f t="shared" si="56"/>
        <v>22709</v>
      </c>
      <c r="AH147" s="409">
        <f t="shared" si="56"/>
        <v>119428</v>
      </c>
      <c r="AI147" s="387">
        <f t="shared" si="50"/>
        <v>0</v>
      </c>
    </row>
    <row r="148" spans="1:35" s="393" customFormat="1" ht="24" customHeight="1">
      <c r="A148" s="397" t="s">
        <v>1</v>
      </c>
      <c r="B148" s="428" t="s">
        <v>1123</v>
      </c>
      <c r="C148" s="395" t="s">
        <v>640</v>
      </c>
      <c r="D148" s="396">
        <v>3</v>
      </c>
      <c r="E148" s="385">
        <f t="shared" ref="E148:E156" si="57">SUM(H148,P148,AF148)</f>
        <v>1744686</v>
      </c>
      <c r="F148" s="368">
        <v>1238196</v>
      </c>
      <c r="G148" s="368">
        <v>506490</v>
      </c>
      <c r="H148" s="385">
        <f t="shared" ref="H148:H156" si="58">SUM(I148:O148)</f>
        <v>492773</v>
      </c>
      <c r="I148" s="371">
        <v>82246</v>
      </c>
      <c r="J148" s="371">
        <v>81547</v>
      </c>
      <c r="K148" s="371">
        <v>82245</v>
      </c>
      <c r="L148" s="371">
        <v>82245</v>
      </c>
      <c r="M148" s="371">
        <v>82245</v>
      </c>
      <c r="N148" s="371">
        <v>82245</v>
      </c>
      <c r="O148" s="370">
        <v>0</v>
      </c>
      <c r="P148" s="386">
        <f t="shared" ref="P148:P156" si="59">SUM(Q148:AE148)</f>
        <v>1221913</v>
      </c>
      <c r="Q148" s="371">
        <v>83699</v>
      </c>
      <c r="R148" s="371">
        <v>83699</v>
      </c>
      <c r="S148" s="371">
        <v>83699</v>
      </c>
      <c r="T148" s="371">
        <v>133699</v>
      </c>
      <c r="U148" s="371">
        <v>83699</v>
      </c>
      <c r="V148" s="371">
        <v>83699</v>
      </c>
      <c r="W148" s="371">
        <v>83699</v>
      </c>
      <c r="X148" s="371">
        <v>83700</v>
      </c>
      <c r="Y148" s="371">
        <v>83742</v>
      </c>
      <c r="Z148" s="371">
        <v>83742</v>
      </c>
      <c r="AA148" s="371">
        <v>83739</v>
      </c>
      <c r="AB148" s="371">
        <v>83699</v>
      </c>
      <c r="AC148" s="371">
        <v>83699</v>
      </c>
      <c r="AD148" s="371">
        <v>83699</v>
      </c>
      <c r="AE148" s="371">
        <v>0</v>
      </c>
      <c r="AF148" s="385">
        <f t="shared" ref="AF148:AF156" si="60">SUM(AG148:AH148)</f>
        <v>30000</v>
      </c>
      <c r="AG148" s="371">
        <v>15000</v>
      </c>
      <c r="AH148" s="371">
        <v>15000</v>
      </c>
      <c r="AI148" s="387">
        <f t="shared" si="50"/>
        <v>0</v>
      </c>
    </row>
    <row r="149" spans="1:35" s="393" customFormat="1" ht="24" customHeight="1">
      <c r="A149" s="397" t="s">
        <v>1</v>
      </c>
      <c r="B149" s="428" t="s">
        <v>1123</v>
      </c>
      <c r="C149" s="395" t="s">
        <v>641</v>
      </c>
      <c r="D149" s="396">
        <v>3</v>
      </c>
      <c r="E149" s="385">
        <f t="shared" si="57"/>
        <v>15155</v>
      </c>
      <c r="F149" s="368">
        <v>8625</v>
      </c>
      <c r="G149" s="368">
        <v>6530</v>
      </c>
      <c r="H149" s="385">
        <f t="shared" si="58"/>
        <v>2997</v>
      </c>
      <c r="I149" s="371">
        <v>186</v>
      </c>
      <c r="J149" s="371">
        <v>750</v>
      </c>
      <c r="K149" s="371">
        <v>186</v>
      </c>
      <c r="L149" s="371">
        <v>750</v>
      </c>
      <c r="M149" s="371">
        <v>375</v>
      </c>
      <c r="N149" s="371">
        <v>750</v>
      </c>
      <c r="O149" s="370">
        <v>0</v>
      </c>
      <c r="P149" s="386">
        <f t="shared" si="59"/>
        <v>11758</v>
      </c>
      <c r="Q149" s="371">
        <v>905</v>
      </c>
      <c r="R149" s="371">
        <v>450</v>
      </c>
      <c r="S149" s="371">
        <v>905</v>
      </c>
      <c r="T149" s="371">
        <v>1360</v>
      </c>
      <c r="U149" s="371">
        <v>905</v>
      </c>
      <c r="V149" s="371">
        <v>905</v>
      </c>
      <c r="W149" s="371">
        <v>450</v>
      </c>
      <c r="X149" s="371">
        <v>905</v>
      </c>
      <c r="Y149" s="371">
        <v>905</v>
      </c>
      <c r="Z149" s="371">
        <v>905</v>
      </c>
      <c r="AA149" s="371">
        <v>450</v>
      </c>
      <c r="AB149" s="371">
        <v>905</v>
      </c>
      <c r="AC149" s="371">
        <v>904</v>
      </c>
      <c r="AD149" s="371">
        <v>904</v>
      </c>
      <c r="AE149" s="371">
        <v>0</v>
      </c>
      <c r="AF149" s="385">
        <f t="shared" si="60"/>
        <v>400</v>
      </c>
      <c r="AG149" s="371">
        <v>200</v>
      </c>
      <c r="AH149" s="371">
        <v>200</v>
      </c>
      <c r="AI149" s="387">
        <f t="shared" si="50"/>
        <v>0</v>
      </c>
    </row>
    <row r="150" spans="1:35" s="393" customFormat="1" ht="24" customHeight="1">
      <c r="A150" s="397" t="s">
        <v>1</v>
      </c>
      <c r="B150" s="428" t="s">
        <v>1123</v>
      </c>
      <c r="C150" s="395" t="s">
        <v>1119</v>
      </c>
      <c r="D150" s="396">
        <v>3</v>
      </c>
      <c r="E150" s="385">
        <f t="shared" si="57"/>
        <v>46260</v>
      </c>
      <c r="F150" s="368">
        <v>6260</v>
      </c>
      <c r="G150" s="368">
        <v>40000</v>
      </c>
      <c r="H150" s="385">
        <f t="shared" si="58"/>
        <v>12260</v>
      </c>
      <c r="I150" s="371">
        <v>2040</v>
      </c>
      <c r="J150" s="371">
        <v>0</v>
      </c>
      <c r="K150" s="371">
        <v>4090</v>
      </c>
      <c r="L150" s="371">
        <v>2040</v>
      </c>
      <c r="M150" s="371">
        <v>0</v>
      </c>
      <c r="N150" s="371">
        <v>4090</v>
      </c>
      <c r="O150" s="370">
        <v>0</v>
      </c>
      <c r="P150" s="386">
        <f t="shared" si="59"/>
        <v>34000</v>
      </c>
      <c r="Q150" s="371">
        <v>2720</v>
      </c>
      <c r="R150" s="371">
        <v>4080</v>
      </c>
      <c r="S150" s="371">
        <v>2720</v>
      </c>
      <c r="T150" s="371">
        <v>0</v>
      </c>
      <c r="U150" s="371">
        <v>5440</v>
      </c>
      <c r="V150" s="371">
        <v>0</v>
      </c>
      <c r="W150" s="371">
        <v>1360</v>
      </c>
      <c r="X150" s="371">
        <v>4080</v>
      </c>
      <c r="Y150" s="371">
        <v>6800</v>
      </c>
      <c r="Z150" s="371">
        <v>6800</v>
      </c>
      <c r="AA150" s="371">
        <v>0</v>
      </c>
      <c r="AB150" s="371">
        <v>0</v>
      </c>
      <c r="AC150" s="371">
        <v>0</v>
      </c>
      <c r="AD150" s="371">
        <v>0</v>
      </c>
      <c r="AE150" s="371">
        <v>0</v>
      </c>
      <c r="AF150" s="385">
        <f t="shared" si="60"/>
        <v>0</v>
      </c>
      <c r="AG150" s="371">
        <v>0</v>
      </c>
      <c r="AH150" s="371">
        <v>0</v>
      </c>
      <c r="AI150" s="387">
        <f t="shared" si="50"/>
        <v>0</v>
      </c>
    </row>
    <row r="151" spans="1:35" s="393" customFormat="1" ht="24" customHeight="1">
      <c r="A151" s="397" t="s">
        <v>1</v>
      </c>
      <c r="B151" s="428" t="s">
        <v>1123</v>
      </c>
      <c r="C151" s="395" t="s">
        <v>642</v>
      </c>
      <c r="D151" s="396">
        <v>3</v>
      </c>
      <c r="E151" s="385">
        <f t="shared" si="57"/>
        <v>68419</v>
      </c>
      <c r="F151" s="368">
        <v>68419</v>
      </c>
      <c r="G151" s="368">
        <v>0</v>
      </c>
      <c r="H151" s="385">
        <f t="shared" si="58"/>
        <v>18023</v>
      </c>
      <c r="I151" s="371">
        <v>3309</v>
      </c>
      <c r="J151" s="371">
        <v>2906</v>
      </c>
      <c r="K151" s="371">
        <v>2144</v>
      </c>
      <c r="L151" s="371">
        <v>3294</v>
      </c>
      <c r="M151" s="371">
        <v>3116</v>
      </c>
      <c r="N151" s="371">
        <v>3254</v>
      </c>
      <c r="O151" s="370">
        <v>0</v>
      </c>
      <c r="P151" s="386">
        <f t="shared" si="59"/>
        <v>47059</v>
      </c>
      <c r="Q151" s="371">
        <v>2415</v>
      </c>
      <c r="R151" s="371">
        <v>3168</v>
      </c>
      <c r="S151" s="371">
        <v>3393</v>
      </c>
      <c r="T151" s="371">
        <v>3571</v>
      </c>
      <c r="U151" s="371">
        <v>4336</v>
      </c>
      <c r="V151" s="371">
        <v>3563</v>
      </c>
      <c r="W151" s="371">
        <v>2931</v>
      </c>
      <c r="X151" s="371">
        <v>3970</v>
      </c>
      <c r="Y151" s="371">
        <v>3754</v>
      </c>
      <c r="Z151" s="371">
        <v>4016</v>
      </c>
      <c r="AA151" s="371">
        <v>3729</v>
      </c>
      <c r="AB151" s="371">
        <v>2803</v>
      </c>
      <c r="AC151" s="371">
        <v>2373</v>
      </c>
      <c r="AD151" s="371">
        <v>3037</v>
      </c>
      <c r="AE151" s="371">
        <v>0</v>
      </c>
      <c r="AF151" s="385">
        <f t="shared" si="60"/>
        <v>3337</v>
      </c>
      <c r="AG151" s="371">
        <v>1734</v>
      </c>
      <c r="AH151" s="371">
        <v>1603</v>
      </c>
      <c r="AI151" s="387">
        <f t="shared" si="50"/>
        <v>0</v>
      </c>
    </row>
    <row r="152" spans="1:35" s="393" customFormat="1" ht="24" customHeight="1">
      <c r="A152" s="397" t="s">
        <v>1</v>
      </c>
      <c r="B152" s="428" t="s">
        <v>1123</v>
      </c>
      <c r="C152" s="395" t="s">
        <v>467</v>
      </c>
      <c r="D152" s="396">
        <v>3</v>
      </c>
      <c r="E152" s="385">
        <f t="shared" si="57"/>
        <v>58900</v>
      </c>
      <c r="F152" s="368">
        <v>58900</v>
      </c>
      <c r="G152" s="368">
        <v>0</v>
      </c>
      <c r="H152" s="385">
        <f t="shared" si="58"/>
        <v>28100</v>
      </c>
      <c r="I152" s="371">
        <v>7300</v>
      </c>
      <c r="J152" s="371">
        <v>6000</v>
      </c>
      <c r="K152" s="371">
        <v>7300</v>
      </c>
      <c r="L152" s="371">
        <v>0</v>
      </c>
      <c r="M152" s="371">
        <v>7300</v>
      </c>
      <c r="N152" s="371">
        <v>200</v>
      </c>
      <c r="O152" s="370">
        <v>0</v>
      </c>
      <c r="P152" s="386">
        <f t="shared" si="59"/>
        <v>30800</v>
      </c>
      <c r="Q152" s="371">
        <v>30000</v>
      </c>
      <c r="R152" s="371">
        <v>0</v>
      </c>
      <c r="S152" s="371">
        <v>0</v>
      </c>
      <c r="T152" s="371">
        <v>0</v>
      </c>
      <c r="U152" s="371">
        <v>0</v>
      </c>
      <c r="V152" s="371">
        <v>0</v>
      </c>
      <c r="W152" s="371">
        <v>0</v>
      </c>
      <c r="X152" s="371">
        <v>0</v>
      </c>
      <c r="Y152" s="371">
        <v>800</v>
      </c>
      <c r="Z152" s="371">
        <v>0</v>
      </c>
      <c r="AA152" s="371">
        <v>0</v>
      </c>
      <c r="AB152" s="371">
        <v>0</v>
      </c>
      <c r="AC152" s="371">
        <v>0</v>
      </c>
      <c r="AD152" s="371">
        <v>0</v>
      </c>
      <c r="AE152" s="371">
        <v>0</v>
      </c>
      <c r="AF152" s="385">
        <f t="shared" si="60"/>
        <v>0</v>
      </c>
      <c r="AG152" s="371">
        <v>0</v>
      </c>
      <c r="AH152" s="371">
        <v>0</v>
      </c>
      <c r="AI152" s="387">
        <f t="shared" si="50"/>
        <v>0</v>
      </c>
    </row>
    <row r="153" spans="1:35" s="393" customFormat="1" ht="24" customHeight="1">
      <c r="A153" s="397" t="s">
        <v>1</v>
      </c>
      <c r="B153" s="428" t="s">
        <v>1123</v>
      </c>
      <c r="C153" s="395" t="s">
        <v>461</v>
      </c>
      <c r="D153" s="396">
        <v>3</v>
      </c>
      <c r="E153" s="385">
        <f t="shared" si="57"/>
        <v>38763</v>
      </c>
      <c r="F153" s="368">
        <v>38763</v>
      </c>
      <c r="G153" s="368">
        <v>0</v>
      </c>
      <c r="H153" s="385">
        <f t="shared" si="58"/>
        <v>36603</v>
      </c>
      <c r="I153" s="371">
        <v>254</v>
      </c>
      <c r="J153" s="371">
        <v>194</v>
      </c>
      <c r="K153" s="371">
        <v>254</v>
      </c>
      <c r="L153" s="371">
        <v>35393</v>
      </c>
      <c r="M153" s="371">
        <v>254</v>
      </c>
      <c r="N153" s="371">
        <v>254</v>
      </c>
      <c r="O153" s="370">
        <v>0</v>
      </c>
      <c r="P153" s="386">
        <f t="shared" si="59"/>
        <v>2160</v>
      </c>
      <c r="Q153" s="371">
        <v>0</v>
      </c>
      <c r="R153" s="371">
        <v>0</v>
      </c>
      <c r="S153" s="371">
        <v>216</v>
      </c>
      <c r="T153" s="371">
        <v>0</v>
      </c>
      <c r="U153" s="371">
        <v>216</v>
      </c>
      <c r="V153" s="371">
        <v>0</v>
      </c>
      <c r="W153" s="371">
        <v>0</v>
      </c>
      <c r="X153" s="371">
        <v>0</v>
      </c>
      <c r="Y153" s="371">
        <v>540</v>
      </c>
      <c r="Z153" s="371">
        <v>864</v>
      </c>
      <c r="AA153" s="371">
        <v>324</v>
      </c>
      <c r="AB153" s="371">
        <v>0</v>
      </c>
      <c r="AC153" s="371">
        <v>0</v>
      </c>
      <c r="AD153" s="371">
        <v>0</v>
      </c>
      <c r="AE153" s="371">
        <v>0</v>
      </c>
      <c r="AF153" s="385">
        <f t="shared" si="60"/>
        <v>0</v>
      </c>
      <c r="AG153" s="371">
        <v>0</v>
      </c>
      <c r="AH153" s="371">
        <v>0</v>
      </c>
      <c r="AI153" s="387">
        <f t="shared" si="50"/>
        <v>0</v>
      </c>
    </row>
    <row r="154" spans="1:35" s="393" customFormat="1" ht="24" customHeight="1">
      <c r="A154" s="397" t="s">
        <v>1</v>
      </c>
      <c r="B154" s="428" t="s">
        <v>1123</v>
      </c>
      <c r="C154" s="395" t="s">
        <v>462</v>
      </c>
      <c r="D154" s="396">
        <v>3</v>
      </c>
      <c r="E154" s="385">
        <f t="shared" si="57"/>
        <v>1500000</v>
      </c>
      <c r="F154" s="368">
        <v>0</v>
      </c>
      <c r="G154" s="368">
        <v>1500000</v>
      </c>
      <c r="H154" s="385">
        <f t="shared" si="58"/>
        <v>558230</v>
      </c>
      <c r="I154" s="371">
        <v>0</v>
      </c>
      <c r="J154" s="371">
        <v>0</v>
      </c>
      <c r="K154" s="371">
        <v>92420</v>
      </c>
      <c r="L154" s="371">
        <v>129100</v>
      </c>
      <c r="M154" s="371">
        <v>63300</v>
      </c>
      <c r="N154" s="371">
        <v>64400</v>
      </c>
      <c r="O154" s="370">
        <v>209010</v>
      </c>
      <c r="P154" s="386">
        <f t="shared" si="59"/>
        <v>833370</v>
      </c>
      <c r="Q154" s="371">
        <v>21753</v>
      </c>
      <c r="R154" s="371">
        <v>73500</v>
      </c>
      <c r="S154" s="371">
        <v>0</v>
      </c>
      <c r="T154" s="371">
        <v>0</v>
      </c>
      <c r="U154" s="371">
        <v>15000</v>
      </c>
      <c r="V154" s="371">
        <v>7200</v>
      </c>
      <c r="W154" s="371">
        <v>15000</v>
      </c>
      <c r="X154" s="371">
        <v>0</v>
      </c>
      <c r="Y154" s="371">
        <v>13500</v>
      </c>
      <c r="Z154" s="371">
        <v>0</v>
      </c>
      <c r="AA154" s="371">
        <v>60000</v>
      </c>
      <c r="AB154" s="371">
        <v>3360</v>
      </c>
      <c r="AC154" s="371">
        <v>100000</v>
      </c>
      <c r="AD154" s="371">
        <v>100000</v>
      </c>
      <c r="AE154" s="371">
        <v>424057</v>
      </c>
      <c r="AF154" s="385">
        <f t="shared" si="60"/>
        <v>108400</v>
      </c>
      <c r="AG154" s="371">
        <v>5775</v>
      </c>
      <c r="AH154" s="371">
        <v>102625</v>
      </c>
      <c r="AI154" s="387">
        <f t="shared" si="50"/>
        <v>0</v>
      </c>
    </row>
    <row r="155" spans="1:35" s="393" customFormat="1" ht="24" customHeight="1">
      <c r="A155" s="397" t="s">
        <v>1</v>
      </c>
      <c r="B155" s="428" t="s">
        <v>1123</v>
      </c>
      <c r="C155" s="395" t="s">
        <v>643</v>
      </c>
      <c r="D155" s="396">
        <v>3</v>
      </c>
      <c r="E155" s="385">
        <f t="shared" si="57"/>
        <v>2865837</v>
      </c>
      <c r="F155" s="368">
        <v>1989100</v>
      </c>
      <c r="G155" s="368">
        <v>876737</v>
      </c>
      <c r="H155" s="385">
        <f t="shared" si="58"/>
        <v>2865837</v>
      </c>
      <c r="I155" s="371">
        <v>0</v>
      </c>
      <c r="J155" s="371">
        <v>2865837</v>
      </c>
      <c r="K155" s="371">
        <v>0</v>
      </c>
      <c r="L155" s="371">
        <v>0</v>
      </c>
      <c r="M155" s="371">
        <v>0</v>
      </c>
      <c r="N155" s="371">
        <v>0</v>
      </c>
      <c r="O155" s="370">
        <v>0</v>
      </c>
      <c r="P155" s="386">
        <f t="shared" si="59"/>
        <v>0</v>
      </c>
      <c r="Q155" s="371">
        <v>0</v>
      </c>
      <c r="R155" s="371">
        <v>0</v>
      </c>
      <c r="S155" s="371">
        <v>0</v>
      </c>
      <c r="T155" s="371">
        <v>0</v>
      </c>
      <c r="U155" s="371">
        <v>0</v>
      </c>
      <c r="V155" s="371">
        <v>0</v>
      </c>
      <c r="W155" s="371">
        <v>0</v>
      </c>
      <c r="X155" s="371">
        <v>0</v>
      </c>
      <c r="Y155" s="371">
        <v>0</v>
      </c>
      <c r="Z155" s="371">
        <v>0</v>
      </c>
      <c r="AA155" s="371">
        <v>0</v>
      </c>
      <c r="AB155" s="371">
        <v>0</v>
      </c>
      <c r="AC155" s="371">
        <v>0</v>
      </c>
      <c r="AD155" s="371">
        <v>0</v>
      </c>
      <c r="AE155" s="371">
        <v>0</v>
      </c>
      <c r="AF155" s="385">
        <f t="shared" si="60"/>
        <v>0</v>
      </c>
      <c r="AG155" s="371">
        <v>0</v>
      </c>
      <c r="AH155" s="371">
        <v>0</v>
      </c>
      <c r="AI155" s="387">
        <f t="shared" si="50"/>
        <v>0</v>
      </c>
    </row>
    <row r="156" spans="1:35" s="410" customFormat="1" ht="24" customHeight="1">
      <c r="A156" s="411" t="s">
        <v>1</v>
      </c>
      <c r="B156" s="430" t="s">
        <v>1124</v>
      </c>
      <c r="C156" s="413" t="s">
        <v>645</v>
      </c>
      <c r="D156" s="414">
        <v>3</v>
      </c>
      <c r="E156" s="415">
        <f t="shared" si="57"/>
        <v>600</v>
      </c>
      <c r="F156" s="415">
        <v>600</v>
      </c>
      <c r="G156" s="415">
        <v>0</v>
      </c>
      <c r="H156" s="415">
        <f t="shared" si="58"/>
        <v>600</v>
      </c>
      <c r="I156" s="415">
        <v>0</v>
      </c>
      <c r="J156" s="415">
        <v>0</v>
      </c>
      <c r="K156" s="415">
        <v>0</v>
      </c>
      <c r="L156" s="415">
        <v>0</v>
      </c>
      <c r="M156" s="415">
        <v>0</v>
      </c>
      <c r="N156" s="415">
        <v>0</v>
      </c>
      <c r="O156" s="416">
        <v>600</v>
      </c>
      <c r="P156" s="416">
        <f t="shared" si="59"/>
        <v>0</v>
      </c>
      <c r="Q156" s="415">
        <v>0</v>
      </c>
      <c r="R156" s="415">
        <v>0</v>
      </c>
      <c r="S156" s="415">
        <v>0</v>
      </c>
      <c r="T156" s="415">
        <v>0</v>
      </c>
      <c r="U156" s="415">
        <v>0</v>
      </c>
      <c r="V156" s="415">
        <v>0</v>
      </c>
      <c r="W156" s="415">
        <v>0</v>
      </c>
      <c r="X156" s="415">
        <v>0</v>
      </c>
      <c r="Y156" s="415">
        <v>0</v>
      </c>
      <c r="Z156" s="415">
        <v>0</v>
      </c>
      <c r="AA156" s="415">
        <v>0</v>
      </c>
      <c r="AB156" s="415">
        <v>0</v>
      </c>
      <c r="AC156" s="415">
        <v>0</v>
      </c>
      <c r="AD156" s="415">
        <v>0</v>
      </c>
      <c r="AE156" s="415">
        <v>0</v>
      </c>
      <c r="AF156" s="415">
        <f t="shared" si="60"/>
        <v>0</v>
      </c>
      <c r="AG156" s="415">
        <v>0</v>
      </c>
      <c r="AH156" s="415">
        <v>0</v>
      </c>
      <c r="AI156" s="387">
        <f t="shared" si="50"/>
        <v>0</v>
      </c>
    </row>
    <row r="157" spans="1:35" s="404" customFormat="1" ht="24" customHeight="1">
      <c r="A157" s="398" t="s">
        <v>915</v>
      </c>
      <c r="B157" s="399"/>
      <c r="C157" s="400"/>
      <c r="D157" s="401"/>
      <c r="E157" s="402">
        <f t="shared" ref="E157:AH157" si="61">SUM(E158:E171)</f>
        <v>112788</v>
      </c>
      <c r="F157" s="402">
        <f t="shared" si="61"/>
        <v>112788</v>
      </c>
      <c r="G157" s="402">
        <f t="shared" si="61"/>
        <v>0</v>
      </c>
      <c r="H157" s="402">
        <f t="shared" si="61"/>
        <v>69745</v>
      </c>
      <c r="I157" s="402">
        <f t="shared" si="61"/>
        <v>13052</v>
      </c>
      <c r="J157" s="402">
        <f t="shared" si="61"/>
        <v>3532</v>
      </c>
      <c r="K157" s="402">
        <f t="shared" si="61"/>
        <v>8514</v>
      </c>
      <c r="L157" s="402">
        <f t="shared" si="61"/>
        <v>16226</v>
      </c>
      <c r="M157" s="402">
        <f t="shared" si="61"/>
        <v>15802</v>
      </c>
      <c r="N157" s="402">
        <f t="shared" si="61"/>
        <v>12619</v>
      </c>
      <c r="O157" s="402">
        <f t="shared" si="61"/>
        <v>0</v>
      </c>
      <c r="P157" s="402">
        <f t="shared" si="61"/>
        <v>42609</v>
      </c>
      <c r="Q157" s="402">
        <f t="shared" si="61"/>
        <v>1907</v>
      </c>
      <c r="R157" s="402">
        <f t="shared" si="61"/>
        <v>2440</v>
      </c>
      <c r="S157" s="402">
        <f t="shared" si="61"/>
        <v>4790</v>
      </c>
      <c r="T157" s="402">
        <f t="shared" si="61"/>
        <v>7243</v>
      </c>
      <c r="U157" s="402">
        <f t="shared" si="61"/>
        <v>2401</v>
      </c>
      <c r="V157" s="402">
        <f t="shared" si="61"/>
        <v>4294</v>
      </c>
      <c r="W157" s="402">
        <f t="shared" si="61"/>
        <v>4132</v>
      </c>
      <c r="X157" s="402">
        <f t="shared" si="61"/>
        <v>5434</v>
      </c>
      <c r="Y157" s="402">
        <f t="shared" si="61"/>
        <v>1843</v>
      </c>
      <c r="Z157" s="402">
        <f t="shared" si="61"/>
        <v>2118</v>
      </c>
      <c r="AA157" s="402">
        <f t="shared" si="61"/>
        <v>280</v>
      </c>
      <c r="AB157" s="402">
        <f t="shared" si="61"/>
        <v>2323</v>
      </c>
      <c r="AC157" s="402">
        <f t="shared" si="61"/>
        <v>1753</v>
      </c>
      <c r="AD157" s="402">
        <f t="shared" si="61"/>
        <v>1651</v>
      </c>
      <c r="AE157" s="402">
        <f t="shared" si="61"/>
        <v>0</v>
      </c>
      <c r="AF157" s="402">
        <f t="shared" si="61"/>
        <v>434</v>
      </c>
      <c r="AG157" s="402">
        <f t="shared" si="61"/>
        <v>203</v>
      </c>
      <c r="AH157" s="402">
        <f t="shared" si="61"/>
        <v>231</v>
      </c>
      <c r="AI157" s="387">
        <f t="shared" si="50"/>
        <v>0</v>
      </c>
    </row>
    <row r="158" spans="1:35" s="410" customFormat="1" ht="34.5" customHeight="1">
      <c r="A158" s="429" t="s">
        <v>237</v>
      </c>
      <c r="B158" s="430" t="s">
        <v>238</v>
      </c>
      <c r="C158" s="413" t="s">
        <v>654</v>
      </c>
      <c r="D158" s="414">
        <v>1</v>
      </c>
      <c r="E158" s="415">
        <f t="shared" ref="E158:E171" si="62">SUM(H158,P158,AF158)</f>
        <v>83937</v>
      </c>
      <c r="F158" s="415">
        <v>83937</v>
      </c>
      <c r="G158" s="415"/>
      <c r="H158" s="415">
        <f t="shared" ref="H158:H171" si="63">SUM(I158:O158)</f>
        <v>49335</v>
      </c>
      <c r="I158" s="415">
        <v>11952</v>
      </c>
      <c r="J158" s="415">
        <v>3532</v>
      </c>
      <c r="K158" s="415">
        <v>8514</v>
      </c>
      <c r="L158" s="415">
        <v>6226</v>
      </c>
      <c r="M158" s="415">
        <v>7802</v>
      </c>
      <c r="N158" s="415">
        <v>11309</v>
      </c>
      <c r="O158" s="416"/>
      <c r="P158" s="416">
        <f t="shared" ref="P158:P171" si="64">SUM(Q158:AE158)</f>
        <v>34168</v>
      </c>
      <c r="Q158" s="415">
        <v>1907</v>
      </c>
      <c r="R158" s="415">
        <v>1940</v>
      </c>
      <c r="S158" s="415">
        <v>2790</v>
      </c>
      <c r="T158" s="415">
        <v>4997</v>
      </c>
      <c r="U158" s="415">
        <v>2336</v>
      </c>
      <c r="V158" s="415">
        <v>3094</v>
      </c>
      <c r="W158" s="415">
        <v>2932</v>
      </c>
      <c r="X158" s="415">
        <v>5234</v>
      </c>
      <c r="Y158" s="415">
        <v>1843</v>
      </c>
      <c r="Z158" s="415">
        <v>1888</v>
      </c>
      <c r="AA158" s="415">
        <v>280</v>
      </c>
      <c r="AB158" s="415">
        <v>2323</v>
      </c>
      <c r="AC158" s="415">
        <v>1253</v>
      </c>
      <c r="AD158" s="415">
        <v>1351</v>
      </c>
      <c r="AE158" s="415"/>
      <c r="AF158" s="415">
        <f t="shared" ref="AF158:AF171" si="65">SUM(AG158:AH158)</f>
        <v>434</v>
      </c>
      <c r="AG158" s="415">
        <v>203</v>
      </c>
      <c r="AH158" s="415">
        <v>231</v>
      </c>
      <c r="AI158" s="387">
        <f t="shared" si="50"/>
        <v>0</v>
      </c>
    </row>
    <row r="159" spans="1:35" s="393" customFormat="1" ht="34.5" customHeight="1">
      <c r="A159" s="427" t="s">
        <v>237</v>
      </c>
      <c r="B159" s="428" t="s">
        <v>655</v>
      </c>
      <c r="C159" s="395" t="s">
        <v>656</v>
      </c>
      <c r="D159" s="396">
        <v>1</v>
      </c>
      <c r="E159" s="385">
        <f t="shared" si="62"/>
        <v>1100</v>
      </c>
      <c r="F159" s="368">
        <v>1100</v>
      </c>
      <c r="G159" s="368"/>
      <c r="H159" s="385">
        <f t="shared" si="63"/>
        <v>1100</v>
      </c>
      <c r="I159" s="371">
        <v>1100</v>
      </c>
      <c r="J159" s="371"/>
      <c r="K159" s="371"/>
      <c r="L159" s="371"/>
      <c r="M159" s="371"/>
      <c r="N159" s="371"/>
      <c r="O159" s="370"/>
      <c r="P159" s="386">
        <f t="shared" si="64"/>
        <v>0</v>
      </c>
      <c r="Q159" s="371"/>
      <c r="R159" s="371"/>
      <c r="S159" s="371"/>
      <c r="T159" s="371"/>
      <c r="U159" s="371"/>
      <c r="V159" s="371"/>
      <c r="W159" s="371"/>
      <c r="X159" s="371"/>
      <c r="Y159" s="371"/>
      <c r="Z159" s="371"/>
      <c r="AA159" s="371"/>
      <c r="AB159" s="371"/>
      <c r="AC159" s="371"/>
      <c r="AD159" s="371"/>
      <c r="AE159" s="371"/>
      <c r="AF159" s="385">
        <f t="shared" si="65"/>
        <v>0</v>
      </c>
      <c r="AG159" s="371"/>
      <c r="AH159" s="371"/>
      <c r="AI159" s="387">
        <f t="shared" si="50"/>
        <v>0</v>
      </c>
    </row>
    <row r="160" spans="1:35" s="393" customFormat="1" ht="31.5" customHeight="1">
      <c r="A160" s="427" t="s">
        <v>237</v>
      </c>
      <c r="B160" s="428" t="s">
        <v>913</v>
      </c>
      <c r="C160" s="395" t="s">
        <v>656</v>
      </c>
      <c r="D160" s="396">
        <v>1</v>
      </c>
      <c r="E160" s="385">
        <f t="shared" si="62"/>
        <v>1000</v>
      </c>
      <c r="F160" s="368">
        <v>1000</v>
      </c>
      <c r="G160" s="368"/>
      <c r="H160" s="385">
        <f t="shared" si="63"/>
        <v>0</v>
      </c>
      <c r="I160" s="371"/>
      <c r="J160" s="371"/>
      <c r="K160" s="371"/>
      <c r="L160" s="371"/>
      <c r="M160" s="371"/>
      <c r="N160" s="371"/>
      <c r="O160" s="370"/>
      <c r="P160" s="386">
        <f t="shared" si="64"/>
        <v>1000</v>
      </c>
      <c r="Q160" s="371"/>
      <c r="R160" s="371">
        <v>500</v>
      </c>
      <c r="S160" s="371"/>
      <c r="T160" s="371"/>
      <c r="U160" s="371"/>
      <c r="V160" s="371"/>
      <c r="W160" s="371"/>
      <c r="X160" s="371"/>
      <c r="Y160" s="371"/>
      <c r="Z160" s="371"/>
      <c r="AA160" s="371"/>
      <c r="AB160" s="371"/>
      <c r="AC160" s="371">
        <v>500</v>
      </c>
      <c r="AD160" s="371"/>
      <c r="AE160" s="371"/>
      <c r="AF160" s="385">
        <f t="shared" si="65"/>
        <v>0</v>
      </c>
      <c r="AG160" s="371"/>
      <c r="AH160" s="371"/>
      <c r="AI160" s="387">
        <f t="shared" si="50"/>
        <v>0</v>
      </c>
    </row>
    <row r="161" spans="1:35" s="393" customFormat="1" ht="32.450000000000003" customHeight="1">
      <c r="A161" s="427" t="s">
        <v>237</v>
      </c>
      <c r="B161" s="428" t="s">
        <v>658</v>
      </c>
      <c r="C161" s="395" t="s">
        <v>656</v>
      </c>
      <c r="D161" s="396">
        <v>1</v>
      </c>
      <c r="E161" s="385">
        <f t="shared" si="62"/>
        <v>2000</v>
      </c>
      <c r="F161" s="368">
        <v>2000</v>
      </c>
      <c r="G161" s="368"/>
      <c r="H161" s="385">
        <f t="shared" si="63"/>
        <v>0</v>
      </c>
      <c r="I161" s="371"/>
      <c r="J161" s="371"/>
      <c r="K161" s="371"/>
      <c r="L161" s="371"/>
      <c r="M161" s="371"/>
      <c r="N161" s="371"/>
      <c r="O161" s="370"/>
      <c r="P161" s="386">
        <f t="shared" si="64"/>
        <v>2000</v>
      </c>
      <c r="Q161" s="371"/>
      <c r="R161" s="371"/>
      <c r="S161" s="371">
        <v>2000</v>
      </c>
      <c r="T161" s="371"/>
      <c r="U161" s="371"/>
      <c r="V161" s="371"/>
      <c r="W161" s="371"/>
      <c r="X161" s="371"/>
      <c r="Y161" s="371"/>
      <c r="Z161" s="371"/>
      <c r="AA161" s="371"/>
      <c r="AB161" s="371"/>
      <c r="AC161" s="371"/>
      <c r="AD161" s="371"/>
      <c r="AE161" s="371"/>
      <c r="AF161" s="385">
        <f t="shared" si="65"/>
        <v>0</v>
      </c>
      <c r="AG161" s="371"/>
      <c r="AH161" s="371"/>
      <c r="AI161" s="387">
        <f t="shared" si="50"/>
        <v>0</v>
      </c>
    </row>
    <row r="162" spans="1:35" s="393" customFormat="1" ht="33.950000000000003" customHeight="1">
      <c r="A162" s="427" t="s">
        <v>237</v>
      </c>
      <c r="B162" s="428" t="s">
        <v>659</v>
      </c>
      <c r="C162" s="395" t="s">
        <v>656</v>
      </c>
      <c r="D162" s="396">
        <v>1</v>
      </c>
      <c r="E162" s="385">
        <f t="shared" si="62"/>
        <v>10000</v>
      </c>
      <c r="F162" s="368">
        <v>10000</v>
      </c>
      <c r="G162" s="368"/>
      <c r="H162" s="385">
        <f t="shared" si="63"/>
        <v>10000</v>
      </c>
      <c r="I162" s="371"/>
      <c r="J162" s="371"/>
      <c r="K162" s="371"/>
      <c r="L162" s="371">
        <v>10000</v>
      </c>
      <c r="M162" s="371"/>
      <c r="N162" s="371"/>
      <c r="O162" s="370"/>
      <c r="P162" s="386">
        <f t="shared" si="64"/>
        <v>0</v>
      </c>
      <c r="Q162" s="371"/>
      <c r="R162" s="371"/>
      <c r="S162" s="371"/>
      <c r="T162" s="371"/>
      <c r="U162" s="371"/>
      <c r="V162" s="371"/>
      <c r="W162" s="371"/>
      <c r="X162" s="371"/>
      <c r="Y162" s="371"/>
      <c r="Z162" s="371"/>
      <c r="AA162" s="371"/>
      <c r="AB162" s="371"/>
      <c r="AC162" s="371"/>
      <c r="AD162" s="371"/>
      <c r="AE162" s="371"/>
      <c r="AF162" s="385">
        <f t="shared" si="65"/>
        <v>0</v>
      </c>
      <c r="AG162" s="371"/>
      <c r="AH162" s="371"/>
      <c r="AI162" s="387">
        <f t="shared" si="50"/>
        <v>0</v>
      </c>
    </row>
    <row r="163" spans="1:35" s="393" customFormat="1" ht="35.1" customHeight="1">
      <c r="A163" s="427" t="s">
        <v>237</v>
      </c>
      <c r="B163" s="428" t="s">
        <v>661</v>
      </c>
      <c r="C163" s="395" t="s">
        <v>656</v>
      </c>
      <c r="D163" s="396">
        <v>1</v>
      </c>
      <c r="E163" s="385">
        <f t="shared" si="62"/>
        <v>65</v>
      </c>
      <c r="F163" s="368">
        <v>65</v>
      </c>
      <c r="G163" s="368"/>
      <c r="H163" s="385">
        <f t="shared" si="63"/>
        <v>0</v>
      </c>
      <c r="I163" s="371"/>
      <c r="J163" s="371"/>
      <c r="K163" s="371"/>
      <c r="L163" s="371"/>
      <c r="M163" s="371"/>
      <c r="N163" s="371"/>
      <c r="O163" s="370"/>
      <c r="P163" s="386">
        <f t="shared" si="64"/>
        <v>65</v>
      </c>
      <c r="Q163" s="371"/>
      <c r="R163" s="371"/>
      <c r="S163" s="371"/>
      <c r="T163" s="371"/>
      <c r="U163" s="371">
        <v>65</v>
      </c>
      <c r="V163" s="371"/>
      <c r="W163" s="371"/>
      <c r="X163" s="371"/>
      <c r="Y163" s="371"/>
      <c r="Z163" s="371"/>
      <c r="AA163" s="371"/>
      <c r="AB163" s="371"/>
      <c r="AC163" s="371"/>
      <c r="AD163" s="371"/>
      <c r="AE163" s="371"/>
      <c r="AF163" s="385">
        <f t="shared" si="65"/>
        <v>0</v>
      </c>
      <c r="AG163" s="371"/>
      <c r="AH163" s="371"/>
      <c r="AI163" s="387">
        <f t="shared" si="50"/>
        <v>0</v>
      </c>
    </row>
    <row r="164" spans="1:35" s="393" customFormat="1" ht="33.6" customHeight="1">
      <c r="A164" s="427" t="s">
        <v>237</v>
      </c>
      <c r="B164" s="428" t="s">
        <v>663</v>
      </c>
      <c r="C164" s="395" t="s">
        <v>656</v>
      </c>
      <c r="D164" s="396">
        <v>1</v>
      </c>
      <c r="E164" s="385">
        <f t="shared" si="62"/>
        <v>2246</v>
      </c>
      <c r="F164" s="368">
        <v>2246</v>
      </c>
      <c r="G164" s="368"/>
      <c r="H164" s="385">
        <f t="shared" si="63"/>
        <v>0</v>
      </c>
      <c r="I164" s="371"/>
      <c r="J164" s="371"/>
      <c r="K164" s="371"/>
      <c r="L164" s="371"/>
      <c r="M164" s="371"/>
      <c r="N164" s="371"/>
      <c r="O164" s="370"/>
      <c r="P164" s="386">
        <f t="shared" si="64"/>
        <v>2246</v>
      </c>
      <c r="Q164" s="371"/>
      <c r="R164" s="371"/>
      <c r="S164" s="371"/>
      <c r="T164" s="371">
        <v>2246</v>
      </c>
      <c r="U164" s="371"/>
      <c r="V164" s="371"/>
      <c r="W164" s="371"/>
      <c r="X164" s="371"/>
      <c r="Y164" s="371"/>
      <c r="Z164" s="371"/>
      <c r="AA164" s="371"/>
      <c r="AB164" s="371"/>
      <c r="AC164" s="371"/>
      <c r="AD164" s="371"/>
      <c r="AE164" s="371"/>
      <c r="AF164" s="385">
        <f t="shared" si="65"/>
        <v>0</v>
      </c>
      <c r="AG164" s="371"/>
      <c r="AH164" s="371"/>
      <c r="AI164" s="387">
        <f t="shared" si="50"/>
        <v>0</v>
      </c>
    </row>
    <row r="165" spans="1:35" s="393" customFormat="1" ht="35.450000000000003" customHeight="1">
      <c r="A165" s="427" t="s">
        <v>237</v>
      </c>
      <c r="B165" s="428" t="s">
        <v>664</v>
      </c>
      <c r="C165" s="395" t="s">
        <v>656</v>
      </c>
      <c r="D165" s="396">
        <v>1</v>
      </c>
      <c r="E165" s="385">
        <f t="shared" si="62"/>
        <v>1200</v>
      </c>
      <c r="F165" s="368">
        <v>1200</v>
      </c>
      <c r="G165" s="368"/>
      <c r="H165" s="385">
        <f t="shared" si="63"/>
        <v>0</v>
      </c>
      <c r="I165" s="371"/>
      <c r="J165" s="371"/>
      <c r="K165" s="371"/>
      <c r="L165" s="371"/>
      <c r="M165" s="371"/>
      <c r="N165" s="371"/>
      <c r="O165" s="370"/>
      <c r="P165" s="386">
        <f t="shared" si="64"/>
        <v>1200</v>
      </c>
      <c r="Q165" s="371"/>
      <c r="R165" s="371"/>
      <c r="S165" s="371"/>
      <c r="T165" s="371"/>
      <c r="U165" s="371"/>
      <c r="V165" s="371">
        <v>1200</v>
      </c>
      <c r="W165" s="371"/>
      <c r="X165" s="371"/>
      <c r="Y165" s="371"/>
      <c r="Z165" s="371"/>
      <c r="AA165" s="371"/>
      <c r="AB165" s="371"/>
      <c r="AC165" s="371"/>
      <c r="AD165" s="371"/>
      <c r="AE165" s="371"/>
      <c r="AF165" s="385">
        <f t="shared" si="65"/>
        <v>0</v>
      </c>
      <c r="AG165" s="371"/>
      <c r="AH165" s="371"/>
      <c r="AI165" s="387">
        <f t="shared" si="50"/>
        <v>0</v>
      </c>
    </row>
    <row r="166" spans="1:35" s="393" customFormat="1" ht="35.1" customHeight="1">
      <c r="A166" s="427" t="s">
        <v>237</v>
      </c>
      <c r="B166" s="428" t="s">
        <v>665</v>
      </c>
      <c r="C166" s="395" t="s">
        <v>656</v>
      </c>
      <c r="D166" s="396">
        <v>1</v>
      </c>
      <c r="E166" s="385">
        <f t="shared" si="62"/>
        <v>1500</v>
      </c>
      <c r="F166" s="368">
        <v>1500</v>
      </c>
      <c r="G166" s="368"/>
      <c r="H166" s="385">
        <f t="shared" si="63"/>
        <v>0</v>
      </c>
      <c r="I166" s="371"/>
      <c r="J166" s="371"/>
      <c r="K166" s="371"/>
      <c r="L166" s="371"/>
      <c r="M166" s="371"/>
      <c r="N166" s="371"/>
      <c r="O166" s="370"/>
      <c r="P166" s="386">
        <f t="shared" si="64"/>
        <v>1500</v>
      </c>
      <c r="Q166" s="371"/>
      <c r="R166" s="371"/>
      <c r="S166" s="371"/>
      <c r="T166" s="371"/>
      <c r="U166" s="371"/>
      <c r="V166" s="371"/>
      <c r="W166" s="371">
        <v>1200</v>
      </c>
      <c r="X166" s="371"/>
      <c r="Y166" s="371"/>
      <c r="Z166" s="371"/>
      <c r="AA166" s="371"/>
      <c r="AB166" s="371"/>
      <c r="AC166" s="371"/>
      <c r="AD166" s="371">
        <v>300</v>
      </c>
      <c r="AE166" s="371"/>
      <c r="AF166" s="385">
        <f t="shared" si="65"/>
        <v>0</v>
      </c>
      <c r="AG166" s="371"/>
      <c r="AH166" s="371"/>
      <c r="AI166" s="387">
        <f t="shared" si="50"/>
        <v>0</v>
      </c>
    </row>
    <row r="167" spans="1:35" s="393" customFormat="1" ht="36.6" customHeight="1">
      <c r="A167" s="427" t="s">
        <v>237</v>
      </c>
      <c r="B167" s="428" t="s">
        <v>666</v>
      </c>
      <c r="C167" s="395" t="s">
        <v>656</v>
      </c>
      <c r="D167" s="396">
        <v>1</v>
      </c>
      <c r="E167" s="385">
        <f t="shared" si="62"/>
        <v>8000</v>
      </c>
      <c r="F167" s="368">
        <v>8000</v>
      </c>
      <c r="G167" s="368"/>
      <c r="H167" s="385">
        <f t="shared" si="63"/>
        <v>8000</v>
      </c>
      <c r="I167" s="371"/>
      <c r="J167" s="371"/>
      <c r="K167" s="371"/>
      <c r="L167" s="371"/>
      <c r="M167" s="371">
        <v>8000</v>
      </c>
      <c r="N167" s="371"/>
      <c r="O167" s="370"/>
      <c r="P167" s="386">
        <f t="shared" si="64"/>
        <v>0</v>
      </c>
      <c r="Q167" s="371"/>
      <c r="R167" s="371"/>
      <c r="S167" s="371"/>
      <c r="T167" s="371"/>
      <c r="U167" s="371"/>
      <c r="V167" s="371"/>
      <c r="W167" s="371"/>
      <c r="X167" s="371"/>
      <c r="Y167" s="371"/>
      <c r="Z167" s="371"/>
      <c r="AA167" s="371"/>
      <c r="AB167" s="371"/>
      <c r="AC167" s="371"/>
      <c r="AD167" s="371"/>
      <c r="AE167" s="371"/>
      <c r="AF167" s="385">
        <f t="shared" si="65"/>
        <v>0</v>
      </c>
      <c r="AG167" s="371"/>
      <c r="AH167" s="371"/>
      <c r="AI167" s="387">
        <f t="shared" si="50"/>
        <v>0</v>
      </c>
    </row>
    <row r="168" spans="1:35" s="393" customFormat="1" ht="32.450000000000003" customHeight="1">
      <c r="A168" s="427" t="s">
        <v>237</v>
      </c>
      <c r="B168" s="428" t="s">
        <v>914</v>
      </c>
      <c r="C168" s="395" t="s">
        <v>656</v>
      </c>
      <c r="D168" s="396">
        <v>1</v>
      </c>
      <c r="E168" s="385">
        <f t="shared" si="62"/>
        <v>330</v>
      </c>
      <c r="F168" s="368">
        <v>330</v>
      </c>
      <c r="G168" s="368"/>
      <c r="H168" s="385">
        <f t="shared" si="63"/>
        <v>330</v>
      </c>
      <c r="I168" s="371"/>
      <c r="J168" s="371"/>
      <c r="K168" s="371"/>
      <c r="L168" s="371"/>
      <c r="M168" s="371"/>
      <c r="N168" s="371">
        <v>330</v>
      </c>
      <c r="O168" s="370"/>
      <c r="P168" s="386">
        <f t="shared" si="64"/>
        <v>0</v>
      </c>
      <c r="Q168" s="371"/>
      <c r="R168" s="371"/>
      <c r="S168" s="371"/>
      <c r="T168" s="371"/>
      <c r="U168" s="371"/>
      <c r="V168" s="371"/>
      <c r="W168" s="371"/>
      <c r="X168" s="371"/>
      <c r="Y168" s="371"/>
      <c r="Z168" s="371"/>
      <c r="AA168" s="371"/>
      <c r="AB168" s="371"/>
      <c r="AC168" s="371"/>
      <c r="AD168" s="371"/>
      <c r="AE168" s="371"/>
      <c r="AF168" s="385">
        <f t="shared" si="65"/>
        <v>0</v>
      </c>
      <c r="AG168" s="371"/>
      <c r="AH168" s="371"/>
      <c r="AI168" s="387">
        <f t="shared" si="50"/>
        <v>0</v>
      </c>
    </row>
    <row r="169" spans="1:35" s="393" customFormat="1" ht="35.1" customHeight="1">
      <c r="A169" s="427" t="s">
        <v>237</v>
      </c>
      <c r="B169" s="428" t="s">
        <v>667</v>
      </c>
      <c r="C169" s="395" t="s">
        <v>656</v>
      </c>
      <c r="D169" s="396">
        <v>1</v>
      </c>
      <c r="E169" s="385">
        <f t="shared" si="62"/>
        <v>980</v>
      </c>
      <c r="F169" s="368">
        <v>980</v>
      </c>
      <c r="G169" s="368"/>
      <c r="H169" s="385">
        <f t="shared" si="63"/>
        <v>980</v>
      </c>
      <c r="I169" s="371"/>
      <c r="J169" s="371"/>
      <c r="K169" s="371"/>
      <c r="L169" s="371"/>
      <c r="M169" s="371"/>
      <c r="N169" s="371">
        <v>980</v>
      </c>
      <c r="O169" s="370"/>
      <c r="P169" s="386">
        <f t="shared" si="64"/>
        <v>0</v>
      </c>
      <c r="Q169" s="371"/>
      <c r="R169" s="371"/>
      <c r="S169" s="371"/>
      <c r="T169" s="371"/>
      <c r="U169" s="371"/>
      <c r="V169" s="371"/>
      <c r="W169" s="371"/>
      <c r="X169" s="371"/>
      <c r="Y169" s="371"/>
      <c r="Z169" s="371"/>
      <c r="AA169" s="371"/>
      <c r="AB169" s="371"/>
      <c r="AC169" s="371"/>
      <c r="AD169" s="371"/>
      <c r="AE169" s="371"/>
      <c r="AF169" s="385">
        <f t="shared" si="65"/>
        <v>0</v>
      </c>
      <c r="AG169" s="371"/>
      <c r="AH169" s="371"/>
      <c r="AI169" s="387">
        <f t="shared" si="50"/>
        <v>0</v>
      </c>
    </row>
    <row r="170" spans="1:35" s="393" customFormat="1" ht="33" customHeight="1">
      <c r="A170" s="427" t="s">
        <v>237</v>
      </c>
      <c r="B170" s="428" t="s">
        <v>668</v>
      </c>
      <c r="C170" s="395" t="s">
        <v>656</v>
      </c>
      <c r="D170" s="396">
        <v>1</v>
      </c>
      <c r="E170" s="385">
        <f t="shared" si="62"/>
        <v>200</v>
      </c>
      <c r="F170" s="368">
        <v>200</v>
      </c>
      <c r="G170" s="368"/>
      <c r="H170" s="385">
        <f t="shared" si="63"/>
        <v>0</v>
      </c>
      <c r="I170" s="371"/>
      <c r="J170" s="371"/>
      <c r="K170" s="371"/>
      <c r="L170" s="371"/>
      <c r="M170" s="371"/>
      <c r="N170" s="371"/>
      <c r="O170" s="370"/>
      <c r="P170" s="386">
        <f t="shared" si="64"/>
        <v>200</v>
      </c>
      <c r="Q170" s="371"/>
      <c r="R170" s="371"/>
      <c r="S170" s="371"/>
      <c r="T170" s="371"/>
      <c r="U170" s="371"/>
      <c r="V170" s="371"/>
      <c r="W170" s="371"/>
      <c r="X170" s="371">
        <v>200</v>
      </c>
      <c r="Y170" s="371"/>
      <c r="Z170" s="371"/>
      <c r="AA170" s="371"/>
      <c r="AB170" s="371"/>
      <c r="AC170" s="371"/>
      <c r="AD170" s="371"/>
      <c r="AE170" s="371"/>
      <c r="AF170" s="385">
        <f t="shared" si="65"/>
        <v>0</v>
      </c>
      <c r="AG170" s="371"/>
      <c r="AH170" s="371"/>
      <c r="AI170" s="387">
        <f t="shared" si="50"/>
        <v>0</v>
      </c>
    </row>
    <row r="171" spans="1:35" s="393" customFormat="1" ht="33.950000000000003" customHeight="1">
      <c r="A171" s="427" t="s">
        <v>237</v>
      </c>
      <c r="B171" s="428" t="s">
        <v>669</v>
      </c>
      <c r="C171" s="395" t="s">
        <v>656</v>
      </c>
      <c r="D171" s="396">
        <v>1</v>
      </c>
      <c r="E171" s="385">
        <f t="shared" si="62"/>
        <v>230</v>
      </c>
      <c r="F171" s="368">
        <v>230</v>
      </c>
      <c r="G171" s="368"/>
      <c r="H171" s="385">
        <f t="shared" si="63"/>
        <v>0</v>
      </c>
      <c r="I171" s="371"/>
      <c r="J171" s="371"/>
      <c r="K171" s="371"/>
      <c r="L171" s="371"/>
      <c r="M171" s="371"/>
      <c r="N171" s="371"/>
      <c r="O171" s="370"/>
      <c r="P171" s="386">
        <f t="shared" si="64"/>
        <v>230</v>
      </c>
      <c r="Q171" s="371"/>
      <c r="R171" s="371"/>
      <c r="S171" s="371"/>
      <c r="T171" s="371"/>
      <c r="U171" s="371"/>
      <c r="V171" s="371"/>
      <c r="W171" s="371"/>
      <c r="X171" s="371"/>
      <c r="Y171" s="371"/>
      <c r="Z171" s="371">
        <v>230</v>
      </c>
      <c r="AA171" s="371"/>
      <c r="AB171" s="371"/>
      <c r="AC171" s="371"/>
      <c r="AD171" s="371"/>
      <c r="AE171" s="371"/>
      <c r="AF171" s="385">
        <f t="shared" si="65"/>
        <v>0</v>
      </c>
      <c r="AG171" s="371"/>
      <c r="AH171" s="371"/>
      <c r="AI171" s="387">
        <f t="shared" si="50"/>
        <v>0</v>
      </c>
    </row>
    <row r="172" spans="1:35" s="404" customFormat="1" ht="24" customHeight="1">
      <c r="A172" s="398" t="s">
        <v>922</v>
      </c>
      <c r="B172" s="399"/>
      <c r="C172" s="400"/>
      <c r="D172" s="401"/>
      <c r="E172" s="402">
        <f t="shared" ref="E172:AH172" si="66">E173+E174</f>
        <v>994917</v>
      </c>
      <c r="F172" s="402">
        <f t="shared" si="66"/>
        <v>440298</v>
      </c>
      <c r="G172" s="402">
        <f t="shared" si="66"/>
        <v>554619</v>
      </c>
      <c r="H172" s="402">
        <f t="shared" si="66"/>
        <v>289812</v>
      </c>
      <c r="I172" s="402">
        <f t="shared" si="66"/>
        <v>100</v>
      </c>
      <c r="J172" s="402">
        <f t="shared" si="66"/>
        <v>0</v>
      </c>
      <c r="K172" s="402">
        <f t="shared" si="66"/>
        <v>0</v>
      </c>
      <c r="L172" s="402">
        <f t="shared" si="66"/>
        <v>65586</v>
      </c>
      <c r="M172" s="402">
        <f t="shared" si="66"/>
        <v>146712</v>
      </c>
      <c r="N172" s="402">
        <f t="shared" si="66"/>
        <v>10326</v>
      </c>
      <c r="O172" s="402">
        <f t="shared" si="66"/>
        <v>67088</v>
      </c>
      <c r="P172" s="402">
        <f t="shared" si="66"/>
        <v>207431</v>
      </c>
      <c r="Q172" s="402">
        <f t="shared" si="66"/>
        <v>3000</v>
      </c>
      <c r="R172" s="402">
        <f t="shared" si="66"/>
        <v>0</v>
      </c>
      <c r="S172" s="402">
        <f t="shared" si="66"/>
        <v>0</v>
      </c>
      <c r="T172" s="402">
        <f t="shared" si="66"/>
        <v>30688</v>
      </c>
      <c r="U172" s="402">
        <f t="shared" si="66"/>
        <v>13020</v>
      </c>
      <c r="V172" s="402">
        <f t="shared" si="66"/>
        <v>41155</v>
      </c>
      <c r="W172" s="402">
        <f t="shared" si="66"/>
        <v>4659</v>
      </c>
      <c r="X172" s="402">
        <f t="shared" si="66"/>
        <v>14139</v>
      </c>
      <c r="Y172" s="402">
        <f t="shared" si="66"/>
        <v>0</v>
      </c>
      <c r="Z172" s="402">
        <f t="shared" si="66"/>
        <v>0</v>
      </c>
      <c r="AA172" s="402">
        <f t="shared" si="66"/>
        <v>23790</v>
      </c>
      <c r="AB172" s="402">
        <f t="shared" si="66"/>
        <v>24980</v>
      </c>
      <c r="AC172" s="402">
        <f t="shared" si="66"/>
        <v>0</v>
      </c>
      <c r="AD172" s="402">
        <f t="shared" si="66"/>
        <v>0</v>
      </c>
      <c r="AE172" s="402">
        <f t="shared" si="66"/>
        <v>52000</v>
      </c>
      <c r="AF172" s="402">
        <f t="shared" si="66"/>
        <v>497674</v>
      </c>
      <c r="AG172" s="402">
        <f t="shared" si="66"/>
        <v>368924</v>
      </c>
      <c r="AH172" s="402">
        <f t="shared" si="66"/>
        <v>128750</v>
      </c>
      <c r="AI172" s="387">
        <f t="shared" si="50"/>
        <v>0</v>
      </c>
    </row>
    <row r="173" spans="1:35" s="410" customFormat="1" ht="35.1" customHeight="1">
      <c r="A173" s="411" t="s">
        <v>916</v>
      </c>
      <c r="B173" s="412" t="s">
        <v>600</v>
      </c>
      <c r="C173" s="413" t="s">
        <v>917</v>
      </c>
      <c r="D173" s="414">
        <v>4</v>
      </c>
      <c r="E173" s="415">
        <f>SUM(H173,P173,AF173)</f>
        <v>132998</v>
      </c>
      <c r="F173" s="415">
        <v>132998</v>
      </c>
      <c r="G173" s="415"/>
      <c r="H173" s="415">
        <f>SUM(I173:O173)</f>
        <v>132998</v>
      </c>
      <c r="I173" s="415"/>
      <c r="J173" s="415"/>
      <c r="K173" s="415"/>
      <c r="L173" s="415"/>
      <c r="M173" s="415">
        <v>132998</v>
      </c>
      <c r="N173" s="415"/>
      <c r="O173" s="416"/>
      <c r="P173" s="416">
        <f>SUM(Q173:AE173)</f>
        <v>0</v>
      </c>
      <c r="Q173" s="415"/>
      <c r="R173" s="415"/>
      <c r="S173" s="415"/>
      <c r="T173" s="415"/>
      <c r="U173" s="415"/>
      <c r="V173" s="415"/>
      <c r="W173" s="415"/>
      <c r="X173" s="415"/>
      <c r="Y173" s="415"/>
      <c r="Z173" s="415"/>
      <c r="AA173" s="415"/>
      <c r="AB173" s="415"/>
      <c r="AC173" s="415"/>
      <c r="AD173" s="415"/>
      <c r="AE173" s="415"/>
      <c r="AF173" s="415">
        <f>SUM(AG173:AH173)</f>
        <v>0</v>
      </c>
      <c r="AG173" s="415"/>
      <c r="AH173" s="415"/>
      <c r="AI173" s="387">
        <f t="shared" si="50"/>
        <v>0</v>
      </c>
    </row>
    <row r="174" spans="1:35" s="410" customFormat="1" ht="22.5" customHeight="1">
      <c r="A174" s="405" t="s">
        <v>1102</v>
      </c>
      <c r="B174" s="406"/>
      <c r="C174" s="407"/>
      <c r="D174" s="408"/>
      <c r="E174" s="409">
        <f t="shared" ref="E174:AH174" si="67">SUM(E175:E185)</f>
        <v>861919</v>
      </c>
      <c r="F174" s="409">
        <f t="shared" si="67"/>
        <v>307300</v>
      </c>
      <c r="G174" s="409">
        <f t="shared" si="67"/>
        <v>554619</v>
      </c>
      <c r="H174" s="409">
        <f t="shared" si="67"/>
        <v>156814</v>
      </c>
      <c r="I174" s="409">
        <f t="shared" si="67"/>
        <v>100</v>
      </c>
      <c r="J174" s="409">
        <f t="shared" si="67"/>
        <v>0</v>
      </c>
      <c r="K174" s="409">
        <f t="shared" si="67"/>
        <v>0</v>
      </c>
      <c r="L174" s="409">
        <f t="shared" si="67"/>
        <v>65586</v>
      </c>
      <c r="M174" s="409">
        <f t="shared" si="67"/>
        <v>13714</v>
      </c>
      <c r="N174" s="409">
        <f t="shared" si="67"/>
        <v>10326</v>
      </c>
      <c r="O174" s="409">
        <f t="shared" si="67"/>
        <v>67088</v>
      </c>
      <c r="P174" s="409">
        <f t="shared" si="67"/>
        <v>207431</v>
      </c>
      <c r="Q174" s="409">
        <f t="shared" si="67"/>
        <v>3000</v>
      </c>
      <c r="R174" s="409">
        <f t="shared" si="67"/>
        <v>0</v>
      </c>
      <c r="S174" s="409">
        <f t="shared" si="67"/>
        <v>0</v>
      </c>
      <c r="T174" s="409">
        <f t="shared" si="67"/>
        <v>30688</v>
      </c>
      <c r="U174" s="409">
        <f t="shared" si="67"/>
        <v>13020</v>
      </c>
      <c r="V174" s="409">
        <f t="shared" si="67"/>
        <v>41155</v>
      </c>
      <c r="W174" s="409">
        <f t="shared" si="67"/>
        <v>4659</v>
      </c>
      <c r="X174" s="409">
        <f t="shared" si="67"/>
        <v>14139</v>
      </c>
      <c r="Y174" s="409">
        <f t="shared" si="67"/>
        <v>0</v>
      </c>
      <c r="Z174" s="409">
        <f t="shared" si="67"/>
        <v>0</v>
      </c>
      <c r="AA174" s="409">
        <f t="shared" si="67"/>
        <v>23790</v>
      </c>
      <c r="AB174" s="409">
        <f t="shared" si="67"/>
        <v>24980</v>
      </c>
      <c r="AC174" s="409">
        <f t="shared" si="67"/>
        <v>0</v>
      </c>
      <c r="AD174" s="409">
        <f t="shared" si="67"/>
        <v>0</v>
      </c>
      <c r="AE174" s="409">
        <f t="shared" si="67"/>
        <v>52000</v>
      </c>
      <c r="AF174" s="409">
        <f t="shared" si="67"/>
        <v>497674</v>
      </c>
      <c r="AG174" s="409">
        <f t="shared" si="67"/>
        <v>368924</v>
      </c>
      <c r="AH174" s="409">
        <f t="shared" si="67"/>
        <v>128750</v>
      </c>
      <c r="AI174" s="387">
        <f t="shared" si="50"/>
        <v>0</v>
      </c>
    </row>
    <row r="175" spans="1:35" s="393" customFormat="1" ht="24" customHeight="1">
      <c r="A175" s="397" t="s">
        <v>916</v>
      </c>
      <c r="B175" s="394" t="s">
        <v>918</v>
      </c>
      <c r="C175" s="395" t="s">
        <v>468</v>
      </c>
      <c r="D175" s="396">
        <v>4</v>
      </c>
      <c r="E175" s="385">
        <f t="shared" ref="E175:E185" si="68">SUM(H175,P175,AF175)</f>
        <v>250</v>
      </c>
      <c r="F175" s="368"/>
      <c r="G175" s="368">
        <v>250</v>
      </c>
      <c r="H175" s="385">
        <f t="shared" ref="H175:H185" si="69">SUM(I175:O175)</f>
        <v>0</v>
      </c>
      <c r="I175" s="371"/>
      <c r="J175" s="371"/>
      <c r="K175" s="371"/>
      <c r="L175" s="371"/>
      <c r="M175" s="371"/>
      <c r="N175" s="371"/>
      <c r="O175" s="370"/>
      <c r="P175" s="386">
        <f t="shared" ref="P175:P185" si="70">SUM(Q175:AE175)</f>
        <v>0</v>
      </c>
      <c r="Q175" s="371"/>
      <c r="R175" s="371"/>
      <c r="S175" s="371"/>
      <c r="T175" s="371"/>
      <c r="U175" s="371"/>
      <c r="V175" s="371"/>
      <c r="W175" s="371"/>
      <c r="X175" s="371"/>
      <c r="Y175" s="371"/>
      <c r="Z175" s="371"/>
      <c r="AA175" s="371"/>
      <c r="AB175" s="371"/>
      <c r="AC175" s="371"/>
      <c r="AD175" s="371"/>
      <c r="AE175" s="371"/>
      <c r="AF175" s="385">
        <f t="shared" ref="AF175:AF185" si="71">SUM(AG175:AH175)</f>
        <v>250</v>
      </c>
      <c r="AG175" s="371"/>
      <c r="AH175" s="371">
        <v>250</v>
      </c>
      <c r="AI175" s="387">
        <f t="shared" si="50"/>
        <v>0</v>
      </c>
    </row>
    <row r="176" spans="1:35" s="393" customFormat="1" ht="24" customHeight="1">
      <c r="A176" s="397" t="s">
        <v>916</v>
      </c>
      <c r="B176" s="394" t="s">
        <v>918</v>
      </c>
      <c r="C176" s="395" t="s">
        <v>469</v>
      </c>
      <c r="D176" s="396">
        <v>4</v>
      </c>
      <c r="E176" s="385">
        <f t="shared" si="68"/>
        <v>224000</v>
      </c>
      <c r="F176" s="368">
        <v>224000</v>
      </c>
      <c r="G176" s="368"/>
      <c r="H176" s="385">
        <f t="shared" si="69"/>
        <v>0</v>
      </c>
      <c r="I176" s="371"/>
      <c r="J176" s="371"/>
      <c r="K176" s="371"/>
      <c r="L176" s="371"/>
      <c r="M176" s="371"/>
      <c r="N176" s="371"/>
      <c r="O176" s="370"/>
      <c r="P176" s="386">
        <f t="shared" si="70"/>
        <v>0</v>
      </c>
      <c r="Q176" s="371"/>
      <c r="R176" s="371"/>
      <c r="S176" s="371"/>
      <c r="T176" s="371"/>
      <c r="U176" s="371"/>
      <c r="V176" s="371"/>
      <c r="W176" s="371"/>
      <c r="X176" s="371"/>
      <c r="Y176" s="371"/>
      <c r="Z176" s="371"/>
      <c r="AA176" s="371"/>
      <c r="AB176" s="371"/>
      <c r="AC176" s="371"/>
      <c r="AD176" s="371"/>
      <c r="AE176" s="371"/>
      <c r="AF176" s="385">
        <f t="shared" si="71"/>
        <v>224000</v>
      </c>
      <c r="AG176" s="371">
        <v>160000</v>
      </c>
      <c r="AH176" s="371">
        <v>64000</v>
      </c>
      <c r="AI176" s="387">
        <f t="shared" si="50"/>
        <v>0</v>
      </c>
    </row>
    <row r="177" spans="1:35" s="393" customFormat="1" ht="24" customHeight="1">
      <c r="A177" s="397" t="s">
        <v>916</v>
      </c>
      <c r="B177" s="394" t="s">
        <v>918</v>
      </c>
      <c r="C177" s="395" t="s">
        <v>203</v>
      </c>
      <c r="D177" s="396">
        <v>4</v>
      </c>
      <c r="E177" s="385">
        <f t="shared" si="68"/>
        <v>4000</v>
      </c>
      <c r="F177" s="368"/>
      <c r="G177" s="368">
        <v>4000</v>
      </c>
      <c r="H177" s="385">
        <f t="shared" si="69"/>
        <v>0</v>
      </c>
      <c r="I177" s="371"/>
      <c r="J177" s="371"/>
      <c r="K177" s="371"/>
      <c r="L177" s="371"/>
      <c r="M177" s="371"/>
      <c r="N177" s="371"/>
      <c r="O177" s="370"/>
      <c r="P177" s="386">
        <f t="shared" si="70"/>
        <v>4000</v>
      </c>
      <c r="Q177" s="371"/>
      <c r="R177" s="371"/>
      <c r="S177" s="371"/>
      <c r="T177" s="371"/>
      <c r="U177" s="371"/>
      <c r="V177" s="371"/>
      <c r="W177" s="371"/>
      <c r="X177" s="371"/>
      <c r="Y177" s="371"/>
      <c r="Z177" s="371"/>
      <c r="AA177" s="371"/>
      <c r="AB177" s="371"/>
      <c r="AC177" s="371"/>
      <c r="AD177" s="371"/>
      <c r="AE177" s="371">
        <v>4000</v>
      </c>
      <c r="AF177" s="385">
        <f t="shared" si="71"/>
        <v>0</v>
      </c>
      <c r="AG177" s="371"/>
      <c r="AH177" s="371"/>
      <c r="AI177" s="387">
        <f t="shared" si="50"/>
        <v>0</v>
      </c>
    </row>
    <row r="178" spans="1:35" s="393" customFormat="1" ht="24" customHeight="1">
      <c r="A178" s="397" t="s">
        <v>916</v>
      </c>
      <c r="B178" s="394" t="s">
        <v>918</v>
      </c>
      <c r="C178" s="395" t="s">
        <v>204</v>
      </c>
      <c r="D178" s="396">
        <v>4</v>
      </c>
      <c r="E178" s="385">
        <f t="shared" si="68"/>
        <v>205045</v>
      </c>
      <c r="F178" s="368"/>
      <c r="G178" s="368">
        <v>205045</v>
      </c>
      <c r="H178" s="385">
        <f t="shared" si="69"/>
        <v>0</v>
      </c>
      <c r="I178" s="371"/>
      <c r="J178" s="371"/>
      <c r="K178" s="371"/>
      <c r="L178" s="371"/>
      <c r="M178" s="371"/>
      <c r="N178" s="371"/>
      <c r="O178" s="370"/>
      <c r="P178" s="386">
        <f t="shared" si="70"/>
        <v>0</v>
      </c>
      <c r="Q178" s="371"/>
      <c r="R178" s="371"/>
      <c r="S178" s="371"/>
      <c r="T178" s="371"/>
      <c r="U178" s="371"/>
      <c r="V178" s="371"/>
      <c r="W178" s="371"/>
      <c r="X178" s="371"/>
      <c r="Y178" s="371"/>
      <c r="Z178" s="371"/>
      <c r="AA178" s="371"/>
      <c r="AB178" s="371"/>
      <c r="AC178" s="371"/>
      <c r="AD178" s="371"/>
      <c r="AE178" s="371"/>
      <c r="AF178" s="385">
        <f t="shared" si="71"/>
        <v>205045</v>
      </c>
      <c r="AG178" s="371">
        <v>182045</v>
      </c>
      <c r="AH178" s="371">
        <v>23000</v>
      </c>
      <c r="AI178" s="387">
        <f t="shared" si="50"/>
        <v>0</v>
      </c>
    </row>
    <row r="179" spans="1:35" s="393" customFormat="1" ht="24" customHeight="1">
      <c r="A179" s="397" t="s">
        <v>916</v>
      </c>
      <c r="B179" s="394" t="s">
        <v>918</v>
      </c>
      <c r="C179" s="395" t="s">
        <v>919</v>
      </c>
      <c r="D179" s="396">
        <v>4</v>
      </c>
      <c r="E179" s="385">
        <f t="shared" si="68"/>
        <v>74000</v>
      </c>
      <c r="F179" s="368"/>
      <c r="G179" s="368">
        <v>74000</v>
      </c>
      <c r="H179" s="385">
        <f t="shared" si="69"/>
        <v>0</v>
      </c>
      <c r="I179" s="371"/>
      <c r="J179" s="371"/>
      <c r="K179" s="371"/>
      <c r="L179" s="371"/>
      <c r="M179" s="371"/>
      <c r="N179" s="371"/>
      <c r="O179" s="370"/>
      <c r="P179" s="386">
        <f t="shared" si="70"/>
        <v>19000</v>
      </c>
      <c r="Q179" s="371"/>
      <c r="R179" s="371"/>
      <c r="S179" s="371"/>
      <c r="T179" s="371"/>
      <c r="U179" s="371"/>
      <c r="V179" s="371"/>
      <c r="W179" s="371"/>
      <c r="X179" s="371"/>
      <c r="Y179" s="371"/>
      <c r="Z179" s="371"/>
      <c r="AA179" s="371">
        <v>19000</v>
      </c>
      <c r="AB179" s="371"/>
      <c r="AC179" s="371"/>
      <c r="AD179" s="371"/>
      <c r="AE179" s="371"/>
      <c r="AF179" s="385">
        <f t="shared" si="71"/>
        <v>55000</v>
      </c>
      <c r="AG179" s="371">
        <v>15000</v>
      </c>
      <c r="AH179" s="371">
        <v>40000</v>
      </c>
      <c r="AI179" s="387">
        <f t="shared" si="50"/>
        <v>0</v>
      </c>
    </row>
    <row r="180" spans="1:35" s="393" customFormat="1" ht="30.6" customHeight="1">
      <c r="A180" s="397" t="s">
        <v>916</v>
      </c>
      <c r="B180" s="394" t="s">
        <v>918</v>
      </c>
      <c r="C180" s="395" t="s">
        <v>604</v>
      </c>
      <c r="D180" s="396">
        <v>4</v>
      </c>
      <c r="E180" s="385">
        <f t="shared" si="68"/>
        <v>10379</v>
      </c>
      <c r="F180" s="368"/>
      <c r="G180" s="368">
        <v>10379</v>
      </c>
      <c r="H180" s="385">
        <f t="shared" si="69"/>
        <v>0</v>
      </c>
      <c r="I180" s="371"/>
      <c r="J180" s="371"/>
      <c r="K180" s="371"/>
      <c r="L180" s="371"/>
      <c r="M180" s="371"/>
      <c r="N180" s="371"/>
      <c r="O180" s="370"/>
      <c r="P180" s="386">
        <f t="shared" si="70"/>
        <v>0</v>
      </c>
      <c r="Q180" s="371"/>
      <c r="R180" s="371"/>
      <c r="S180" s="371"/>
      <c r="T180" s="371"/>
      <c r="U180" s="371"/>
      <c r="V180" s="371"/>
      <c r="W180" s="371"/>
      <c r="X180" s="371"/>
      <c r="Y180" s="371"/>
      <c r="Z180" s="371"/>
      <c r="AA180" s="371"/>
      <c r="AB180" s="371"/>
      <c r="AC180" s="371"/>
      <c r="AD180" s="371"/>
      <c r="AE180" s="371"/>
      <c r="AF180" s="385">
        <f t="shared" si="71"/>
        <v>10379</v>
      </c>
      <c r="AG180" s="371">
        <v>10379</v>
      </c>
      <c r="AH180" s="371"/>
      <c r="AI180" s="387">
        <f t="shared" si="50"/>
        <v>0</v>
      </c>
    </row>
    <row r="181" spans="1:35" s="393" customFormat="1" ht="35.450000000000003" customHeight="1">
      <c r="A181" s="397" t="s">
        <v>916</v>
      </c>
      <c r="B181" s="394" t="s">
        <v>918</v>
      </c>
      <c r="C181" s="395" t="s">
        <v>920</v>
      </c>
      <c r="D181" s="396">
        <v>4</v>
      </c>
      <c r="E181" s="385">
        <f t="shared" si="68"/>
        <v>96000</v>
      </c>
      <c r="F181" s="368">
        <v>46000</v>
      </c>
      <c r="G181" s="368">
        <v>50000</v>
      </c>
      <c r="H181" s="385">
        <f t="shared" si="69"/>
        <v>50000</v>
      </c>
      <c r="I181" s="371"/>
      <c r="J181" s="371"/>
      <c r="K181" s="371"/>
      <c r="L181" s="371"/>
      <c r="M181" s="371"/>
      <c r="N181" s="371"/>
      <c r="O181" s="370">
        <v>50000</v>
      </c>
      <c r="P181" s="386">
        <f t="shared" si="70"/>
        <v>43000</v>
      </c>
      <c r="Q181" s="371"/>
      <c r="R181" s="371"/>
      <c r="S181" s="371"/>
      <c r="T181" s="371"/>
      <c r="U181" s="371"/>
      <c r="V181" s="371"/>
      <c r="W181" s="371"/>
      <c r="X181" s="371"/>
      <c r="Y181" s="371"/>
      <c r="Z181" s="371"/>
      <c r="AA181" s="371"/>
      <c r="AB181" s="371"/>
      <c r="AC181" s="371"/>
      <c r="AD181" s="371"/>
      <c r="AE181" s="371">
        <v>43000</v>
      </c>
      <c r="AF181" s="385">
        <f t="shared" si="71"/>
        <v>3000</v>
      </c>
      <c r="AG181" s="371">
        <v>1500</v>
      </c>
      <c r="AH181" s="371">
        <v>1500</v>
      </c>
      <c r="AI181" s="387">
        <f t="shared" si="50"/>
        <v>0</v>
      </c>
    </row>
    <row r="182" spans="1:35" s="393" customFormat="1" ht="29.1" customHeight="1">
      <c r="A182" s="397" t="s">
        <v>916</v>
      </c>
      <c r="B182" s="394" t="s">
        <v>918</v>
      </c>
      <c r="C182" s="395" t="s">
        <v>208</v>
      </c>
      <c r="D182" s="396">
        <v>4</v>
      </c>
      <c r="E182" s="385">
        <f t="shared" si="68"/>
        <v>4050</v>
      </c>
      <c r="F182" s="368"/>
      <c r="G182" s="368">
        <v>4050</v>
      </c>
      <c r="H182" s="385">
        <f t="shared" si="69"/>
        <v>0</v>
      </c>
      <c r="I182" s="371"/>
      <c r="J182" s="371"/>
      <c r="K182" s="371"/>
      <c r="L182" s="371"/>
      <c r="M182" s="371"/>
      <c r="N182" s="371"/>
      <c r="O182" s="370"/>
      <c r="P182" s="386">
        <f t="shared" si="70"/>
        <v>4050</v>
      </c>
      <c r="Q182" s="371"/>
      <c r="R182" s="371"/>
      <c r="S182" s="371"/>
      <c r="T182" s="371"/>
      <c r="U182" s="371"/>
      <c r="V182" s="371"/>
      <c r="W182" s="371"/>
      <c r="X182" s="371"/>
      <c r="Y182" s="371"/>
      <c r="Z182" s="371"/>
      <c r="AA182" s="371">
        <v>4050</v>
      </c>
      <c r="AB182" s="371"/>
      <c r="AC182" s="371"/>
      <c r="AD182" s="371"/>
      <c r="AE182" s="371"/>
      <c r="AF182" s="385">
        <f t="shared" si="71"/>
        <v>0</v>
      </c>
      <c r="AG182" s="371"/>
      <c r="AH182" s="371"/>
      <c r="AI182" s="387">
        <f t="shared" si="50"/>
        <v>0</v>
      </c>
    </row>
    <row r="183" spans="1:35" s="393" customFormat="1" ht="32.450000000000003" customHeight="1">
      <c r="A183" s="397" t="s">
        <v>916</v>
      </c>
      <c r="B183" s="394" t="s">
        <v>918</v>
      </c>
      <c r="C183" s="395" t="s">
        <v>606</v>
      </c>
      <c r="D183" s="396">
        <v>4</v>
      </c>
      <c r="E183" s="385">
        <f t="shared" si="68"/>
        <v>120000</v>
      </c>
      <c r="F183" s="368"/>
      <c r="G183" s="368">
        <v>120000</v>
      </c>
      <c r="H183" s="385">
        <f t="shared" si="69"/>
        <v>70000</v>
      </c>
      <c r="I183" s="371"/>
      <c r="J183" s="371"/>
      <c r="K183" s="371"/>
      <c r="L183" s="371">
        <v>54086</v>
      </c>
      <c r="M183" s="371"/>
      <c r="N183" s="371">
        <v>7326</v>
      </c>
      <c r="O183" s="370">
        <v>8588</v>
      </c>
      <c r="P183" s="386">
        <f t="shared" si="70"/>
        <v>50000</v>
      </c>
      <c r="Q183" s="371"/>
      <c r="R183" s="371"/>
      <c r="S183" s="371"/>
      <c r="T183" s="371"/>
      <c r="U183" s="371">
        <v>13020</v>
      </c>
      <c r="V183" s="371"/>
      <c r="W183" s="371"/>
      <c r="X183" s="371">
        <v>12000</v>
      </c>
      <c r="Y183" s="371"/>
      <c r="Z183" s="371"/>
      <c r="AA183" s="371"/>
      <c r="AB183" s="371">
        <v>24980</v>
      </c>
      <c r="AC183" s="371"/>
      <c r="AD183" s="371"/>
      <c r="AE183" s="371"/>
      <c r="AF183" s="385">
        <f t="shared" si="71"/>
        <v>0</v>
      </c>
      <c r="AG183" s="371"/>
      <c r="AH183" s="371"/>
      <c r="AI183" s="387">
        <f t="shared" si="50"/>
        <v>0</v>
      </c>
    </row>
    <row r="184" spans="1:35" s="393" customFormat="1" ht="32.450000000000003" customHeight="1">
      <c r="A184" s="397" t="s">
        <v>916</v>
      </c>
      <c r="B184" s="394" t="s">
        <v>918</v>
      </c>
      <c r="C184" s="395" t="s">
        <v>607</v>
      </c>
      <c r="D184" s="396">
        <v>4</v>
      </c>
      <c r="E184" s="385">
        <f t="shared" si="68"/>
        <v>30000</v>
      </c>
      <c r="F184" s="368"/>
      <c r="G184" s="368">
        <v>30000</v>
      </c>
      <c r="H184" s="385">
        <f t="shared" si="69"/>
        <v>25000</v>
      </c>
      <c r="I184" s="371"/>
      <c r="J184" s="371"/>
      <c r="K184" s="371"/>
      <c r="L184" s="371">
        <v>10000</v>
      </c>
      <c r="M184" s="371">
        <v>10000</v>
      </c>
      <c r="N184" s="371"/>
      <c r="O184" s="370">
        <v>5000</v>
      </c>
      <c r="P184" s="386">
        <f t="shared" si="70"/>
        <v>5000</v>
      </c>
      <c r="Q184" s="371"/>
      <c r="R184" s="371"/>
      <c r="S184" s="371"/>
      <c r="T184" s="371"/>
      <c r="U184" s="371"/>
      <c r="V184" s="371"/>
      <c r="W184" s="371"/>
      <c r="X184" s="371"/>
      <c r="Y184" s="371"/>
      <c r="Z184" s="371"/>
      <c r="AA184" s="371"/>
      <c r="AB184" s="371"/>
      <c r="AC184" s="371"/>
      <c r="AD184" s="371"/>
      <c r="AE184" s="371">
        <v>5000</v>
      </c>
      <c r="AF184" s="385">
        <f t="shared" si="71"/>
        <v>0</v>
      </c>
      <c r="AG184" s="371"/>
      <c r="AH184" s="371"/>
      <c r="AI184" s="387">
        <f t="shared" si="50"/>
        <v>0</v>
      </c>
    </row>
    <row r="185" spans="1:35" s="393" customFormat="1" ht="39" customHeight="1">
      <c r="A185" s="397" t="s">
        <v>916</v>
      </c>
      <c r="B185" s="394" t="s">
        <v>918</v>
      </c>
      <c r="C185" s="395" t="s">
        <v>921</v>
      </c>
      <c r="D185" s="396">
        <v>4</v>
      </c>
      <c r="E185" s="385">
        <f t="shared" si="68"/>
        <v>94195</v>
      </c>
      <c r="F185" s="368">
        <v>37300</v>
      </c>
      <c r="G185" s="368">
        <v>56895</v>
      </c>
      <c r="H185" s="385">
        <f t="shared" si="69"/>
        <v>11814</v>
      </c>
      <c r="I185" s="371">
        <v>100</v>
      </c>
      <c r="J185" s="371"/>
      <c r="K185" s="371"/>
      <c r="L185" s="371">
        <v>1500</v>
      </c>
      <c r="M185" s="371">
        <v>3714</v>
      </c>
      <c r="N185" s="371">
        <v>3000</v>
      </c>
      <c r="O185" s="370">
        <v>3500</v>
      </c>
      <c r="P185" s="386">
        <f t="shared" si="70"/>
        <v>82381</v>
      </c>
      <c r="Q185" s="371">
        <v>3000</v>
      </c>
      <c r="R185" s="371"/>
      <c r="S185" s="371"/>
      <c r="T185" s="371">
        <v>30688</v>
      </c>
      <c r="U185" s="371"/>
      <c r="V185" s="371">
        <v>41155</v>
      </c>
      <c r="W185" s="371">
        <v>4659</v>
      </c>
      <c r="X185" s="371">
        <v>2139</v>
      </c>
      <c r="Y185" s="371"/>
      <c r="Z185" s="371"/>
      <c r="AA185" s="371">
        <v>740</v>
      </c>
      <c r="AB185" s="371"/>
      <c r="AC185" s="371"/>
      <c r="AD185" s="371"/>
      <c r="AE185" s="371"/>
      <c r="AF185" s="385">
        <f t="shared" si="71"/>
        <v>0</v>
      </c>
      <c r="AG185" s="371"/>
      <c r="AH185" s="371"/>
      <c r="AI185" s="387">
        <f t="shared" si="50"/>
        <v>0</v>
      </c>
    </row>
    <row r="186" spans="1:35" s="404" customFormat="1" ht="24" customHeight="1">
      <c r="A186" s="398" t="s">
        <v>939</v>
      </c>
      <c r="B186" s="399"/>
      <c r="C186" s="400"/>
      <c r="D186" s="401"/>
      <c r="E186" s="402">
        <f t="shared" ref="E186:AH186" si="72">E187+E216</f>
        <v>28970433</v>
      </c>
      <c r="F186" s="402">
        <f t="shared" si="72"/>
        <v>5363981</v>
      </c>
      <c r="G186" s="402">
        <f t="shared" si="72"/>
        <v>23606452</v>
      </c>
      <c r="H186" s="402">
        <f t="shared" si="72"/>
        <v>23540779</v>
      </c>
      <c r="I186" s="402">
        <f t="shared" si="72"/>
        <v>1793841</v>
      </c>
      <c r="J186" s="402">
        <f t="shared" si="72"/>
        <v>5580367</v>
      </c>
      <c r="K186" s="402">
        <f t="shared" si="72"/>
        <v>1726183</v>
      </c>
      <c r="L186" s="402">
        <f t="shared" si="72"/>
        <v>6825183</v>
      </c>
      <c r="M186" s="402">
        <f t="shared" si="72"/>
        <v>382682</v>
      </c>
      <c r="N186" s="402">
        <f t="shared" si="72"/>
        <v>7003673</v>
      </c>
      <c r="O186" s="402">
        <f t="shared" si="72"/>
        <v>228850</v>
      </c>
      <c r="P186" s="402">
        <f t="shared" si="72"/>
        <v>4696635</v>
      </c>
      <c r="Q186" s="402">
        <f t="shared" si="72"/>
        <v>294191</v>
      </c>
      <c r="R186" s="402">
        <f t="shared" si="72"/>
        <v>284191</v>
      </c>
      <c r="S186" s="402">
        <f t="shared" si="72"/>
        <v>317191</v>
      </c>
      <c r="T186" s="402">
        <f t="shared" si="72"/>
        <v>593191</v>
      </c>
      <c r="U186" s="402">
        <f t="shared" si="72"/>
        <v>236191</v>
      </c>
      <c r="V186" s="402">
        <f t="shared" si="72"/>
        <v>294191</v>
      </c>
      <c r="W186" s="402">
        <f t="shared" si="72"/>
        <v>344191</v>
      </c>
      <c r="X186" s="402">
        <f t="shared" si="72"/>
        <v>404491</v>
      </c>
      <c r="Y186" s="402">
        <f t="shared" si="72"/>
        <v>393880</v>
      </c>
      <c r="Z186" s="402">
        <f t="shared" si="72"/>
        <v>644192</v>
      </c>
      <c r="AA186" s="402">
        <f t="shared" si="72"/>
        <v>105462</v>
      </c>
      <c r="AB186" s="402">
        <f t="shared" si="72"/>
        <v>44192</v>
      </c>
      <c r="AC186" s="402">
        <f t="shared" si="72"/>
        <v>44192</v>
      </c>
      <c r="AD186" s="402">
        <f t="shared" si="72"/>
        <v>131192</v>
      </c>
      <c r="AE186" s="402">
        <f t="shared" si="72"/>
        <v>565697</v>
      </c>
      <c r="AF186" s="402">
        <f t="shared" si="72"/>
        <v>733019</v>
      </c>
      <c r="AG186" s="402">
        <f t="shared" si="72"/>
        <v>161912</v>
      </c>
      <c r="AH186" s="402">
        <f t="shared" si="72"/>
        <v>571107</v>
      </c>
      <c r="AI186" s="387">
        <f t="shared" si="50"/>
        <v>0</v>
      </c>
    </row>
    <row r="187" spans="1:35" s="410" customFormat="1" ht="22.5" customHeight="1">
      <c r="A187" s="405" t="s">
        <v>1103</v>
      </c>
      <c r="B187" s="406"/>
      <c r="C187" s="407"/>
      <c r="D187" s="408"/>
      <c r="E187" s="409">
        <f t="shared" ref="E187:AH187" si="73">SUM(E188:E215)</f>
        <v>22910993</v>
      </c>
      <c r="F187" s="409">
        <f t="shared" si="73"/>
        <v>3893681</v>
      </c>
      <c r="G187" s="409">
        <f t="shared" si="73"/>
        <v>19017312</v>
      </c>
      <c r="H187" s="409">
        <f t="shared" si="73"/>
        <v>21579683</v>
      </c>
      <c r="I187" s="409">
        <f t="shared" si="73"/>
        <v>1533658</v>
      </c>
      <c r="J187" s="409">
        <f t="shared" si="73"/>
        <v>5320184</v>
      </c>
      <c r="K187" s="409">
        <f t="shared" si="73"/>
        <v>1466000</v>
      </c>
      <c r="L187" s="409">
        <f t="shared" si="73"/>
        <v>6565000</v>
      </c>
      <c r="M187" s="409">
        <f t="shared" si="73"/>
        <v>122500</v>
      </c>
      <c r="N187" s="409">
        <f t="shared" si="73"/>
        <v>6363491</v>
      </c>
      <c r="O187" s="409">
        <f t="shared" si="73"/>
        <v>208850</v>
      </c>
      <c r="P187" s="409">
        <f t="shared" si="73"/>
        <v>694115</v>
      </c>
      <c r="Q187" s="409">
        <f t="shared" si="73"/>
        <v>0</v>
      </c>
      <c r="R187" s="409">
        <f t="shared" si="73"/>
        <v>0</v>
      </c>
      <c r="S187" s="409">
        <f t="shared" si="73"/>
        <v>0</v>
      </c>
      <c r="T187" s="409">
        <f t="shared" si="73"/>
        <v>0</v>
      </c>
      <c r="U187" s="409">
        <f t="shared" si="73"/>
        <v>0</v>
      </c>
      <c r="V187" s="409">
        <f t="shared" si="73"/>
        <v>0</v>
      </c>
      <c r="W187" s="409">
        <f t="shared" si="73"/>
        <v>0</v>
      </c>
      <c r="X187" s="409">
        <f t="shared" si="73"/>
        <v>35300</v>
      </c>
      <c r="Y187" s="409">
        <f t="shared" si="73"/>
        <v>294688</v>
      </c>
      <c r="Z187" s="409">
        <f t="shared" si="73"/>
        <v>0</v>
      </c>
      <c r="AA187" s="409">
        <f t="shared" si="73"/>
        <v>11270</v>
      </c>
      <c r="AB187" s="409">
        <f t="shared" si="73"/>
        <v>0</v>
      </c>
      <c r="AC187" s="409">
        <f t="shared" si="73"/>
        <v>0</v>
      </c>
      <c r="AD187" s="409">
        <f t="shared" si="73"/>
        <v>87000</v>
      </c>
      <c r="AE187" s="409">
        <f t="shared" si="73"/>
        <v>265857</v>
      </c>
      <c r="AF187" s="409">
        <f t="shared" si="73"/>
        <v>637195</v>
      </c>
      <c r="AG187" s="409">
        <f t="shared" si="73"/>
        <v>114000</v>
      </c>
      <c r="AH187" s="409">
        <f t="shared" si="73"/>
        <v>523195</v>
      </c>
      <c r="AI187" s="387">
        <f t="shared" si="50"/>
        <v>0</v>
      </c>
    </row>
    <row r="188" spans="1:35" s="393" customFormat="1" ht="24" customHeight="1">
      <c r="A188" s="427" t="s">
        <v>923</v>
      </c>
      <c r="B188" s="428" t="s">
        <v>70</v>
      </c>
      <c r="C188" s="395" t="s">
        <v>924</v>
      </c>
      <c r="D188" s="396">
        <v>4</v>
      </c>
      <c r="E188" s="385">
        <f t="shared" ref="E188:E215" si="74">SUM(H188,P188,AF188)</f>
        <v>336000</v>
      </c>
      <c r="F188" s="368">
        <v>134400</v>
      </c>
      <c r="G188" s="368">
        <v>201600</v>
      </c>
      <c r="H188" s="385">
        <f t="shared" ref="H188:H215" si="75">SUM(I188:O188)</f>
        <v>155000</v>
      </c>
      <c r="I188" s="371"/>
      <c r="J188" s="371"/>
      <c r="K188" s="371"/>
      <c r="L188" s="371"/>
      <c r="M188" s="371"/>
      <c r="N188" s="371"/>
      <c r="O188" s="370">
        <v>155000</v>
      </c>
      <c r="P188" s="386">
        <f t="shared" ref="P188:P215" si="76">SUM(Q188:AE188)</f>
        <v>168000</v>
      </c>
      <c r="Q188" s="371"/>
      <c r="R188" s="371"/>
      <c r="S188" s="371"/>
      <c r="T188" s="371"/>
      <c r="U188" s="371"/>
      <c r="V188" s="371"/>
      <c r="W188" s="371"/>
      <c r="X188" s="371"/>
      <c r="Y188" s="371"/>
      <c r="Z188" s="371"/>
      <c r="AA188" s="371"/>
      <c r="AB188" s="371"/>
      <c r="AC188" s="371"/>
      <c r="AD188" s="371"/>
      <c r="AE188" s="371">
        <v>168000</v>
      </c>
      <c r="AF188" s="385">
        <f t="shared" ref="AF188:AF215" si="77">SUM(AG188:AH188)</f>
        <v>13000</v>
      </c>
      <c r="AG188" s="371">
        <v>11000</v>
      </c>
      <c r="AH188" s="371">
        <v>2000</v>
      </c>
      <c r="AI188" s="387">
        <f t="shared" si="50"/>
        <v>0</v>
      </c>
    </row>
    <row r="189" spans="1:35" s="393" customFormat="1" ht="31.5" customHeight="1">
      <c r="A189" s="427" t="s">
        <v>923</v>
      </c>
      <c r="B189" s="428" t="s">
        <v>70</v>
      </c>
      <c r="C189" s="395" t="s">
        <v>612</v>
      </c>
      <c r="D189" s="396">
        <v>9</v>
      </c>
      <c r="E189" s="385">
        <f t="shared" si="74"/>
        <v>3475775</v>
      </c>
      <c r="F189" s="368">
        <v>3475775</v>
      </c>
      <c r="G189" s="368"/>
      <c r="H189" s="385">
        <f t="shared" si="75"/>
        <v>3475775</v>
      </c>
      <c r="I189" s="371"/>
      <c r="J189" s="371">
        <v>2939184</v>
      </c>
      <c r="K189" s="371"/>
      <c r="L189" s="371"/>
      <c r="M189" s="371"/>
      <c r="N189" s="371">
        <v>536591</v>
      </c>
      <c r="O189" s="370"/>
      <c r="P189" s="386">
        <f t="shared" si="76"/>
        <v>0</v>
      </c>
      <c r="Q189" s="371"/>
      <c r="R189" s="371"/>
      <c r="S189" s="371"/>
      <c r="T189" s="371"/>
      <c r="U189" s="371"/>
      <c r="V189" s="371"/>
      <c r="W189" s="371"/>
      <c r="X189" s="371"/>
      <c r="Y189" s="371"/>
      <c r="Z189" s="371"/>
      <c r="AA189" s="371"/>
      <c r="AB189" s="371"/>
      <c r="AC189" s="371"/>
      <c r="AD189" s="371"/>
      <c r="AE189" s="371"/>
      <c r="AF189" s="385">
        <f t="shared" si="77"/>
        <v>0</v>
      </c>
      <c r="AG189" s="371"/>
      <c r="AH189" s="371"/>
      <c r="AI189" s="387">
        <f t="shared" si="50"/>
        <v>0</v>
      </c>
    </row>
    <row r="190" spans="1:35" s="393" customFormat="1" ht="24.95" customHeight="1">
      <c r="A190" s="427" t="s">
        <v>923</v>
      </c>
      <c r="B190" s="428" t="s">
        <v>70</v>
      </c>
      <c r="C190" s="395" t="s">
        <v>211</v>
      </c>
      <c r="D190" s="396">
        <v>4</v>
      </c>
      <c r="E190" s="385">
        <f t="shared" si="74"/>
        <v>147707</v>
      </c>
      <c r="F190" s="368">
        <v>147707</v>
      </c>
      <c r="G190" s="368"/>
      <c r="H190" s="385">
        <f t="shared" si="75"/>
        <v>48850</v>
      </c>
      <c r="I190" s="371"/>
      <c r="J190" s="371"/>
      <c r="K190" s="371"/>
      <c r="L190" s="371"/>
      <c r="M190" s="371"/>
      <c r="N190" s="371"/>
      <c r="O190" s="370">
        <v>48850</v>
      </c>
      <c r="P190" s="386">
        <f t="shared" si="76"/>
        <v>92857</v>
      </c>
      <c r="Q190" s="371"/>
      <c r="R190" s="371"/>
      <c r="S190" s="371"/>
      <c r="T190" s="371"/>
      <c r="U190" s="371"/>
      <c r="V190" s="371"/>
      <c r="W190" s="371"/>
      <c r="X190" s="371"/>
      <c r="Y190" s="371"/>
      <c r="Z190" s="371"/>
      <c r="AA190" s="371"/>
      <c r="AB190" s="371"/>
      <c r="AC190" s="371"/>
      <c r="AD190" s="371"/>
      <c r="AE190" s="371">
        <v>92857</v>
      </c>
      <c r="AF190" s="385">
        <f t="shared" si="77"/>
        <v>6000</v>
      </c>
      <c r="AG190" s="371">
        <v>3000</v>
      </c>
      <c r="AH190" s="371">
        <v>3000</v>
      </c>
      <c r="AI190" s="387">
        <f t="shared" si="50"/>
        <v>0</v>
      </c>
    </row>
    <row r="191" spans="1:35" s="393" customFormat="1" ht="48" customHeight="1">
      <c r="A191" s="427" t="s">
        <v>923</v>
      </c>
      <c r="B191" s="428" t="s">
        <v>925</v>
      </c>
      <c r="C191" s="395" t="s">
        <v>926</v>
      </c>
      <c r="D191" s="396">
        <v>4</v>
      </c>
      <c r="E191" s="385">
        <f t="shared" si="74"/>
        <v>147538</v>
      </c>
      <c r="F191" s="368">
        <v>133538</v>
      </c>
      <c r="G191" s="368">
        <v>14000</v>
      </c>
      <c r="H191" s="385">
        <f t="shared" si="75"/>
        <v>0</v>
      </c>
      <c r="I191" s="371"/>
      <c r="J191" s="371"/>
      <c r="K191" s="371"/>
      <c r="L191" s="371"/>
      <c r="M191" s="371"/>
      <c r="N191" s="371"/>
      <c r="O191" s="370"/>
      <c r="P191" s="386">
        <f t="shared" si="76"/>
        <v>50906</v>
      </c>
      <c r="Q191" s="371"/>
      <c r="R191" s="371"/>
      <c r="S191" s="371"/>
      <c r="T191" s="371"/>
      <c r="U191" s="371"/>
      <c r="V191" s="371"/>
      <c r="W191" s="371"/>
      <c r="X191" s="371">
        <v>17300</v>
      </c>
      <c r="Y191" s="371">
        <v>19336</v>
      </c>
      <c r="Z191" s="371"/>
      <c r="AA191" s="371">
        <v>11270</v>
      </c>
      <c r="AB191" s="371"/>
      <c r="AC191" s="371"/>
      <c r="AD191" s="371"/>
      <c r="AE191" s="371">
        <v>3000</v>
      </c>
      <c r="AF191" s="385">
        <f t="shared" si="77"/>
        <v>96632</v>
      </c>
      <c r="AG191" s="371"/>
      <c r="AH191" s="371">
        <v>96632</v>
      </c>
      <c r="AI191" s="387">
        <f t="shared" si="50"/>
        <v>0</v>
      </c>
    </row>
    <row r="192" spans="1:35" s="393" customFormat="1" ht="38.1" customHeight="1">
      <c r="A192" s="427" t="s">
        <v>923</v>
      </c>
      <c r="B192" s="428" t="s">
        <v>925</v>
      </c>
      <c r="C192" s="395" t="s">
        <v>609</v>
      </c>
      <c r="D192" s="396">
        <v>4</v>
      </c>
      <c r="E192" s="385">
        <f t="shared" si="74"/>
        <v>275352</v>
      </c>
      <c r="F192" s="368"/>
      <c r="G192" s="368">
        <v>275352</v>
      </c>
      <c r="H192" s="385">
        <f t="shared" si="75"/>
        <v>0</v>
      </c>
      <c r="I192" s="371"/>
      <c r="J192" s="371"/>
      <c r="K192" s="371"/>
      <c r="L192" s="371"/>
      <c r="M192" s="371"/>
      <c r="N192" s="371"/>
      <c r="O192" s="370"/>
      <c r="P192" s="386">
        <f t="shared" si="76"/>
        <v>275352</v>
      </c>
      <c r="Q192" s="371"/>
      <c r="R192" s="371"/>
      <c r="S192" s="371"/>
      <c r="T192" s="371"/>
      <c r="U192" s="371"/>
      <c r="V192" s="371"/>
      <c r="W192" s="371"/>
      <c r="X192" s="371"/>
      <c r="Y192" s="371">
        <v>275352</v>
      </c>
      <c r="Z192" s="371"/>
      <c r="AA192" s="371"/>
      <c r="AB192" s="371"/>
      <c r="AC192" s="371"/>
      <c r="AD192" s="371"/>
      <c r="AE192" s="371"/>
      <c r="AF192" s="385">
        <f t="shared" si="77"/>
        <v>0</v>
      </c>
      <c r="AG192" s="371"/>
      <c r="AH192" s="371"/>
      <c r="AI192" s="387">
        <f t="shared" si="50"/>
        <v>0</v>
      </c>
    </row>
    <row r="193" spans="1:35" s="393" customFormat="1" ht="39.950000000000003" customHeight="1">
      <c r="A193" s="427" t="s">
        <v>923</v>
      </c>
      <c r="B193" s="428" t="s">
        <v>925</v>
      </c>
      <c r="C193" s="395" t="s">
        <v>610</v>
      </c>
      <c r="D193" s="396">
        <v>4</v>
      </c>
      <c r="E193" s="385">
        <f t="shared" si="74"/>
        <v>18000</v>
      </c>
      <c r="F193" s="368"/>
      <c r="G193" s="368">
        <v>18000</v>
      </c>
      <c r="H193" s="385">
        <f t="shared" si="75"/>
        <v>0</v>
      </c>
      <c r="I193" s="371"/>
      <c r="J193" s="371"/>
      <c r="K193" s="371"/>
      <c r="L193" s="371"/>
      <c r="M193" s="371"/>
      <c r="N193" s="371"/>
      <c r="O193" s="370"/>
      <c r="P193" s="386">
        <f t="shared" si="76"/>
        <v>18000</v>
      </c>
      <c r="Q193" s="371"/>
      <c r="R193" s="371"/>
      <c r="S193" s="371"/>
      <c r="T193" s="371"/>
      <c r="U193" s="371"/>
      <c r="V193" s="371"/>
      <c r="W193" s="371"/>
      <c r="X193" s="371">
        <v>18000</v>
      </c>
      <c r="Y193" s="371"/>
      <c r="Z193" s="371"/>
      <c r="AA193" s="371"/>
      <c r="AB193" s="371"/>
      <c r="AC193" s="371"/>
      <c r="AD193" s="371"/>
      <c r="AE193" s="371"/>
      <c r="AF193" s="385">
        <f t="shared" si="77"/>
        <v>0</v>
      </c>
      <c r="AG193" s="371"/>
      <c r="AH193" s="371"/>
      <c r="AI193" s="387">
        <f t="shared" si="50"/>
        <v>0</v>
      </c>
    </row>
    <row r="194" spans="1:35" s="393" customFormat="1" ht="39.950000000000003" customHeight="1">
      <c r="A194" s="427" t="s">
        <v>923</v>
      </c>
      <c r="B194" s="428" t="s">
        <v>70</v>
      </c>
      <c r="C194" s="395" t="s">
        <v>927</v>
      </c>
      <c r="D194" s="396">
        <v>4</v>
      </c>
      <c r="E194" s="385">
        <f t="shared" si="74"/>
        <v>1538000</v>
      </c>
      <c r="F194" s="368"/>
      <c r="G194" s="368">
        <v>1538000</v>
      </c>
      <c r="H194" s="385">
        <f t="shared" si="75"/>
        <v>1538000</v>
      </c>
      <c r="I194" s="371"/>
      <c r="J194" s="371">
        <v>1538000</v>
      </c>
      <c r="K194" s="371"/>
      <c r="L194" s="371"/>
      <c r="M194" s="371"/>
      <c r="N194" s="371"/>
      <c r="O194" s="370"/>
      <c r="P194" s="386">
        <f t="shared" si="76"/>
        <v>0</v>
      </c>
      <c r="Q194" s="371"/>
      <c r="R194" s="371"/>
      <c r="S194" s="371"/>
      <c r="T194" s="371"/>
      <c r="U194" s="371"/>
      <c r="V194" s="371"/>
      <c r="W194" s="371"/>
      <c r="X194" s="371"/>
      <c r="Y194" s="371"/>
      <c r="Z194" s="371"/>
      <c r="AA194" s="371"/>
      <c r="AB194" s="371"/>
      <c r="AC194" s="371"/>
      <c r="AD194" s="371"/>
      <c r="AE194" s="371"/>
      <c r="AF194" s="385">
        <f t="shared" si="77"/>
        <v>0</v>
      </c>
      <c r="AG194" s="371"/>
      <c r="AH194" s="371"/>
      <c r="AI194" s="387">
        <f t="shared" si="50"/>
        <v>0</v>
      </c>
    </row>
    <row r="195" spans="1:35" s="393" customFormat="1" ht="36" customHeight="1">
      <c r="A195" s="427" t="s">
        <v>923</v>
      </c>
      <c r="B195" s="428" t="s">
        <v>70</v>
      </c>
      <c r="C195" s="395" t="s">
        <v>928</v>
      </c>
      <c r="D195" s="396">
        <v>4</v>
      </c>
      <c r="E195" s="385">
        <f t="shared" si="74"/>
        <v>783000</v>
      </c>
      <c r="F195" s="368"/>
      <c r="G195" s="368">
        <v>783000</v>
      </c>
      <c r="H195" s="385">
        <f t="shared" si="75"/>
        <v>783000</v>
      </c>
      <c r="I195" s="371"/>
      <c r="J195" s="371">
        <v>783000</v>
      </c>
      <c r="K195" s="371"/>
      <c r="L195" s="371"/>
      <c r="M195" s="371"/>
      <c r="N195" s="371"/>
      <c r="O195" s="370"/>
      <c r="P195" s="386">
        <f t="shared" si="76"/>
        <v>0</v>
      </c>
      <c r="Q195" s="371"/>
      <c r="R195" s="371"/>
      <c r="S195" s="371"/>
      <c r="T195" s="371"/>
      <c r="U195" s="371"/>
      <c r="V195" s="371"/>
      <c r="W195" s="371"/>
      <c r="X195" s="371"/>
      <c r="Y195" s="371"/>
      <c r="Z195" s="371"/>
      <c r="AA195" s="371"/>
      <c r="AB195" s="371"/>
      <c r="AC195" s="371"/>
      <c r="AD195" s="371"/>
      <c r="AE195" s="371"/>
      <c r="AF195" s="385">
        <f t="shared" si="77"/>
        <v>0</v>
      </c>
      <c r="AG195" s="371"/>
      <c r="AH195" s="371"/>
      <c r="AI195" s="387">
        <f t="shared" si="50"/>
        <v>0</v>
      </c>
    </row>
    <row r="196" spans="1:35" s="393" customFormat="1" ht="51.6" customHeight="1">
      <c r="A196" s="427" t="s">
        <v>923</v>
      </c>
      <c r="B196" s="428" t="s">
        <v>70</v>
      </c>
      <c r="C196" s="395" t="s">
        <v>929</v>
      </c>
      <c r="D196" s="396">
        <v>4</v>
      </c>
      <c r="E196" s="385">
        <f t="shared" si="74"/>
        <v>60000</v>
      </c>
      <c r="F196" s="368"/>
      <c r="G196" s="368">
        <v>60000</v>
      </c>
      <c r="H196" s="385">
        <f t="shared" si="75"/>
        <v>60000</v>
      </c>
      <c r="I196" s="371"/>
      <c r="J196" s="371">
        <v>60000</v>
      </c>
      <c r="K196" s="371"/>
      <c r="L196" s="371"/>
      <c r="M196" s="371"/>
      <c r="N196" s="371"/>
      <c r="O196" s="370"/>
      <c r="P196" s="386">
        <f t="shared" si="76"/>
        <v>0</v>
      </c>
      <c r="Q196" s="371"/>
      <c r="R196" s="371"/>
      <c r="S196" s="371"/>
      <c r="T196" s="371"/>
      <c r="U196" s="371"/>
      <c r="V196" s="371"/>
      <c r="W196" s="371"/>
      <c r="X196" s="371"/>
      <c r="Y196" s="371"/>
      <c r="Z196" s="371"/>
      <c r="AA196" s="371"/>
      <c r="AB196" s="371"/>
      <c r="AC196" s="371"/>
      <c r="AD196" s="371"/>
      <c r="AE196" s="371"/>
      <c r="AF196" s="385">
        <f t="shared" si="77"/>
        <v>0</v>
      </c>
      <c r="AG196" s="371"/>
      <c r="AH196" s="371"/>
      <c r="AI196" s="387">
        <f t="shared" si="50"/>
        <v>0</v>
      </c>
    </row>
    <row r="197" spans="1:35" s="393" customFormat="1" ht="33.6" customHeight="1">
      <c r="A197" s="427" t="s">
        <v>923</v>
      </c>
      <c r="B197" s="428" t="s">
        <v>70</v>
      </c>
      <c r="C197" s="395" t="s">
        <v>217</v>
      </c>
      <c r="D197" s="396">
        <v>4</v>
      </c>
      <c r="E197" s="385">
        <f t="shared" si="74"/>
        <v>1508300</v>
      </c>
      <c r="F197" s="368"/>
      <c r="G197" s="368">
        <v>1508300</v>
      </c>
      <c r="H197" s="385">
        <f t="shared" si="75"/>
        <v>1508300</v>
      </c>
      <c r="I197" s="371"/>
      <c r="J197" s="371"/>
      <c r="K197" s="371"/>
      <c r="L197" s="371"/>
      <c r="M197" s="371"/>
      <c r="N197" s="371">
        <v>1508300</v>
      </c>
      <c r="O197" s="370"/>
      <c r="P197" s="386">
        <f t="shared" si="76"/>
        <v>0</v>
      </c>
      <c r="Q197" s="371"/>
      <c r="R197" s="371"/>
      <c r="S197" s="371"/>
      <c r="T197" s="371"/>
      <c r="U197" s="371"/>
      <c r="V197" s="371"/>
      <c r="W197" s="371"/>
      <c r="X197" s="371"/>
      <c r="Y197" s="371"/>
      <c r="Z197" s="371"/>
      <c r="AA197" s="371"/>
      <c r="AB197" s="371"/>
      <c r="AC197" s="371"/>
      <c r="AD197" s="371"/>
      <c r="AE197" s="371"/>
      <c r="AF197" s="385">
        <f t="shared" si="77"/>
        <v>0</v>
      </c>
      <c r="AG197" s="371"/>
      <c r="AH197" s="371"/>
      <c r="AI197" s="387">
        <f t="shared" ref="AI197:AI260" si="78">IF(+F197+G197=E197,0,FALSE)</f>
        <v>0</v>
      </c>
    </row>
    <row r="198" spans="1:35" s="393" customFormat="1" ht="38.450000000000003" customHeight="1">
      <c r="A198" s="427" t="s">
        <v>923</v>
      </c>
      <c r="B198" s="428" t="s">
        <v>70</v>
      </c>
      <c r="C198" s="395" t="s">
        <v>930</v>
      </c>
      <c r="D198" s="396">
        <v>4</v>
      </c>
      <c r="E198" s="385">
        <f t="shared" si="74"/>
        <v>744000</v>
      </c>
      <c r="F198" s="368"/>
      <c r="G198" s="368">
        <v>744000</v>
      </c>
      <c r="H198" s="385">
        <f t="shared" si="75"/>
        <v>744000</v>
      </c>
      <c r="I198" s="371"/>
      <c r="J198" s="371"/>
      <c r="K198" s="371"/>
      <c r="L198" s="371"/>
      <c r="M198" s="371"/>
      <c r="N198" s="371">
        <v>744000</v>
      </c>
      <c r="O198" s="370"/>
      <c r="P198" s="386">
        <f t="shared" si="76"/>
        <v>0</v>
      </c>
      <c r="Q198" s="371"/>
      <c r="R198" s="371"/>
      <c r="S198" s="371"/>
      <c r="T198" s="371"/>
      <c r="U198" s="371"/>
      <c r="V198" s="371"/>
      <c r="W198" s="371"/>
      <c r="X198" s="371"/>
      <c r="Y198" s="371"/>
      <c r="Z198" s="371"/>
      <c r="AA198" s="371"/>
      <c r="AB198" s="371"/>
      <c r="AC198" s="371"/>
      <c r="AD198" s="371"/>
      <c r="AE198" s="371"/>
      <c r="AF198" s="385">
        <f t="shared" si="77"/>
        <v>0</v>
      </c>
      <c r="AG198" s="371"/>
      <c r="AH198" s="371"/>
      <c r="AI198" s="387">
        <f t="shared" si="78"/>
        <v>0</v>
      </c>
    </row>
    <row r="199" spans="1:35" s="393" customFormat="1" ht="51" customHeight="1">
      <c r="A199" s="427" t="s">
        <v>923</v>
      </c>
      <c r="B199" s="428" t="s">
        <v>70</v>
      </c>
      <c r="C199" s="395" t="s">
        <v>931</v>
      </c>
      <c r="D199" s="396">
        <v>4</v>
      </c>
      <c r="E199" s="385">
        <f t="shared" si="74"/>
        <v>25000</v>
      </c>
      <c r="F199" s="368"/>
      <c r="G199" s="368">
        <v>25000</v>
      </c>
      <c r="H199" s="385">
        <f t="shared" si="75"/>
        <v>25000</v>
      </c>
      <c r="I199" s="371"/>
      <c r="J199" s="371"/>
      <c r="K199" s="371"/>
      <c r="L199" s="371"/>
      <c r="M199" s="371"/>
      <c r="N199" s="371">
        <v>25000</v>
      </c>
      <c r="O199" s="370"/>
      <c r="P199" s="386">
        <f t="shared" si="76"/>
        <v>0</v>
      </c>
      <c r="Q199" s="371"/>
      <c r="R199" s="371"/>
      <c r="S199" s="371"/>
      <c r="T199" s="371"/>
      <c r="U199" s="371"/>
      <c r="V199" s="371"/>
      <c r="W199" s="371"/>
      <c r="X199" s="371"/>
      <c r="Y199" s="371"/>
      <c r="Z199" s="371"/>
      <c r="AA199" s="371"/>
      <c r="AB199" s="371"/>
      <c r="AC199" s="371"/>
      <c r="AD199" s="371"/>
      <c r="AE199" s="371"/>
      <c r="AF199" s="385">
        <f t="shared" si="77"/>
        <v>0</v>
      </c>
      <c r="AG199" s="371"/>
      <c r="AH199" s="371"/>
      <c r="AI199" s="387">
        <f t="shared" si="78"/>
        <v>0</v>
      </c>
    </row>
    <row r="200" spans="1:35" s="393" customFormat="1" ht="41.45" customHeight="1">
      <c r="A200" s="427" t="s">
        <v>923</v>
      </c>
      <c r="B200" s="428" t="s">
        <v>70</v>
      </c>
      <c r="C200" s="395" t="s">
        <v>216</v>
      </c>
      <c r="D200" s="396">
        <v>4</v>
      </c>
      <c r="E200" s="385">
        <f t="shared" si="74"/>
        <v>544900</v>
      </c>
      <c r="F200" s="368"/>
      <c r="G200" s="368">
        <v>544900</v>
      </c>
      <c r="H200" s="385">
        <f t="shared" si="75"/>
        <v>544900</v>
      </c>
      <c r="I200" s="371">
        <v>544900</v>
      </c>
      <c r="J200" s="371"/>
      <c r="K200" s="371"/>
      <c r="L200" s="371"/>
      <c r="M200" s="371"/>
      <c r="N200" s="371"/>
      <c r="O200" s="370"/>
      <c r="P200" s="386">
        <f t="shared" si="76"/>
        <v>0</v>
      </c>
      <c r="Q200" s="371"/>
      <c r="R200" s="371"/>
      <c r="S200" s="371"/>
      <c r="T200" s="371"/>
      <c r="U200" s="371"/>
      <c r="V200" s="371"/>
      <c r="W200" s="371"/>
      <c r="X200" s="371"/>
      <c r="Y200" s="371"/>
      <c r="Z200" s="371"/>
      <c r="AA200" s="371"/>
      <c r="AB200" s="371"/>
      <c r="AC200" s="371"/>
      <c r="AD200" s="371"/>
      <c r="AE200" s="371"/>
      <c r="AF200" s="385">
        <f t="shared" si="77"/>
        <v>0</v>
      </c>
      <c r="AG200" s="371"/>
      <c r="AH200" s="371"/>
      <c r="AI200" s="387">
        <f t="shared" si="78"/>
        <v>0</v>
      </c>
    </row>
    <row r="201" spans="1:35" s="393" customFormat="1" ht="33" customHeight="1">
      <c r="A201" s="427" t="s">
        <v>923</v>
      </c>
      <c r="B201" s="428" t="s">
        <v>70</v>
      </c>
      <c r="C201" s="395" t="s">
        <v>214</v>
      </c>
      <c r="D201" s="396">
        <v>4</v>
      </c>
      <c r="E201" s="385">
        <f t="shared" si="74"/>
        <v>464058</v>
      </c>
      <c r="F201" s="368"/>
      <c r="G201" s="368">
        <v>464058</v>
      </c>
      <c r="H201" s="385">
        <f t="shared" si="75"/>
        <v>464058</v>
      </c>
      <c r="I201" s="371">
        <v>464058</v>
      </c>
      <c r="J201" s="371"/>
      <c r="K201" s="371"/>
      <c r="L201" s="371"/>
      <c r="M201" s="371"/>
      <c r="N201" s="371"/>
      <c r="O201" s="370"/>
      <c r="P201" s="386">
        <f t="shared" si="76"/>
        <v>0</v>
      </c>
      <c r="Q201" s="371"/>
      <c r="R201" s="371"/>
      <c r="S201" s="371"/>
      <c r="T201" s="371"/>
      <c r="U201" s="371"/>
      <c r="V201" s="371"/>
      <c r="W201" s="371"/>
      <c r="X201" s="371"/>
      <c r="Y201" s="371"/>
      <c r="Z201" s="371"/>
      <c r="AA201" s="371"/>
      <c r="AB201" s="371"/>
      <c r="AC201" s="371"/>
      <c r="AD201" s="371"/>
      <c r="AE201" s="371"/>
      <c r="AF201" s="385">
        <f t="shared" si="77"/>
        <v>0</v>
      </c>
      <c r="AG201" s="371"/>
      <c r="AH201" s="371"/>
      <c r="AI201" s="387">
        <f t="shared" si="78"/>
        <v>0</v>
      </c>
    </row>
    <row r="202" spans="1:35" s="393" customFormat="1" ht="37.5" customHeight="1">
      <c r="A202" s="427" t="s">
        <v>923</v>
      </c>
      <c r="B202" s="428" t="s">
        <v>70</v>
      </c>
      <c r="C202" s="395" t="s">
        <v>613</v>
      </c>
      <c r="D202" s="396">
        <v>4</v>
      </c>
      <c r="E202" s="385">
        <f t="shared" si="74"/>
        <v>496100</v>
      </c>
      <c r="F202" s="368"/>
      <c r="G202" s="368">
        <v>496100</v>
      </c>
      <c r="H202" s="385">
        <f t="shared" si="75"/>
        <v>496100</v>
      </c>
      <c r="I202" s="371">
        <v>496100</v>
      </c>
      <c r="J202" s="371"/>
      <c r="K202" s="371"/>
      <c r="L202" s="371"/>
      <c r="M202" s="371"/>
      <c r="N202" s="371"/>
      <c r="O202" s="370"/>
      <c r="P202" s="386">
        <f t="shared" si="76"/>
        <v>0</v>
      </c>
      <c r="Q202" s="371"/>
      <c r="R202" s="371"/>
      <c r="S202" s="371"/>
      <c r="T202" s="371"/>
      <c r="U202" s="371"/>
      <c r="V202" s="371"/>
      <c r="W202" s="371"/>
      <c r="X202" s="371"/>
      <c r="Y202" s="371"/>
      <c r="Z202" s="371"/>
      <c r="AA202" s="371"/>
      <c r="AB202" s="371"/>
      <c r="AC202" s="371"/>
      <c r="AD202" s="371"/>
      <c r="AE202" s="371"/>
      <c r="AF202" s="385">
        <f t="shared" si="77"/>
        <v>0</v>
      </c>
      <c r="AG202" s="371"/>
      <c r="AH202" s="371"/>
      <c r="AI202" s="387">
        <f t="shared" si="78"/>
        <v>0</v>
      </c>
    </row>
    <row r="203" spans="1:35" s="393" customFormat="1" ht="33.6" customHeight="1">
      <c r="A203" s="427" t="s">
        <v>923</v>
      </c>
      <c r="B203" s="428" t="s">
        <v>70</v>
      </c>
      <c r="C203" s="395" t="s">
        <v>614</v>
      </c>
      <c r="D203" s="396">
        <v>4</v>
      </c>
      <c r="E203" s="385">
        <f t="shared" si="74"/>
        <v>28600</v>
      </c>
      <c r="F203" s="368"/>
      <c r="G203" s="368">
        <v>28600</v>
      </c>
      <c r="H203" s="385">
        <f t="shared" si="75"/>
        <v>28600</v>
      </c>
      <c r="I203" s="371">
        <v>28600</v>
      </c>
      <c r="J203" s="371"/>
      <c r="K203" s="371"/>
      <c r="L203" s="371"/>
      <c r="M203" s="371"/>
      <c r="N203" s="371"/>
      <c r="O203" s="370"/>
      <c r="P203" s="386">
        <f t="shared" si="76"/>
        <v>0</v>
      </c>
      <c r="Q203" s="371"/>
      <c r="R203" s="371"/>
      <c r="S203" s="371"/>
      <c r="T203" s="371"/>
      <c r="U203" s="371"/>
      <c r="V203" s="371"/>
      <c r="W203" s="371"/>
      <c r="X203" s="371"/>
      <c r="Y203" s="371"/>
      <c r="Z203" s="371"/>
      <c r="AA203" s="371"/>
      <c r="AB203" s="371"/>
      <c r="AC203" s="371"/>
      <c r="AD203" s="371"/>
      <c r="AE203" s="371"/>
      <c r="AF203" s="385">
        <f t="shared" si="77"/>
        <v>0</v>
      </c>
      <c r="AG203" s="371"/>
      <c r="AH203" s="371"/>
      <c r="AI203" s="387">
        <f t="shared" si="78"/>
        <v>0</v>
      </c>
    </row>
    <row r="204" spans="1:35" s="393" customFormat="1" ht="39.950000000000003" customHeight="1">
      <c r="A204" s="427" t="s">
        <v>923</v>
      </c>
      <c r="B204" s="428" t="s">
        <v>70</v>
      </c>
      <c r="C204" s="395" t="s">
        <v>503</v>
      </c>
      <c r="D204" s="396">
        <v>4</v>
      </c>
      <c r="E204" s="385">
        <f t="shared" si="74"/>
        <v>1466000</v>
      </c>
      <c r="F204" s="368"/>
      <c r="G204" s="368">
        <v>1466000</v>
      </c>
      <c r="H204" s="385">
        <f t="shared" si="75"/>
        <v>1466000</v>
      </c>
      <c r="I204" s="371"/>
      <c r="J204" s="371"/>
      <c r="K204" s="371">
        <v>1466000</v>
      </c>
      <c r="L204" s="371"/>
      <c r="M204" s="371"/>
      <c r="N204" s="371"/>
      <c r="O204" s="370"/>
      <c r="P204" s="386">
        <f t="shared" si="76"/>
        <v>0</v>
      </c>
      <c r="Q204" s="371"/>
      <c r="R204" s="371"/>
      <c r="S204" s="371"/>
      <c r="T204" s="371"/>
      <c r="U204" s="371"/>
      <c r="V204" s="371"/>
      <c r="W204" s="371"/>
      <c r="X204" s="371"/>
      <c r="Y204" s="371"/>
      <c r="Z204" s="371"/>
      <c r="AA204" s="371"/>
      <c r="AB204" s="371"/>
      <c r="AC204" s="371"/>
      <c r="AD204" s="371"/>
      <c r="AE204" s="371"/>
      <c r="AF204" s="385">
        <f t="shared" si="77"/>
        <v>0</v>
      </c>
      <c r="AG204" s="371"/>
      <c r="AH204" s="371"/>
      <c r="AI204" s="387">
        <f t="shared" si="78"/>
        <v>0</v>
      </c>
    </row>
    <row r="205" spans="1:35" s="393" customFormat="1" ht="24" customHeight="1">
      <c r="A205" s="427" t="s">
        <v>923</v>
      </c>
      <c r="B205" s="428" t="s">
        <v>70</v>
      </c>
      <c r="C205" s="395" t="s">
        <v>504</v>
      </c>
      <c r="D205" s="396">
        <v>4</v>
      </c>
      <c r="E205" s="385">
        <f t="shared" si="74"/>
        <v>7000</v>
      </c>
      <c r="F205" s="368"/>
      <c r="G205" s="368">
        <v>7000</v>
      </c>
      <c r="H205" s="385">
        <f t="shared" si="75"/>
        <v>5000</v>
      </c>
      <c r="I205" s="371"/>
      <c r="J205" s="371"/>
      <c r="K205" s="371"/>
      <c r="L205" s="371"/>
      <c r="M205" s="371"/>
      <c r="N205" s="371"/>
      <c r="O205" s="370">
        <v>5000</v>
      </c>
      <c r="P205" s="386">
        <f t="shared" si="76"/>
        <v>2000</v>
      </c>
      <c r="Q205" s="371"/>
      <c r="R205" s="371"/>
      <c r="S205" s="371"/>
      <c r="T205" s="371"/>
      <c r="U205" s="371"/>
      <c r="V205" s="371"/>
      <c r="W205" s="371"/>
      <c r="X205" s="371"/>
      <c r="Y205" s="371"/>
      <c r="Z205" s="371"/>
      <c r="AA205" s="371"/>
      <c r="AB205" s="371"/>
      <c r="AC205" s="371"/>
      <c r="AD205" s="371"/>
      <c r="AE205" s="371">
        <v>2000</v>
      </c>
      <c r="AF205" s="385">
        <f t="shared" si="77"/>
        <v>0</v>
      </c>
      <c r="AG205" s="371"/>
      <c r="AH205" s="371"/>
      <c r="AI205" s="387">
        <f t="shared" si="78"/>
        <v>0</v>
      </c>
    </row>
    <row r="206" spans="1:35" s="393" customFormat="1" ht="36.950000000000003" customHeight="1">
      <c r="A206" s="427" t="s">
        <v>923</v>
      </c>
      <c r="B206" s="428" t="s">
        <v>477</v>
      </c>
      <c r="C206" s="395" t="s">
        <v>932</v>
      </c>
      <c r="D206" s="396">
        <v>4</v>
      </c>
      <c r="E206" s="371">
        <f t="shared" si="74"/>
        <v>5365000</v>
      </c>
      <c r="F206" s="371"/>
      <c r="G206" s="371">
        <v>5365000</v>
      </c>
      <c r="H206" s="371">
        <f t="shared" si="75"/>
        <v>5365000</v>
      </c>
      <c r="I206" s="371"/>
      <c r="J206" s="371"/>
      <c r="K206" s="371"/>
      <c r="L206" s="371">
        <v>5365000</v>
      </c>
      <c r="M206" s="371"/>
      <c r="N206" s="371"/>
      <c r="O206" s="370"/>
      <c r="P206" s="370">
        <f t="shared" si="76"/>
        <v>0</v>
      </c>
      <c r="Q206" s="371"/>
      <c r="R206" s="371"/>
      <c r="S206" s="371"/>
      <c r="T206" s="371"/>
      <c r="U206" s="371"/>
      <c r="V206" s="371"/>
      <c r="W206" s="371"/>
      <c r="X206" s="371"/>
      <c r="Y206" s="371"/>
      <c r="Z206" s="371"/>
      <c r="AA206" s="371"/>
      <c r="AB206" s="371"/>
      <c r="AC206" s="371"/>
      <c r="AD206" s="371"/>
      <c r="AE206" s="371"/>
      <c r="AF206" s="371">
        <f t="shared" si="77"/>
        <v>0</v>
      </c>
      <c r="AG206" s="371"/>
      <c r="AH206" s="371"/>
      <c r="AI206" s="387">
        <f t="shared" si="78"/>
        <v>0</v>
      </c>
    </row>
    <row r="207" spans="1:35" s="393" customFormat="1" ht="30.6" customHeight="1">
      <c r="A207" s="427" t="s">
        <v>923</v>
      </c>
      <c r="B207" s="428" t="s">
        <v>476</v>
      </c>
      <c r="C207" s="395" t="s">
        <v>223</v>
      </c>
      <c r="D207" s="396">
        <v>4</v>
      </c>
      <c r="E207" s="385">
        <f t="shared" si="74"/>
        <v>1200000</v>
      </c>
      <c r="F207" s="368"/>
      <c r="G207" s="368">
        <v>1200000</v>
      </c>
      <c r="H207" s="385">
        <f t="shared" si="75"/>
        <v>1200000</v>
      </c>
      <c r="I207" s="371"/>
      <c r="J207" s="371"/>
      <c r="K207" s="371"/>
      <c r="L207" s="371">
        <v>1200000</v>
      </c>
      <c r="M207" s="371"/>
      <c r="N207" s="371"/>
      <c r="O207" s="370"/>
      <c r="P207" s="386">
        <f t="shared" si="76"/>
        <v>0</v>
      </c>
      <c r="Q207" s="371"/>
      <c r="R207" s="371"/>
      <c r="S207" s="371"/>
      <c r="T207" s="371"/>
      <c r="U207" s="371"/>
      <c r="V207" s="371"/>
      <c r="W207" s="371"/>
      <c r="X207" s="371"/>
      <c r="Y207" s="371"/>
      <c r="Z207" s="371"/>
      <c r="AA207" s="371"/>
      <c r="AB207" s="371"/>
      <c r="AC207" s="371"/>
      <c r="AD207" s="371"/>
      <c r="AE207" s="371"/>
      <c r="AF207" s="385">
        <f t="shared" si="77"/>
        <v>0</v>
      </c>
      <c r="AG207" s="371"/>
      <c r="AH207" s="371"/>
      <c r="AI207" s="387">
        <f t="shared" si="78"/>
        <v>0</v>
      </c>
    </row>
    <row r="208" spans="1:35" s="393" customFormat="1" ht="30.95" customHeight="1">
      <c r="A208" s="427" t="s">
        <v>923</v>
      </c>
      <c r="B208" s="428" t="s">
        <v>476</v>
      </c>
      <c r="C208" s="395" t="s">
        <v>933</v>
      </c>
      <c r="D208" s="396">
        <v>4</v>
      </c>
      <c r="E208" s="385">
        <f t="shared" si="74"/>
        <v>1731900</v>
      </c>
      <c r="F208" s="368"/>
      <c r="G208" s="368">
        <v>1731900</v>
      </c>
      <c r="H208" s="385">
        <f t="shared" si="75"/>
        <v>1731900</v>
      </c>
      <c r="I208" s="371"/>
      <c r="J208" s="371"/>
      <c r="K208" s="371"/>
      <c r="L208" s="371"/>
      <c r="M208" s="371"/>
      <c r="N208" s="371">
        <v>1731900</v>
      </c>
      <c r="O208" s="370"/>
      <c r="P208" s="386">
        <f t="shared" si="76"/>
        <v>0</v>
      </c>
      <c r="Q208" s="371"/>
      <c r="R208" s="371"/>
      <c r="S208" s="371"/>
      <c r="T208" s="371"/>
      <c r="U208" s="371"/>
      <c r="V208" s="371"/>
      <c r="W208" s="371"/>
      <c r="X208" s="371"/>
      <c r="Y208" s="371"/>
      <c r="Z208" s="371"/>
      <c r="AA208" s="371"/>
      <c r="AB208" s="371"/>
      <c r="AC208" s="371"/>
      <c r="AD208" s="371"/>
      <c r="AE208" s="371"/>
      <c r="AF208" s="385">
        <f t="shared" si="77"/>
        <v>0</v>
      </c>
      <c r="AG208" s="371"/>
      <c r="AH208" s="371"/>
      <c r="AI208" s="387">
        <f t="shared" si="78"/>
        <v>0</v>
      </c>
    </row>
    <row r="209" spans="1:35" s="393" customFormat="1" ht="35.1" customHeight="1">
      <c r="A209" s="427" t="s">
        <v>923</v>
      </c>
      <c r="B209" s="428" t="s">
        <v>476</v>
      </c>
      <c r="C209" s="395" t="s">
        <v>226</v>
      </c>
      <c r="D209" s="396">
        <v>4</v>
      </c>
      <c r="E209" s="385">
        <f t="shared" si="74"/>
        <v>122500</v>
      </c>
      <c r="F209" s="368"/>
      <c r="G209" s="368">
        <v>122500</v>
      </c>
      <c r="H209" s="385">
        <f t="shared" si="75"/>
        <v>122500</v>
      </c>
      <c r="I209" s="371"/>
      <c r="J209" s="371"/>
      <c r="K209" s="371"/>
      <c r="L209" s="371"/>
      <c r="M209" s="371">
        <v>122500</v>
      </c>
      <c r="N209" s="371"/>
      <c r="O209" s="370"/>
      <c r="P209" s="386">
        <f t="shared" si="76"/>
        <v>0</v>
      </c>
      <c r="Q209" s="371"/>
      <c r="R209" s="371"/>
      <c r="S209" s="371"/>
      <c r="T209" s="371"/>
      <c r="U209" s="371"/>
      <c r="V209" s="371"/>
      <c r="W209" s="371"/>
      <c r="X209" s="371"/>
      <c r="Y209" s="371"/>
      <c r="Z209" s="371"/>
      <c r="AA209" s="371"/>
      <c r="AB209" s="371"/>
      <c r="AC209" s="371"/>
      <c r="AD209" s="371"/>
      <c r="AE209" s="371"/>
      <c r="AF209" s="385">
        <f t="shared" si="77"/>
        <v>0</v>
      </c>
      <c r="AG209" s="371"/>
      <c r="AH209" s="371"/>
      <c r="AI209" s="387">
        <f t="shared" si="78"/>
        <v>0</v>
      </c>
    </row>
    <row r="210" spans="1:35" s="393" customFormat="1" ht="30.95" customHeight="1">
      <c r="A210" s="427" t="s">
        <v>923</v>
      </c>
      <c r="B210" s="428" t="s">
        <v>476</v>
      </c>
      <c r="C210" s="395" t="s">
        <v>934</v>
      </c>
      <c r="D210" s="396">
        <v>4</v>
      </c>
      <c r="E210" s="385">
        <f t="shared" si="74"/>
        <v>1140900</v>
      </c>
      <c r="F210" s="368"/>
      <c r="G210" s="368">
        <v>1140900</v>
      </c>
      <c r="H210" s="385">
        <f t="shared" si="75"/>
        <v>1140900</v>
      </c>
      <c r="I210" s="371"/>
      <c r="J210" s="371"/>
      <c r="K210" s="371"/>
      <c r="L210" s="371"/>
      <c r="M210" s="371"/>
      <c r="N210" s="371">
        <v>1140900</v>
      </c>
      <c r="O210" s="370"/>
      <c r="P210" s="386">
        <f t="shared" si="76"/>
        <v>0</v>
      </c>
      <c r="Q210" s="371"/>
      <c r="R210" s="371"/>
      <c r="S210" s="371"/>
      <c r="T210" s="371"/>
      <c r="U210" s="371"/>
      <c r="V210" s="371"/>
      <c r="W210" s="371"/>
      <c r="X210" s="371"/>
      <c r="Y210" s="371"/>
      <c r="Z210" s="371"/>
      <c r="AA210" s="371"/>
      <c r="AB210" s="371"/>
      <c r="AC210" s="371"/>
      <c r="AD210" s="371"/>
      <c r="AE210" s="371"/>
      <c r="AF210" s="385">
        <f t="shared" si="77"/>
        <v>0</v>
      </c>
      <c r="AG210" s="371"/>
      <c r="AH210" s="371"/>
      <c r="AI210" s="387">
        <f t="shared" si="78"/>
        <v>0</v>
      </c>
    </row>
    <row r="211" spans="1:35" s="393" customFormat="1" ht="33" customHeight="1">
      <c r="A211" s="427" t="s">
        <v>923</v>
      </c>
      <c r="B211" s="428" t="s">
        <v>476</v>
      </c>
      <c r="C211" s="395" t="s">
        <v>228</v>
      </c>
      <c r="D211" s="396">
        <v>4</v>
      </c>
      <c r="E211" s="385">
        <f t="shared" si="74"/>
        <v>676800</v>
      </c>
      <c r="F211" s="368"/>
      <c r="G211" s="368">
        <v>676800</v>
      </c>
      <c r="H211" s="385">
        <f t="shared" si="75"/>
        <v>676800</v>
      </c>
      <c r="I211" s="371"/>
      <c r="J211" s="371"/>
      <c r="K211" s="371"/>
      <c r="L211" s="371"/>
      <c r="M211" s="371"/>
      <c r="N211" s="371">
        <v>676800</v>
      </c>
      <c r="O211" s="370"/>
      <c r="P211" s="386">
        <f t="shared" si="76"/>
        <v>0</v>
      </c>
      <c r="Q211" s="371"/>
      <c r="R211" s="371"/>
      <c r="S211" s="371"/>
      <c r="T211" s="371"/>
      <c r="U211" s="371"/>
      <c r="V211" s="371"/>
      <c r="W211" s="371"/>
      <c r="X211" s="371"/>
      <c r="Y211" s="371"/>
      <c r="Z211" s="371"/>
      <c r="AA211" s="371"/>
      <c r="AB211" s="371"/>
      <c r="AC211" s="371"/>
      <c r="AD211" s="371"/>
      <c r="AE211" s="371"/>
      <c r="AF211" s="385">
        <f t="shared" si="77"/>
        <v>0</v>
      </c>
      <c r="AG211" s="371"/>
      <c r="AH211" s="371"/>
      <c r="AI211" s="387">
        <f t="shared" si="78"/>
        <v>0</v>
      </c>
    </row>
    <row r="212" spans="1:35" s="393" customFormat="1" ht="33" customHeight="1">
      <c r="A212" s="427" t="s">
        <v>923</v>
      </c>
      <c r="B212" s="428" t="s">
        <v>476</v>
      </c>
      <c r="C212" s="395" t="s">
        <v>935</v>
      </c>
      <c r="D212" s="396">
        <v>4</v>
      </c>
      <c r="E212" s="385">
        <f t="shared" si="74"/>
        <v>87000</v>
      </c>
      <c r="F212" s="368"/>
      <c r="G212" s="368">
        <v>87000</v>
      </c>
      <c r="H212" s="385">
        <f t="shared" si="75"/>
        <v>0</v>
      </c>
      <c r="I212" s="371"/>
      <c r="J212" s="371"/>
      <c r="K212" s="371"/>
      <c r="L212" s="371"/>
      <c r="M212" s="371"/>
      <c r="N212" s="371"/>
      <c r="O212" s="370"/>
      <c r="P212" s="386">
        <f t="shared" si="76"/>
        <v>87000</v>
      </c>
      <c r="Q212" s="371"/>
      <c r="R212" s="371"/>
      <c r="S212" s="371"/>
      <c r="T212" s="371"/>
      <c r="U212" s="371"/>
      <c r="V212" s="371"/>
      <c r="W212" s="371"/>
      <c r="X212" s="371"/>
      <c r="Y212" s="371"/>
      <c r="Z212" s="371"/>
      <c r="AA212" s="371"/>
      <c r="AB212" s="371"/>
      <c r="AC212" s="371"/>
      <c r="AD212" s="371">
        <v>87000</v>
      </c>
      <c r="AE212" s="371"/>
      <c r="AF212" s="385">
        <f t="shared" si="77"/>
        <v>0</v>
      </c>
      <c r="AG212" s="371"/>
      <c r="AH212" s="371"/>
      <c r="AI212" s="387">
        <f t="shared" si="78"/>
        <v>0</v>
      </c>
    </row>
    <row r="213" spans="1:35" s="393" customFormat="1" ht="54" customHeight="1">
      <c r="A213" s="427" t="s">
        <v>923</v>
      </c>
      <c r="B213" s="428" t="s">
        <v>234</v>
      </c>
      <c r="C213" s="395" t="s">
        <v>936</v>
      </c>
      <c r="D213" s="396">
        <v>4</v>
      </c>
      <c r="E213" s="385">
        <f t="shared" si="74"/>
        <v>100000</v>
      </c>
      <c r="F213" s="368"/>
      <c r="G213" s="368">
        <v>100000</v>
      </c>
      <c r="H213" s="385">
        <f t="shared" si="75"/>
        <v>0</v>
      </c>
      <c r="I213" s="371"/>
      <c r="J213" s="371"/>
      <c r="K213" s="371"/>
      <c r="L213" s="371"/>
      <c r="M213" s="371"/>
      <c r="N213" s="371"/>
      <c r="O213" s="370"/>
      <c r="P213" s="386">
        <f t="shared" si="76"/>
        <v>0</v>
      </c>
      <c r="Q213" s="371"/>
      <c r="R213" s="371"/>
      <c r="S213" s="371"/>
      <c r="T213" s="371"/>
      <c r="U213" s="371"/>
      <c r="V213" s="371"/>
      <c r="W213" s="371"/>
      <c r="X213" s="371"/>
      <c r="Y213" s="371"/>
      <c r="Z213" s="371"/>
      <c r="AA213" s="371"/>
      <c r="AB213" s="371"/>
      <c r="AC213" s="371"/>
      <c r="AD213" s="371"/>
      <c r="AE213" s="371"/>
      <c r="AF213" s="385">
        <f t="shared" si="77"/>
        <v>100000</v>
      </c>
      <c r="AG213" s="371">
        <v>100000</v>
      </c>
      <c r="AH213" s="371"/>
      <c r="AI213" s="387">
        <f t="shared" si="78"/>
        <v>0</v>
      </c>
    </row>
    <row r="214" spans="1:35" s="393" customFormat="1" ht="52.5" customHeight="1">
      <c r="A214" s="427" t="s">
        <v>923</v>
      </c>
      <c r="B214" s="428" t="s">
        <v>234</v>
      </c>
      <c r="C214" s="395" t="s">
        <v>937</v>
      </c>
      <c r="D214" s="396">
        <v>4</v>
      </c>
      <c r="E214" s="385">
        <f t="shared" si="74"/>
        <v>419302</v>
      </c>
      <c r="F214" s="368"/>
      <c r="G214" s="368">
        <v>419302</v>
      </c>
      <c r="H214" s="385">
        <f t="shared" si="75"/>
        <v>0</v>
      </c>
      <c r="I214" s="371"/>
      <c r="J214" s="371"/>
      <c r="K214" s="371"/>
      <c r="L214" s="371"/>
      <c r="M214" s="371"/>
      <c r="N214" s="371"/>
      <c r="O214" s="370"/>
      <c r="P214" s="386">
        <f t="shared" si="76"/>
        <v>0</v>
      </c>
      <c r="Q214" s="371"/>
      <c r="R214" s="371"/>
      <c r="S214" s="371"/>
      <c r="T214" s="371"/>
      <c r="U214" s="371"/>
      <c r="V214" s="371"/>
      <c r="W214" s="371"/>
      <c r="X214" s="371"/>
      <c r="Y214" s="371"/>
      <c r="Z214" s="371"/>
      <c r="AA214" s="371"/>
      <c r="AB214" s="371"/>
      <c r="AC214" s="371"/>
      <c r="AD214" s="371"/>
      <c r="AE214" s="371"/>
      <c r="AF214" s="385">
        <f t="shared" si="77"/>
        <v>419302</v>
      </c>
      <c r="AG214" s="371"/>
      <c r="AH214" s="371">
        <v>419302</v>
      </c>
      <c r="AI214" s="387">
        <f t="shared" si="78"/>
        <v>0</v>
      </c>
    </row>
    <row r="215" spans="1:35" s="393" customFormat="1" ht="44.45" customHeight="1">
      <c r="A215" s="427" t="s">
        <v>923</v>
      </c>
      <c r="B215" s="428" t="s">
        <v>234</v>
      </c>
      <c r="C215" s="395" t="s">
        <v>505</v>
      </c>
      <c r="D215" s="396">
        <v>4</v>
      </c>
      <c r="E215" s="385">
        <f t="shared" si="74"/>
        <v>2261</v>
      </c>
      <c r="F215" s="368">
        <v>2261</v>
      </c>
      <c r="G215" s="368"/>
      <c r="H215" s="385">
        <f t="shared" si="75"/>
        <v>0</v>
      </c>
      <c r="I215" s="371"/>
      <c r="J215" s="371"/>
      <c r="K215" s="371"/>
      <c r="L215" s="371"/>
      <c r="M215" s="371"/>
      <c r="N215" s="371"/>
      <c r="O215" s="370"/>
      <c r="P215" s="386">
        <f t="shared" si="76"/>
        <v>0</v>
      </c>
      <c r="Q215" s="371"/>
      <c r="R215" s="371"/>
      <c r="S215" s="371"/>
      <c r="T215" s="371"/>
      <c r="U215" s="371"/>
      <c r="V215" s="371"/>
      <c r="W215" s="371"/>
      <c r="X215" s="371"/>
      <c r="Y215" s="371"/>
      <c r="Z215" s="371"/>
      <c r="AA215" s="371"/>
      <c r="AB215" s="371"/>
      <c r="AC215" s="371"/>
      <c r="AD215" s="371"/>
      <c r="AE215" s="371"/>
      <c r="AF215" s="385">
        <f t="shared" si="77"/>
        <v>2261</v>
      </c>
      <c r="AG215" s="371"/>
      <c r="AH215" s="371">
        <v>2261</v>
      </c>
      <c r="AI215" s="387">
        <f t="shared" si="78"/>
        <v>0</v>
      </c>
    </row>
    <row r="216" spans="1:35" s="410" customFormat="1" ht="22.5" customHeight="1">
      <c r="A216" s="405" t="s">
        <v>1104</v>
      </c>
      <c r="B216" s="406"/>
      <c r="C216" s="407"/>
      <c r="D216" s="408"/>
      <c r="E216" s="409">
        <f t="shared" ref="E216:AH216" si="79">SUM(E217:E218)</f>
        <v>6059440</v>
      </c>
      <c r="F216" s="409">
        <f t="shared" si="79"/>
        <v>1470300</v>
      </c>
      <c r="G216" s="409">
        <f t="shared" si="79"/>
        <v>4589140</v>
      </c>
      <c r="H216" s="409">
        <f t="shared" si="79"/>
        <v>1961096</v>
      </c>
      <c r="I216" s="409">
        <f t="shared" si="79"/>
        <v>260183</v>
      </c>
      <c r="J216" s="409">
        <f t="shared" si="79"/>
        <v>260183</v>
      </c>
      <c r="K216" s="409">
        <f t="shared" si="79"/>
        <v>260183</v>
      </c>
      <c r="L216" s="409">
        <f t="shared" si="79"/>
        <v>260183</v>
      </c>
      <c r="M216" s="409">
        <f t="shared" si="79"/>
        <v>260182</v>
      </c>
      <c r="N216" s="409">
        <f t="shared" si="79"/>
        <v>640182</v>
      </c>
      <c r="O216" s="409">
        <f t="shared" si="79"/>
        <v>20000</v>
      </c>
      <c r="P216" s="409">
        <f t="shared" si="79"/>
        <v>4002520</v>
      </c>
      <c r="Q216" s="409">
        <f t="shared" si="79"/>
        <v>294191</v>
      </c>
      <c r="R216" s="409">
        <f t="shared" si="79"/>
        <v>284191</v>
      </c>
      <c r="S216" s="409">
        <f t="shared" si="79"/>
        <v>317191</v>
      </c>
      <c r="T216" s="409">
        <f t="shared" si="79"/>
        <v>593191</v>
      </c>
      <c r="U216" s="409">
        <f t="shared" si="79"/>
        <v>236191</v>
      </c>
      <c r="V216" s="409">
        <f t="shared" si="79"/>
        <v>294191</v>
      </c>
      <c r="W216" s="409">
        <f t="shared" si="79"/>
        <v>344191</v>
      </c>
      <c r="X216" s="409">
        <f t="shared" si="79"/>
        <v>369191</v>
      </c>
      <c r="Y216" s="409">
        <f t="shared" si="79"/>
        <v>99192</v>
      </c>
      <c r="Z216" s="409">
        <f t="shared" si="79"/>
        <v>644192</v>
      </c>
      <c r="AA216" s="409">
        <f t="shared" si="79"/>
        <v>94192</v>
      </c>
      <c r="AB216" s="409">
        <f t="shared" si="79"/>
        <v>44192</v>
      </c>
      <c r="AC216" s="409">
        <f t="shared" si="79"/>
        <v>44192</v>
      </c>
      <c r="AD216" s="409">
        <f t="shared" si="79"/>
        <v>44192</v>
      </c>
      <c r="AE216" s="409">
        <f t="shared" si="79"/>
        <v>299840</v>
      </c>
      <c r="AF216" s="409">
        <f t="shared" si="79"/>
        <v>95824</v>
      </c>
      <c r="AG216" s="409">
        <f t="shared" si="79"/>
        <v>47912</v>
      </c>
      <c r="AH216" s="409">
        <f t="shared" si="79"/>
        <v>47912</v>
      </c>
      <c r="AI216" s="387">
        <f t="shared" si="78"/>
        <v>0</v>
      </c>
    </row>
    <row r="217" spans="1:35" s="393" customFormat="1" ht="36.6" customHeight="1">
      <c r="A217" s="427" t="s">
        <v>923</v>
      </c>
      <c r="B217" s="428" t="s">
        <v>79</v>
      </c>
      <c r="C217" s="395" t="s">
        <v>938</v>
      </c>
      <c r="D217" s="396">
        <v>4</v>
      </c>
      <c r="E217" s="385">
        <f>SUM(H217,P217,AF217)</f>
        <v>2395600</v>
      </c>
      <c r="F217" s="368">
        <v>1470300</v>
      </c>
      <c r="G217" s="368">
        <v>925300</v>
      </c>
      <c r="H217" s="385">
        <f>SUM(I217:O217)</f>
        <v>1581096</v>
      </c>
      <c r="I217" s="371">
        <v>260183</v>
      </c>
      <c r="J217" s="371">
        <v>260183</v>
      </c>
      <c r="K217" s="371">
        <v>260183</v>
      </c>
      <c r="L217" s="371">
        <v>260183</v>
      </c>
      <c r="M217" s="371">
        <v>260182</v>
      </c>
      <c r="N217" s="371">
        <v>260182</v>
      </c>
      <c r="O217" s="370">
        <v>20000</v>
      </c>
      <c r="P217" s="386">
        <f>SUM(Q217:AE217)</f>
        <v>718680</v>
      </c>
      <c r="Q217" s="371">
        <v>44191</v>
      </c>
      <c r="R217" s="371">
        <v>44191</v>
      </c>
      <c r="S217" s="371">
        <v>44191</v>
      </c>
      <c r="T217" s="371">
        <v>44191</v>
      </c>
      <c r="U217" s="371">
        <v>44191</v>
      </c>
      <c r="V217" s="371">
        <v>44191</v>
      </c>
      <c r="W217" s="371">
        <v>44191</v>
      </c>
      <c r="X217" s="371">
        <v>44191</v>
      </c>
      <c r="Y217" s="371">
        <v>44192</v>
      </c>
      <c r="Z217" s="371">
        <v>44192</v>
      </c>
      <c r="AA217" s="371">
        <v>44192</v>
      </c>
      <c r="AB217" s="371">
        <v>44192</v>
      </c>
      <c r="AC217" s="371">
        <v>44192</v>
      </c>
      <c r="AD217" s="371">
        <v>44192</v>
      </c>
      <c r="AE217" s="371">
        <v>100000</v>
      </c>
      <c r="AF217" s="385">
        <f>SUM(AG217:AH217)</f>
        <v>95824</v>
      </c>
      <c r="AG217" s="371">
        <v>47912</v>
      </c>
      <c r="AH217" s="371">
        <v>47912</v>
      </c>
      <c r="AI217" s="387">
        <f t="shared" si="78"/>
        <v>0</v>
      </c>
    </row>
    <row r="218" spans="1:35" s="393" customFormat="1" ht="41.45" customHeight="1">
      <c r="A218" s="427" t="s">
        <v>923</v>
      </c>
      <c r="B218" s="428" t="s">
        <v>79</v>
      </c>
      <c r="C218" s="395" t="s">
        <v>616</v>
      </c>
      <c r="D218" s="396">
        <v>4</v>
      </c>
      <c r="E218" s="385">
        <f>SUM(H218,P218,AF218)</f>
        <v>3663840</v>
      </c>
      <c r="F218" s="368"/>
      <c r="G218" s="368">
        <v>3663840</v>
      </c>
      <c r="H218" s="385">
        <f>SUM(I218:O218)</f>
        <v>380000</v>
      </c>
      <c r="I218" s="371"/>
      <c r="J218" s="371"/>
      <c r="K218" s="371"/>
      <c r="L218" s="371"/>
      <c r="M218" s="371"/>
      <c r="N218" s="371">
        <v>380000</v>
      </c>
      <c r="O218" s="370"/>
      <c r="P218" s="386">
        <f>SUM(Q218:AE218)</f>
        <v>3283840</v>
      </c>
      <c r="Q218" s="371">
        <v>250000</v>
      </c>
      <c r="R218" s="371">
        <v>240000</v>
      </c>
      <c r="S218" s="371">
        <v>273000</v>
      </c>
      <c r="T218" s="371">
        <v>549000</v>
      </c>
      <c r="U218" s="371">
        <v>192000</v>
      </c>
      <c r="V218" s="371">
        <v>250000</v>
      </c>
      <c r="W218" s="371">
        <v>300000</v>
      </c>
      <c r="X218" s="371">
        <v>325000</v>
      </c>
      <c r="Y218" s="371">
        <v>55000</v>
      </c>
      <c r="Z218" s="371">
        <v>600000</v>
      </c>
      <c r="AA218" s="371">
        <v>50000</v>
      </c>
      <c r="AB218" s="371"/>
      <c r="AC218" s="371"/>
      <c r="AD218" s="371"/>
      <c r="AE218" s="371">
        <v>199840</v>
      </c>
      <c r="AF218" s="385">
        <f>SUM(AG218:AH218)</f>
        <v>0</v>
      </c>
      <c r="AG218" s="371"/>
      <c r="AH218" s="371"/>
      <c r="AI218" s="387">
        <f t="shared" si="78"/>
        <v>0</v>
      </c>
    </row>
    <row r="219" spans="1:35" s="404" customFormat="1" ht="24" customHeight="1">
      <c r="A219" s="398" t="s">
        <v>940</v>
      </c>
      <c r="B219" s="399"/>
      <c r="C219" s="400"/>
      <c r="D219" s="401"/>
      <c r="E219" s="402">
        <f t="shared" ref="E219:AH219" si="80">SUM(E220:E222)</f>
        <v>1562807</v>
      </c>
      <c r="F219" s="402">
        <f t="shared" si="80"/>
        <v>1562807</v>
      </c>
      <c r="G219" s="402">
        <f t="shared" si="80"/>
        <v>0</v>
      </c>
      <c r="H219" s="402">
        <f t="shared" si="80"/>
        <v>1560827</v>
      </c>
      <c r="I219" s="402">
        <f t="shared" si="80"/>
        <v>99</v>
      </c>
      <c r="J219" s="402">
        <f t="shared" si="80"/>
        <v>589224</v>
      </c>
      <c r="K219" s="402">
        <f t="shared" si="80"/>
        <v>90</v>
      </c>
      <c r="L219" s="402">
        <f t="shared" si="80"/>
        <v>173</v>
      </c>
      <c r="M219" s="402">
        <f t="shared" si="80"/>
        <v>282</v>
      </c>
      <c r="N219" s="402">
        <f t="shared" si="80"/>
        <v>970959</v>
      </c>
      <c r="O219" s="402">
        <f t="shared" si="80"/>
        <v>0</v>
      </c>
      <c r="P219" s="402">
        <f t="shared" si="80"/>
        <v>1980</v>
      </c>
      <c r="Q219" s="402">
        <f t="shared" si="80"/>
        <v>116</v>
      </c>
      <c r="R219" s="402">
        <f t="shared" si="80"/>
        <v>0</v>
      </c>
      <c r="S219" s="402">
        <f t="shared" si="80"/>
        <v>30</v>
      </c>
      <c r="T219" s="402">
        <f t="shared" si="80"/>
        <v>72</v>
      </c>
      <c r="U219" s="402">
        <f t="shared" si="80"/>
        <v>34</v>
      </c>
      <c r="V219" s="402">
        <f t="shared" si="80"/>
        <v>70</v>
      </c>
      <c r="W219" s="402">
        <f t="shared" si="80"/>
        <v>77</v>
      </c>
      <c r="X219" s="402">
        <f t="shared" si="80"/>
        <v>490</v>
      </c>
      <c r="Y219" s="402">
        <f t="shared" si="80"/>
        <v>114</v>
      </c>
      <c r="Z219" s="402">
        <f t="shared" si="80"/>
        <v>0</v>
      </c>
      <c r="AA219" s="402">
        <f t="shared" si="80"/>
        <v>410</v>
      </c>
      <c r="AB219" s="402">
        <f t="shared" si="80"/>
        <v>175</v>
      </c>
      <c r="AC219" s="402">
        <f t="shared" si="80"/>
        <v>211</v>
      </c>
      <c r="AD219" s="402">
        <f t="shared" si="80"/>
        <v>181</v>
      </c>
      <c r="AE219" s="402">
        <f t="shared" si="80"/>
        <v>0</v>
      </c>
      <c r="AF219" s="402">
        <f t="shared" si="80"/>
        <v>0</v>
      </c>
      <c r="AG219" s="402">
        <f t="shared" si="80"/>
        <v>0</v>
      </c>
      <c r="AH219" s="402">
        <f t="shared" si="80"/>
        <v>0</v>
      </c>
      <c r="AI219" s="387">
        <f t="shared" si="78"/>
        <v>0</v>
      </c>
    </row>
    <row r="220" spans="1:35" s="393" customFormat="1" ht="36" customHeight="1">
      <c r="A220" s="397" t="s">
        <v>498</v>
      </c>
      <c r="B220" s="394" t="s">
        <v>1105</v>
      </c>
      <c r="C220" s="395" t="s">
        <v>482</v>
      </c>
      <c r="D220" s="396">
        <v>5</v>
      </c>
      <c r="E220" s="385">
        <f>SUM(H220,P220,AF220)</f>
        <v>1559507</v>
      </c>
      <c r="F220" s="368">
        <v>1559507</v>
      </c>
      <c r="G220" s="368">
        <v>0</v>
      </c>
      <c r="H220" s="385">
        <f>SUM(I220:O220)</f>
        <v>1559507</v>
      </c>
      <c r="I220" s="371">
        <v>0</v>
      </c>
      <c r="J220" s="371">
        <v>588984</v>
      </c>
      <c r="K220" s="371">
        <v>0</v>
      </c>
      <c r="L220" s="371">
        <v>0</v>
      </c>
      <c r="M220" s="371">
        <v>0</v>
      </c>
      <c r="N220" s="371">
        <v>970523</v>
      </c>
      <c r="O220" s="370">
        <v>0</v>
      </c>
      <c r="P220" s="386">
        <f>SUM(Q220:AE220)</f>
        <v>0</v>
      </c>
      <c r="Q220" s="371">
        <v>0</v>
      </c>
      <c r="R220" s="371">
        <v>0</v>
      </c>
      <c r="S220" s="371">
        <v>0</v>
      </c>
      <c r="T220" s="371">
        <v>0</v>
      </c>
      <c r="U220" s="371">
        <v>0</v>
      </c>
      <c r="V220" s="371">
        <v>0</v>
      </c>
      <c r="W220" s="371">
        <v>0</v>
      </c>
      <c r="X220" s="371">
        <v>0</v>
      </c>
      <c r="Y220" s="371">
        <v>0</v>
      </c>
      <c r="Z220" s="371">
        <v>0</v>
      </c>
      <c r="AA220" s="371">
        <v>0</v>
      </c>
      <c r="AB220" s="371">
        <v>0</v>
      </c>
      <c r="AC220" s="371">
        <v>0</v>
      </c>
      <c r="AD220" s="371">
        <v>0</v>
      </c>
      <c r="AE220" s="371">
        <v>0</v>
      </c>
      <c r="AF220" s="385">
        <f>SUM(AG220:AH220)</f>
        <v>0</v>
      </c>
      <c r="AG220" s="371">
        <v>0</v>
      </c>
      <c r="AH220" s="371">
        <v>0</v>
      </c>
      <c r="AI220" s="387">
        <f t="shared" si="78"/>
        <v>0</v>
      </c>
    </row>
    <row r="221" spans="1:35" s="393" customFormat="1" ht="48.6" customHeight="1">
      <c r="A221" s="397" t="s">
        <v>498</v>
      </c>
      <c r="B221" s="394" t="s">
        <v>1105</v>
      </c>
      <c r="C221" s="395" t="s">
        <v>683</v>
      </c>
      <c r="D221" s="396">
        <v>5</v>
      </c>
      <c r="E221" s="385">
        <f>SUM(H221,P221,AF221)</f>
        <v>2000</v>
      </c>
      <c r="F221" s="368">
        <v>2000</v>
      </c>
      <c r="G221" s="368">
        <v>0</v>
      </c>
      <c r="H221" s="385">
        <f>SUM(I221:O221)</f>
        <v>700</v>
      </c>
      <c r="I221" s="371">
        <v>0</v>
      </c>
      <c r="J221" s="371">
        <v>80</v>
      </c>
      <c r="K221" s="371">
        <v>60</v>
      </c>
      <c r="L221" s="371">
        <v>80</v>
      </c>
      <c r="M221" s="371">
        <v>180</v>
      </c>
      <c r="N221" s="371">
        <v>300</v>
      </c>
      <c r="O221" s="370">
        <v>0</v>
      </c>
      <c r="P221" s="386">
        <f>SUM(Q221:AE221)</f>
        <v>1300</v>
      </c>
      <c r="Q221" s="371">
        <v>80</v>
      </c>
      <c r="R221" s="371">
        <v>0</v>
      </c>
      <c r="S221" s="371">
        <v>0</v>
      </c>
      <c r="T221" s="371">
        <v>0</v>
      </c>
      <c r="U221" s="371">
        <v>0</v>
      </c>
      <c r="V221" s="371">
        <v>0</v>
      </c>
      <c r="W221" s="371">
        <v>0</v>
      </c>
      <c r="X221" s="371">
        <v>400</v>
      </c>
      <c r="Y221" s="371">
        <v>90</v>
      </c>
      <c r="Z221" s="371">
        <v>0</v>
      </c>
      <c r="AA221" s="371">
        <v>290</v>
      </c>
      <c r="AB221" s="371">
        <v>120</v>
      </c>
      <c r="AC221" s="371">
        <v>160</v>
      </c>
      <c r="AD221" s="371">
        <v>160</v>
      </c>
      <c r="AE221" s="371">
        <v>0</v>
      </c>
      <c r="AF221" s="385">
        <f>SUM(AG221:AH221)</f>
        <v>0</v>
      </c>
      <c r="AG221" s="371">
        <v>0</v>
      </c>
      <c r="AH221" s="371">
        <v>0</v>
      </c>
      <c r="AI221" s="387">
        <f t="shared" si="78"/>
        <v>0</v>
      </c>
    </row>
    <row r="222" spans="1:35" s="393" customFormat="1" ht="29.45" customHeight="1">
      <c r="A222" s="397" t="s">
        <v>498</v>
      </c>
      <c r="B222" s="394" t="s">
        <v>1105</v>
      </c>
      <c r="C222" s="395" t="s">
        <v>682</v>
      </c>
      <c r="D222" s="396">
        <v>5</v>
      </c>
      <c r="E222" s="385">
        <f>SUM(H222,P222,AF222)</f>
        <v>1300</v>
      </c>
      <c r="F222" s="368">
        <v>1300</v>
      </c>
      <c r="G222" s="368">
        <v>0</v>
      </c>
      <c r="H222" s="385">
        <f>SUM(I222:O222)</f>
        <v>620</v>
      </c>
      <c r="I222" s="371">
        <v>99</v>
      </c>
      <c r="J222" s="371">
        <v>160</v>
      </c>
      <c r="K222" s="371">
        <v>30</v>
      </c>
      <c r="L222" s="371">
        <v>93</v>
      </c>
      <c r="M222" s="371">
        <v>102</v>
      </c>
      <c r="N222" s="371">
        <v>136</v>
      </c>
      <c r="O222" s="370">
        <v>0</v>
      </c>
      <c r="P222" s="386">
        <f>SUM(Q222:AE222)</f>
        <v>680</v>
      </c>
      <c r="Q222" s="371">
        <v>36</v>
      </c>
      <c r="R222" s="371">
        <v>0</v>
      </c>
      <c r="S222" s="371">
        <v>30</v>
      </c>
      <c r="T222" s="371">
        <v>72</v>
      </c>
      <c r="U222" s="371">
        <v>34</v>
      </c>
      <c r="V222" s="371">
        <v>70</v>
      </c>
      <c r="W222" s="371">
        <v>77</v>
      </c>
      <c r="X222" s="371">
        <v>90</v>
      </c>
      <c r="Y222" s="371">
        <v>24</v>
      </c>
      <c r="Z222" s="371">
        <v>0</v>
      </c>
      <c r="AA222" s="371">
        <v>120</v>
      </c>
      <c r="AB222" s="371">
        <v>55</v>
      </c>
      <c r="AC222" s="371">
        <v>51</v>
      </c>
      <c r="AD222" s="371">
        <v>21</v>
      </c>
      <c r="AE222" s="371">
        <v>0</v>
      </c>
      <c r="AF222" s="385">
        <f>SUM(AG222:AH222)</f>
        <v>0</v>
      </c>
      <c r="AG222" s="371">
        <v>0</v>
      </c>
      <c r="AH222" s="371">
        <v>0</v>
      </c>
      <c r="AI222" s="387">
        <f t="shared" si="78"/>
        <v>0</v>
      </c>
    </row>
    <row r="223" spans="1:35" s="404" customFormat="1" ht="24" customHeight="1">
      <c r="A223" s="398" t="s">
        <v>941</v>
      </c>
      <c r="B223" s="399"/>
      <c r="C223" s="400"/>
      <c r="D223" s="401"/>
      <c r="E223" s="402">
        <f t="shared" ref="E223:AH223" si="81">E224+E246+E259+E265+E282+E297</f>
        <v>3357535</v>
      </c>
      <c r="F223" s="402">
        <f t="shared" si="81"/>
        <v>854715</v>
      </c>
      <c r="G223" s="402">
        <f t="shared" si="81"/>
        <v>2502820</v>
      </c>
      <c r="H223" s="402">
        <f t="shared" si="81"/>
        <v>1187469</v>
      </c>
      <c r="I223" s="402">
        <f t="shared" si="81"/>
        <v>34598</v>
      </c>
      <c r="J223" s="402">
        <f t="shared" si="81"/>
        <v>20105</v>
      </c>
      <c r="K223" s="402">
        <f t="shared" si="81"/>
        <v>70108</v>
      </c>
      <c r="L223" s="402">
        <f t="shared" si="81"/>
        <v>309958</v>
      </c>
      <c r="M223" s="402">
        <f t="shared" si="81"/>
        <v>367693</v>
      </c>
      <c r="N223" s="402">
        <f t="shared" si="81"/>
        <v>101969</v>
      </c>
      <c r="O223" s="402">
        <f t="shared" si="81"/>
        <v>283038</v>
      </c>
      <c r="P223" s="402">
        <f t="shared" si="81"/>
        <v>2086768</v>
      </c>
      <c r="Q223" s="402">
        <f t="shared" si="81"/>
        <v>46769</v>
      </c>
      <c r="R223" s="402">
        <f t="shared" si="81"/>
        <v>25086</v>
      </c>
      <c r="S223" s="402">
        <f t="shared" si="81"/>
        <v>42949</v>
      </c>
      <c r="T223" s="402">
        <f t="shared" si="81"/>
        <v>275122</v>
      </c>
      <c r="U223" s="402">
        <f t="shared" si="81"/>
        <v>30712</v>
      </c>
      <c r="V223" s="402">
        <f t="shared" si="81"/>
        <v>119150</v>
      </c>
      <c r="W223" s="402">
        <f t="shared" si="81"/>
        <v>89300</v>
      </c>
      <c r="X223" s="402">
        <f t="shared" si="81"/>
        <v>103818</v>
      </c>
      <c r="Y223" s="402">
        <f t="shared" si="81"/>
        <v>53252</v>
      </c>
      <c r="Z223" s="402">
        <f t="shared" si="81"/>
        <v>67528</v>
      </c>
      <c r="AA223" s="402">
        <f t="shared" si="81"/>
        <v>41284</v>
      </c>
      <c r="AB223" s="402">
        <f t="shared" si="81"/>
        <v>25688</v>
      </c>
      <c r="AC223" s="402">
        <f t="shared" si="81"/>
        <v>90981</v>
      </c>
      <c r="AD223" s="402">
        <f t="shared" si="81"/>
        <v>22833</v>
      </c>
      <c r="AE223" s="402">
        <f t="shared" si="81"/>
        <v>1052296</v>
      </c>
      <c r="AF223" s="402">
        <f t="shared" si="81"/>
        <v>83298</v>
      </c>
      <c r="AG223" s="402">
        <f t="shared" si="81"/>
        <v>57396</v>
      </c>
      <c r="AH223" s="402">
        <f t="shared" si="81"/>
        <v>25902</v>
      </c>
      <c r="AI223" s="387">
        <f t="shared" si="78"/>
        <v>0</v>
      </c>
    </row>
    <row r="224" spans="1:35" s="410" customFormat="1" ht="22.5" customHeight="1">
      <c r="A224" s="405" t="s">
        <v>1106</v>
      </c>
      <c r="B224" s="406"/>
      <c r="C224" s="407"/>
      <c r="D224" s="408"/>
      <c r="E224" s="409">
        <f t="shared" ref="E224:AH224" si="82">SUM(E225:E245)</f>
        <v>1785950</v>
      </c>
      <c r="F224" s="409">
        <f t="shared" si="82"/>
        <v>192874</v>
      </c>
      <c r="G224" s="409">
        <f t="shared" si="82"/>
        <v>1593076</v>
      </c>
      <c r="H224" s="409">
        <f t="shared" si="82"/>
        <v>481816</v>
      </c>
      <c r="I224" s="409">
        <f t="shared" si="82"/>
        <v>5680</v>
      </c>
      <c r="J224" s="409">
        <f t="shared" si="82"/>
        <v>105</v>
      </c>
      <c r="K224" s="409">
        <f t="shared" si="82"/>
        <v>43546</v>
      </c>
      <c r="L224" s="409">
        <f t="shared" si="82"/>
        <v>54528</v>
      </c>
      <c r="M224" s="409">
        <f t="shared" si="82"/>
        <v>117910</v>
      </c>
      <c r="N224" s="409">
        <f t="shared" si="82"/>
        <v>13996</v>
      </c>
      <c r="O224" s="409">
        <f t="shared" si="82"/>
        <v>246051</v>
      </c>
      <c r="P224" s="409">
        <f t="shared" si="82"/>
        <v>1272773</v>
      </c>
      <c r="Q224" s="409">
        <f t="shared" si="82"/>
        <v>13244</v>
      </c>
      <c r="R224" s="409">
        <f t="shared" si="82"/>
        <v>4410</v>
      </c>
      <c r="S224" s="409">
        <f t="shared" si="82"/>
        <v>11513</v>
      </c>
      <c r="T224" s="409">
        <f t="shared" si="82"/>
        <v>15150</v>
      </c>
      <c r="U224" s="409">
        <f t="shared" si="82"/>
        <v>10522</v>
      </c>
      <c r="V224" s="409">
        <f t="shared" si="82"/>
        <v>67455</v>
      </c>
      <c r="W224" s="409">
        <f t="shared" si="82"/>
        <v>44557</v>
      </c>
      <c r="X224" s="409">
        <f t="shared" si="82"/>
        <v>13086</v>
      </c>
      <c r="Y224" s="409">
        <f t="shared" si="82"/>
        <v>9457</v>
      </c>
      <c r="Z224" s="409">
        <f t="shared" si="82"/>
        <v>28754</v>
      </c>
      <c r="AA224" s="409">
        <f t="shared" si="82"/>
        <v>10219</v>
      </c>
      <c r="AB224" s="409">
        <f t="shared" si="82"/>
        <v>9989</v>
      </c>
      <c r="AC224" s="409">
        <f t="shared" si="82"/>
        <v>75488</v>
      </c>
      <c r="AD224" s="409">
        <f t="shared" si="82"/>
        <v>16665</v>
      </c>
      <c r="AE224" s="409">
        <f t="shared" si="82"/>
        <v>942264</v>
      </c>
      <c r="AF224" s="409">
        <f t="shared" si="82"/>
        <v>31361</v>
      </c>
      <c r="AG224" s="409">
        <f t="shared" si="82"/>
        <v>28879</v>
      </c>
      <c r="AH224" s="409">
        <f t="shared" si="82"/>
        <v>2482</v>
      </c>
      <c r="AI224" s="387">
        <f t="shared" si="78"/>
        <v>0</v>
      </c>
    </row>
    <row r="225" spans="1:35" s="393" customFormat="1" ht="47.45" customHeight="1">
      <c r="A225" s="397" t="s">
        <v>178</v>
      </c>
      <c r="B225" s="394" t="s">
        <v>179</v>
      </c>
      <c r="C225" s="395" t="s">
        <v>822</v>
      </c>
      <c r="D225" s="396">
        <v>4</v>
      </c>
      <c r="E225" s="385">
        <f t="shared" ref="E225:E245" si="83">SUM(H225,P225,AF225)</f>
        <v>5660</v>
      </c>
      <c r="F225" s="368">
        <v>5660</v>
      </c>
      <c r="G225" s="368"/>
      <c r="H225" s="385">
        <f t="shared" ref="H225:H245" si="84">SUM(I225:O225)</f>
        <v>1400</v>
      </c>
      <c r="I225" s="371">
        <v>0</v>
      </c>
      <c r="J225" s="371">
        <v>0</v>
      </c>
      <c r="K225" s="371">
        <v>300</v>
      </c>
      <c r="L225" s="371">
        <v>300</v>
      </c>
      <c r="M225" s="371">
        <v>500</v>
      </c>
      <c r="N225" s="371">
        <v>300</v>
      </c>
      <c r="O225" s="370"/>
      <c r="P225" s="386">
        <f t="shared" ref="P225:P245" si="85">SUM(Q225:AE225)</f>
        <v>4140</v>
      </c>
      <c r="Q225" s="371">
        <v>300</v>
      </c>
      <c r="R225" s="371">
        <v>300</v>
      </c>
      <c r="S225" s="371">
        <v>300</v>
      </c>
      <c r="T225" s="371">
        <v>600</v>
      </c>
      <c r="U225" s="371">
        <v>300</v>
      </c>
      <c r="V225" s="371">
        <v>300</v>
      </c>
      <c r="W225" s="371">
        <v>600</v>
      </c>
      <c r="X225" s="371">
        <v>600</v>
      </c>
      <c r="Y225" s="371">
        <v>300</v>
      </c>
      <c r="Z225" s="371">
        <v>300</v>
      </c>
      <c r="AA225" s="371">
        <v>120</v>
      </c>
      <c r="AB225" s="371">
        <v>40</v>
      </c>
      <c r="AC225" s="371">
        <v>40</v>
      </c>
      <c r="AD225" s="371">
        <v>40</v>
      </c>
      <c r="AE225" s="371"/>
      <c r="AF225" s="385">
        <f t="shared" ref="AF225:AF245" si="86">SUM(AG225:AH225)</f>
        <v>120</v>
      </c>
      <c r="AG225" s="371">
        <v>120</v>
      </c>
      <c r="AH225" s="371">
        <v>0</v>
      </c>
      <c r="AI225" s="387">
        <f t="shared" si="78"/>
        <v>0</v>
      </c>
    </row>
    <row r="226" spans="1:35" s="393" customFormat="1" ht="36.950000000000003" customHeight="1">
      <c r="A226" s="397" t="s">
        <v>178</v>
      </c>
      <c r="B226" s="394" t="s">
        <v>179</v>
      </c>
      <c r="C226" s="395" t="s">
        <v>393</v>
      </c>
      <c r="D226" s="396">
        <v>4</v>
      </c>
      <c r="E226" s="385">
        <f t="shared" si="83"/>
        <v>1000</v>
      </c>
      <c r="F226" s="368">
        <v>1000</v>
      </c>
      <c r="G226" s="368"/>
      <c r="H226" s="385">
        <f t="shared" si="84"/>
        <v>345</v>
      </c>
      <c r="I226" s="371">
        <v>20</v>
      </c>
      <c r="J226" s="371">
        <v>5</v>
      </c>
      <c r="K226" s="371">
        <v>50</v>
      </c>
      <c r="L226" s="371">
        <v>90</v>
      </c>
      <c r="M226" s="371">
        <v>100</v>
      </c>
      <c r="N226" s="371">
        <v>80</v>
      </c>
      <c r="O226" s="370"/>
      <c r="P226" s="386">
        <f t="shared" si="85"/>
        <v>650</v>
      </c>
      <c r="Q226" s="371">
        <v>30</v>
      </c>
      <c r="R226" s="371">
        <v>35</v>
      </c>
      <c r="S226" s="371">
        <v>55</v>
      </c>
      <c r="T226" s="371">
        <v>120</v>
      </c>
      <c r="U226" s="371">
        <v>85</v>
      </c>
      <c r="V226" s="371">
        <v>70</v>
      </c>
      <c r="W226" s="371">
        <v>80</v>
      </c>
      <c r="X226" s="371">
        <v>100</v>
      </c>
      <c r="Y226" s="371">
        <v>30</v>
      </c>
      <c r="Z226" s="371">
        <v>30</v>
      </c>
      <c r="AA226" s="371">
        <v>3</v>
      </c>
      <c r="AB226" s="371">
        <v>2</v>
      </c>
      <c r="AC226" s="371">
        <v>4</v>
      </c>
      <c r="AD226" s="371">
        <v>6</v>
      </c>
      <c r="AE226" s="371"/>
      <c r="AF226" s="385">
        <f t="shared" si="86"/>
        <v>5</v>
      </c>
      <c r="AG226" s="371">
        <v>3</v>
      </c>
      <c r="AH226" s="371">
        <v>2</v>
      </c>
      <c r="AI226" s="387">
        <f t="shared" si="78"/>
        <v>0</v>
      </c>
    </row>
    <row r="227" spans="1:35" s="393" customFormat="1" ht="36.950000000000003" customHeight="1">
      <c r="A227" s="397" t="s">
        <v>178</v>
      </c>
      <c r="B227" s="394" t="s">
        <v>179</v>
      </c>
      <c r="C227" s="395" t="s">
        <v>394</v>
      </c>
      <c r="D227" s="396">
        <v>4</v>
      </c>
      <c r="E227" s="385">
        <f t="shared" si="83"/>
        <v>704435</v>
      </c>
      <c r="F227" s="368">
        <v>35965</v>
      </c>
      <c r="G227" s="368">
        <v>668470</v>
      </c>
      <c r="H227" s="385">
        <f t="shared" si="84"/>
        <v>143330</v>
      </c>
      <c r="I227" s="371"/>
      <c r="J227" s="371">
        <v>0</v>
      </c>
      <c r="K227" s="371"/>
      <c r="L227" s="371"/>
      <c r="M227" s="371">
        <v>58279</v>
      </c>
      <c r="N227" s="371"/>
      <c r="O227" s="370">
        <v>85051</v>
      </c>
      <c r="P227" s="386">
        <f t="shared" si="85"/>
        <v>561105</v>
      </c>
      <c r="Q227" s="371"/>
      <c r="R227" s="371"/>
      <c r="S227" s="371"/>
      <c r="T227" s="371">
        <v>3334</v>
      </c>
      <c r="U227" s="371"/>
      <c r="V227" s="371">
        <v>56366</v>
      </c>
      <c r="W227" s="371">
        <v>28301</v>
      </c>
      <c r="X227" s="371"/>
      <c r="Y227" s="371"/>
      <c r="Z227" s="371"/>
      <c r="AA227" s="371"/>
      <c r="AB227" s="371"/>
      <c r="AC227" s="371"/>
      <c r="AD227" s="371"/>
      <c r="AE227" s="371">
        <v>473104</v>
      </c>
      <c r="AF227" s="385">
        <f t="shared" si="86"/>
        <v>0</v>
      </c>
      <c r="AG227" s="371"/>
      <c r="AH227" s="371"/>
      <c r="AI227" s="387">
        <f t="shared" si="78"/>
        <v>0</v>
      </c>
    </row>
    <row r="228" spans="1:35" s="393" customFormat="1" ht="24" customHeight="1">
      <c r="A228" s="397" t="s">
        <v>178</v>
      </c>
      <c r="B228" s="394" t="s">
        <v>179</v>
      </c>
      <c r="C228" s="395" t="s">
        <v>960</v>
      </c>
      <c r="D228" s="396">
        <v>4</v>
      </c>
      <c r="E228" s="385">
        <f t="shared" si="83"/>
        <v>600000</v>
      </c>
      <c r="F228" s="368">
        <v>0</v>
      </c>
      <c r="G228" s="368">
        <v>600000</v>
      </c>
      <c r="H228" s="385">
        <f t="shared" si="84"/>
        <v>150000</v>
      </c>
      <c r="I228" s="371"/>
      <c r="J228" s="371">
        <v>0</v>
      </c>
      <c r="K228" s="371"/>
      <c r="L228" s="371"/>
      <c r="M228" s="371"/>
      <c r="N228" s="371"/>
      <c r="O228" s="370">
        <v>150000</v>
      </c>
      <c r="P228" s="386">
        <f t="shared" si="85"/>
        <v>450000</v>
      </c>
      <c r="Q228" s="371"/>
      <c r="R228" s="371"/>
      <c r="S228" s="371"/>
      <c r="T228" s="371"/>
      <c r="U228" s="371"/>
      <c r="V228" s="371"/>
      <c r="W228" s="371"/>
      <c r="X228" s="371"/>
      <c r="Y228" s="371"/>
      <c r="Z228" s="371"/>
      <c r="AA228" s="371"/>
      <c r="AB228" s="371"/>
      <c r="AC228" s="371"/>
      <c r="AD228" s="371"/>
      <c r="AE228" s="371">
        <v>450000</v>
      </c>
      <c r="AF228" s="385">
        <f t="shared" si="86"/>
        <v>0</v>
      </c>
      <c r="AG228" s="371"/>
      <c r="AH228" s="371"/>
      <c r="AI228" s="387">
        <f t="shared" si="78"/>
        <v>0</v>
      </c>
    </row>
    <row r="229" spans="1:35" s="393" customFormat="1" ht="24" customHeight="1">
      <c r="A229" s="397" t="s">
        <v>178</v>
      </c>
      <c r="B229" s="394" t="s">
        <v>179</v>
      </c>
      <c r="C229" s="395" t="s">
        <v>382</v>
      </c>
      <c r="D229" s="396">
        <v>4</v>
      </c>
      <c r="E229" s="385">
        <f t="shared" si="83"/>
        <v>5200</v>
      </c>
      <c r="F229" s="368">
        <v>5200</v>
      </c>
      <c r="G229" s="368">
        <v>0</v>
      </c>
      <c r="H229" s="385">
        <f t="shared" si="84"/>
        <v>1609</v>
      </c>
      <c r="I229" s="371">
        <v>269</v>
      </c>
      <c r="J229" s="371">
        <v>0</v>
      </c>
      <c r="K229" s="371">
        <v>269</v>
      </c>
      <c r="L229" s="371">
        <v>356</v>
      </c>
      <c r="M229" s="371">
        <v>356</v>
      </c>
      <c r="N229" s="371">
        <v>359</v>
      </c>
      <c r="O229" s="370">
        <v>0</v>
      </c>
      <c r="P229" s="386">
        <f t="shared" si="85"/>
        <v>3521</v>
      </c>
      <c r="Q229" s="371">
        <v>377</v>
      </c>
      <c r="R229" s="371">
        <v>298</v>
      </c>
      <c r="S229" s="371">
        <v>211</v>
      </c>
      <c r="T229" s="371">
        <v>348</v>
      </c>
      <c r="U229" s="371">
        <v>337</v>
      </c>
      <c r="V229" s="371">
        <v>268</v>
      </c>
      <c r="W229" s="371">
        <v>280</v>
      </c>
      <c r="X229" s="371">
        <v>298</v>
      </c>
      <c r="Y229" s="371">
        <v>328</v>
      </c>
      <c r="Z229" s="371">
        <v>328</v>
      </c>
      <c r="AA229" s="371">
        <v>187</v>
      </c>
      <c r="AB229" s="371">
        <v>93</v>
      </c>
      <c r="AC229" s="371">
        <v>84</v>
      </c>
      <c r="AD229" s="371">
        <v>84</v>
      </c>
      <c r="AE229" s="371">
        <v>0</v>
      </c>
      <c r="AF229" s="385">
        <f t="shared" si="86"/>
        <v>70</v>
      </c>
      <c r="AG229" s="371">
        <v>70</v>
      </c>
      <c r="AH229" s="371">
        <v>0</v>
      </c>
      <c r="AI229" s="387">
        <f t="shared" si="78"/>
        <v>0</v>
      </c>
    </row>
    <row r="230" spans="1:35" s="393" customFormat="1" ht="24" customHeight="1">
      <c r="A230" s="397" t="s">
        <v>178</v>
      </c>
      <c r="B230" s="394" t="s">
        <v>179</v>
      </c>
      <c r="C230" s="395" t="s">
        <v>532</v>
      </c>
      <c r="D230" s="396">
        <v>4</v>
      </c>
      <c r="E230" s="385">
        <f t="shared" si="83"/>
        <v>20000</v>
      </c>
      <c r="F230" s="368">
        <v>20000</v>
      </c>
      <c r="G230" s="368">
        <v>0</v>
      </c>
      <c r="H230" s="385">
        <f t="shared" si="84"/>
        <v>7400</v>
      </c>
      <c r="I230" s="371">
        <v>1176</v>
      </c>
      <c r="J230" s="371">
        <v>0</v>
      </c>
      <c r="K230" s="371">
        <v>1176</v>
      </c>
      <c r="L230" s="371">
        <v>1976</v>
      </c>
      <c r="M230" s="371">
        <v>1886</v>
      </c>
      <c r="N230" s="371">
        <v>1186</v>
      </c>
      <c r="O230" s="370">
        <v>0</v>
      </c>
      <c r="P230" s="386">
        <f t="shared" si="85"/>
        <v>12600</v>
      </c>
      <c r="Q230" s="371">
        <v>1171</v>
      </c>
      <c r="R230" s="371">
        <v>1171</v>
      </c>
      <c r="S230" s="371">
        <v>1171</v>
      </c>
      <c r="T230" s="371">
        <v>1171</v>
      </c>
      <c r="U230" s="371">
        <v>1171</v>
      </c>
      <c r="V230" s="371">
        <v>1621</v>
      </c>
      <c r="W230" s="371">
        <v>1572</v>
      </c>
      <c r="X230" s="371">
        <v>1210</v>
      </c>
      <c r="Y230" s="371">
        <v>1171</v>
      </c>
      <c r="Z230" s="371">
        <v>1171</v>
      </c>
      <c r="AA230" s="371">
        <v>0</v>
      </c>
      <c r="AB230" s="371">
        <v>0</v>
      </c>
      <c r="AC230" s="371">
        <v>0</v>
      </c>
      <c r="AD230" s="371">
        <v>0</v>
      </c>
      <c r="AE230" s="371">
        <v>0</v>
      </c>
      <c r="AF230" s="385">
        <f t="shared" si="86"/>
        <v>0</v>
      </c>
      <c r="AG230" s="371">
        <v>0</v>
      </c>
      <c r="AH230" s="371">
        <v>0</v>
      </c>
      <c r="AI230" s="387">
        <f t="shared" si="78"/>
        <v>0</v>
      </c>
    </row>
    <row r="231" spans="1:35" s="393" customFormat="1" ht="33.950000000000003" customHeight="1">
      <c r="A231" s="397" t="s">
        <v>178</v>
      </c>
      <c r="B231" s="394" t="s">
        <v>179</v>
      </c>
      <c r="C231" s="395" t="s">
        <v>961</v>
      </c>
      <c r="D231" s="396">
        <v>4</v>
      </c>
      <c r="E231" s="385">
        <f t="shared" si="83"/>
        <v>92900</v>
      </c>
      <c r="F231" s="368">
        <v>92900</v>
      </c>
      <c r="G231" s="368">
        <v>0</v>
      </c>
      <c r="H231" s="385">
        <f t="shared" si="84"/>
        <v>34550</v>
      </c>
      <c r="I231" s="371">
        <v>3450</v>
      </c>
      <c r="J231" s="371">
        <v>0</v>
      </c>
      <c r="K231" s="371">
        <v>4800</v>
      </c>
      <c r="L231" s="371">
        <v>5000</v>
      </c>
      <c r="M231" s="371">
        <v>5200</v>
      </c>
      <c r="N231" s="371">
        <v>5100</v>
      </c>
      <c r="O231" s="370">
        <v>11000</v>
      </c>
      <c r="P231" s="386">
        <f t="shared" si="85"/>
        <v>54550</v>
      </c>
      <c r="Q231" s="371">
        <v>4300</v>
      </c>
      <c r="R231" s="371">
        <v>1250</v>
      </c>
      <c r="S231" s="371">
        <v>3000</v>
      </c>
      <c r="T231" s="371">
        <v>2700</v>
      </c>
      <c r="U231" s="371">
        <v>4300</v>
      </c>
      <c r="V231" s="371">
        <v>2200</v>
      </c>
      <c r="W231" s="371">
        <v>2600</v>
      </c>
      <c r="X231" s="371">
        <v>2800</v>
      </c>
      <c r="Y231" s="371">
        <v>2400</v>
      </c>
      <c r="Z231" s="371">
        <v>4150</v>
      </c>
      <c r="AA231" s="371">
        <v>1600</v>
      </c>
      <c r="AB231" s="371">
        <v>2600</v>
      </c>
      <c r="AC231" s="371">
        <v>1250</v>
      </c>
      <c r="AD231" s="371">
        <v>1600</v>
      </c>
      <c r="AE231" s="371">
        <v>17800</v>
      </c>
      <c r="AF231" s="385">
        <f t="shared" si="86"/>
        <v>3800</v>
      </c>
      <c r="AG231" s="371">
        <v>1800</v>
      </c>
      <c r="AH231" s="371">
        <v>2000</v>
      </c>
      <c r="AI231" s="387">
        <f t="shared" si="78"/>
        <v>0</v>
      </c>
    </row>
    <row r="232" spans="1:35" s="393" customFormat="1" ht="41.1" customHeight="1">
      <c r="A232" s="397" t="s">
        <v>178</v>
      </c>
      <c r="B232" s="394" t="s">
        <v>179</v>
      </c>
      <c r="C232" s="395" t="s">
        <v>825</v>
      </c>
      <c r="D232" s="396">
        <v>4</v>
      </c>
      <c r="E232" s="385">
        <f t="shared" si="83"/>
        <v>1270</v>
      </c>
      <c r="F232" s="368">
        <v>1270</v>
      </c>
      <c r="G232" s="368">
        <v>0</v>
      </c>
      <c r="H232" s="385">
        <f t="shared" si="84"/>
        <v>365</v>
      </c>
      <c r="I232" s="371">
        <v>49</v>
      </c>
      <c r="J232" s="371">
        <v>0</v>
      </c>
      <c r="K232" s="371">
        <v>58</v>
      </c>
      <c r="L232" s="371">
        <v>92</v>
      </c>
      <c r="M232" s="371">
        <v>120</v>
      </c>
      <c r="N232" s="371">
        <v>46</v>
      </c>
      <c r="O232" s="370">
        <v>0</v>
      </c>
      <c r="P232" s="386">
        <f t="shared" si="85"/>
        <v>905</v>
      </c>
      <c r="Q232" s="371">
        <v>43</v>
      </c>
      <c r="R232" s="371">
        <v>77</v>
      </c>
      <c r="S232" s="371">
        <v>108</v>
      </c>
      <c r="T232" s="371">
        <v>94</v>
      </c>
      <c r="U232" s="371">
        <v>58</v>
      </c>
      <c r="V232" s="371">
        <v>108</v>
      </c>
      <c r="W232" s="371">
        <v>94</v>
      </c>
      <c r="X232" s="371">
        <v>94</v>
      </c>
      <c r="Y232" s="371">
        <v>47</v>
      </c>
      <c r="Z232" s="371">
        <v>47</v>
      </c>
      <c r="AA232" s="371">
        <v>0</v>
      </c>
      <c r="AB232" s="371">
        <v>39</v>
      </c>
      <c r="AC232" s="371">
        <v>51</v>
      </c>
      <c r="AD232" s="371">
        <v>45</v>
      </c>
      <c r="AE232" s="371">
        <v>0</v>
      </c>
      <c r="AF232" s="385">
        <f t="shared" si="86"/>
        <v>0</v>
      </c>
      <c r="AG232" s="371">
        <v>0</v>
      </c>
      <c r="AH232" s="371">
        <v>0</v>
      </c>
      <c r="AI232" s="387">
        <f t="shared" si="78"/>
        <v>0</v>
      </c>
    </row>
    <row r="233" spans="1:35" s="393" customFormat="1" ht="24" customHeight="1">
      <c r="A233" s="397" t="s">
        <v>178</v>
      </c>
      <c r="B233" s="394" t="s">
        <v>179</v>
      </c>
      <c r="C233" s="395" t="s">
        <v>384</v>
      </c>
      <c r="D233" s="396">
        <v>4</v>
      </c>
      <c r="E233" s="385">
        <f t="shared" si="83"/>
        <v>4000</v>
      </c>
      <c r="F233" s="368">
        <v>4000</v>
      </c>
      <c r="G233" s="368">
        <v>0</v>
      </c>
      <c r="H233" s="385">
        <f t="shared" si="84"/>
        <v>1100</v>
      </c>
      <c r="I233" s="371">
        <v>0</v>
      </c>
      <c r="J233" s="371">
        <v>0</v>
      </c>
      <c r="K233" s="371">
        <v>200</v>
      </c>
      <c r="L233" s="371">
        <v>0</v>
      </c>
      <c r="M233" s="371">
        <v>240</v>
      </c>
      <c r="N233" s="371">
        <v>660</v>
      </c>
      <c r="O233" s="370">
        <v>0</v>
      </c>
      <c r="P233" s="386">
        <f t="shared" si="85"/>
        <v>2900</v>
      </c>
      <c r="Q233" s="371">
        <v>600</v>
      </c>
      <c r="R233" s="371">
        <v>160</v>
      </c>
      <c r="S233" s="371">
        <v>300</v>
      </c>
      <c r="T233" s="371">
        <v>540</v>
      </c>
      <c r="U233" s="371">
        <v>120</v>
      </c>
      <c r="V233" s="371">
        <v>280</v>
      </c>
      <c r="W233" s="371">
        <v>280</v>
      </c>
      <c r="X233" s="371">
        <v>300</v>
      </c>
      <c r="Y233" s="371">
        <v>140</v>
      </c>
      <c r="Z233" s="371">
        <v>80</v>
      </c>
      <c r="AA233" s="371">
        <v>100</v>
      </c>
      <c r="AB233" s="371">
        <v>0</v>
      </c>
      <c r="AC233" s="371">
        <v>0</v>
      </c>
      <c r="AD233" s="371">
        <v>0</v>
      </c>
      <c r="AE233" s="371">
        <v>0</v>
      </c>
      <c r="AF233" s="385">
        <f t="shared" si="86"/>
        <v>0</v>
      </c>
      <c r="AG233" s="371">
        <v>0</v>
      </c>
      <c r="AH233" s="371">
        <v>0</v>
      </c>
      <c r="AI233" s="387">
        <f t="shared" si="78"/>
        <v>0</v>
      </c>
    </row>
    <row r="234" spans="1:35" s="393" customFormat="1" ht="24" customHeight="1">
      <c r="A234" s="397" t="s">
        <v>178</v>
      </c>
      <c r="B234" s="394" t="s">
        <v>179</v>
      </c>
      <c r="C234" s="395" t="s">
        <v>826</v>
      </c>
      <c r="D234" s="396">
        <v>4</v>
      </c>
      <c r="E234" s="385">
        <f t="shared" si="83"/>
        <v>2700</v>
      </c>
      <c r="F234" s="368">
        <v>1200</v>
      </c>
      <c r="G234" s="368">
        <v>1500</v>
      </c>
      <c r="H234" s="385">
        <f t="shared" si="84"/>
        <v>850</v>
      </c>
      <c r="I234" s="371">
        <v>0</v>
      </c>
      <c r="J234" s="371">
        <v>0</v>
      </c>
      <c r="K234" s="371">
        <v>90</v>
      </c>
      <c r="L234" s="371">
        <v>110</v>
      </c>
      <c r="M234" s="371">
        <v>400</v>
      </c>
      <c r="N234" s="371">
        <v>250</v>
      </c>
      <c r="O234" s="370">
        <v>0</v>
      </c>
      <c r="P234" s="386">
        <f t="shared" si="85"/>
        <v>1850</v>
      </c>
      <c r="Q234" s="371">
        <v>0</v>
      </c>
      <c r="R234" s="371">
        <v>0</v>
      </c>
      <c r="S234" s="371">
        <v>0</v>
      </c>
      <c r="T234" s="371">
        <v>0</v>
      </c>
      <c r="U234" s="371">
        <v>0</v>
      </c>
      <c r="V234" s="371">
        <v>530</v>
      </c>
      <c r="W234" s="371">
        <v>300</v>
      </c>
      <c r="X234" s="371">
        <v>530</v>
      </c>
      <c r="Y234" s="371">
        <v>290</v>
      </c>
      <c r="Z234" s="371">
        <v>200</v>
      </c>
      <c r="AA234" s="371">
        <v>0</v>
      </c>
      <c r="AB234" s="371">
        <v>0</v>
      </c>
      <c r="AC234" s="371">
        <v>0</v>
      </c>
      <c r="AD234" s="371">
        <v>0</v>
      </c>
      <c r="AE234" s="371">
        <v>0</v>
      </c>
      <c r="AF234" s="385">
        <f t="shared" si="86"/>
        <v>0</v>
      </c>
      <c r="AG234" s="371">
        <v>0</v>
      </c>
      <c r="AH234" s="371">
        <v>0</v>
      </c>
      <c r="AI234" s="387">
        <f t="shared" si="78"/>
        <v>0</v>
      </c>
    </row>
    <row r="235" spans="1:35" s="393" customFormat="1" ht="31.5" customHeight="1">
      <c r="A235" s="397" t="s">
        <v>178</v>
      </c>
      <c r="B235" s="394" t="s">
        <v>179</v>
      </c>
      <c r="C235" s="395" t="s">
        <v>828</v>
      </c>
      <c r="D235" s="396">
        <v>4</v>
      </c>
      <c r="E235" s="385">
        <f t="shared" si="83"/>
        <v>11021</v>
      </c>
      <c r="F235" s="368">
        <v>800</v>
      </c>
      <c r="G235" s="368">
        <v>10221</v>
      </c>
      <c r="H235" s="385">
        <f t="shared" si="84"/>
        <v>3200</v>
      </c>
      <c r="I235" s="371">
        <v>0</v>
      </c>
      <c r="J235" s="371">
        <v>0</v>
      </c>
      <c r="K235" s="371">
        <v>0</v>
      </c>
      <c r="L235" s="371">
        <v>0</v>
      </c>
      <c r="M235" s="371">
        <v>2120</v>
      </c>
      <c r="N235" s="371">
        <v>1080</v>
      </c>
      <c r="O235" s="370">
        <v>0</v>
      </c>
      <c r="P235" s="386">
        <f t="shared" si="85"/>
        <v>7821</v>
      </c>
      <c r="Q235" s="371">
        <v>0</v>
      </c>
      <c r="R235" s="371">
        <v>0</v>
      </c>
      <c r="S235" s="371">
        <v>0</v>
      </c>
      <c r="T235" s="371">
        <v>2421</v>
      </c>
      <c r="U235" s="371">
        <v>0</v>
      </c>
      <c r="V235" s="371">
        <v>2700</v>
      </c>
      <c r="W235" s="371">
        <v>0</v>
      </c>
      <c r="X235" s="371">
        <v>2700</v>
      </c>
      <c r="Y235" s="371">
        <v>0</v>
      </c>
      <c r="Z235" s="371">
        <v>0</v>
      </c>
      <c r="AA235" s="371">
        <v>0</v>
      </c>
      <c r="AB235" s="371">
        <v>0</v>
      </c>
      <c r="AC235" s="371">
        <v>0</v>
      </c>
      <c r="AD235" s="371">
        <v>0</v>
      </c>
      <c r="AE235" s="371">
        <v>0</v>
      </c>
      <c r="AF235" s="385">
        <f t="shared" si="86"/>
        <v>0</v>
      </c>
      <c r="AG235" s="371">
        <v>0</v>
      </c>
      <c r="AH235" s="371">
        <v>0</v>
      </c>
      <c r="AI235" s="387">
        <f t="shared" si="78"/>
        <v>0</v>
      </c>
    </row>
    <row r="236" spans="1:35" s="393" customFormat="1" ht="23.1" customHeight="1">
      <c r="A236" s="397" t="s">
        <v>178</v>
      </c>
      <c r="B236" s="394" t="s">
        <v>179</v>
      </c>
      <c r="C236" s="395" t="s">
        <v>829</v>
      </c>
      <c r="D236" s="396">
        <v>4</v>
      </c>
      <c r="E236" s="385">
        <f t="shared" si="83"/>
        <v>5311</v>
      </c>
      <c r="F236" s="368">
        <v>226</v>
      </c>
      <c r="G236" s="368">
        <v>5085</v>
      </c>
      <c r="H236" s="385">
        <f t="shared" si="84"/>
        <v>1320</v>
      </c>
      <c r="I236" s="371">
        <v>0</v>
      </c>
      <c r="J236" s="371">
        <v>0</v>
      </c>
      <c r="K236" s="371">
        <v>287</v>
      </c>
      <c r="L236" s="371">
        <v>304</v>
      </c>
      <c r="M236" s="371">
        <v>0</v>
      </c>
      <c r="N236" s="371">
        <v>729</v>
      </c>
      <c r="O236" s="370">
        <v>0</v>
      </c>
      <c r="P236" s="386">
        <f t="shared" si="85"/>
        <v>3991</v>
      </c>
      <c r="Q236" s="371">
        <v>211</v>
      </c>
      <c r="R236" s="371">
        <v>309</v>
      </c>
      <c r="S236" s="371"/>
      <c r="T236" s="371">
        <v>725</v>
      </c>
      <c r="U236" s="371">
        <v>310</v>
      </c>
      <c r="V236" s="371">
        <v>675</v>
      </c>
      <c r="W236" s="371">
        <v>360</v>
      </c>
      <c r="X236" s="371">
        <v>675</v>
      </c>
      <c r="Y236" s="371">
        <v>310</v>
      </c>
      <c r="Z236" s="371">
        <v>210</v>
      </c>
      <c r="AA236" s="371">
        <v>206</v>
      </c>
      <c r="AB236" s="371">
        <v>0</v>
      </c>
      <c r="AC236" s="371">
        <v>0</v>
      </c>
      <c r="AD236" s="371">
        <v>0</v>
      </c>
      <c r="AE236" s="371">
        <v>0</v>
      </c>
      <c r="AF236" s="385">
        <f t="shared" si="86"/>
        <v>0</v>
      </c>
      <c r="AG236" s="371">
        <v>0</v>
      </c>
      <c r="AH236" s="371">
        <v>0</v>
      </c>
      <c r="AI236" s="387">
        <f t="shared" si="78"/>
        <v>0</v>
      </c>
    </row>
    <row r="237" spans="1:35" s="393" customFormat="1" ht="24" customHeight="1">
      <c r="A237" s="397" t="s">
        <v>178</v>
      </c>
      <c r="B237" s="394" t="s">
        <v>179</v>
      </c>
      <c r="C237" s="395" t="s">
        <v>830</v>
      </c>
      <c r="D237" s="396">
        <v>4</v>
      </c>
      <c r="E237" s="385">
        <f t="shared" si="83"/>
        <v>10222</v>
      </c>
      <c r="F237" s="368">
        <v>10222</v>
      </c>
      <c r="G237" s="368">
        <v>0</v>
      </c>
      <c r="H237" s="385">
        <f t="shared" si="84"/>
        <v>3422</v>
      </c>
      <c r="I237" s="371">
        <v>322</v>
      </c>
      <c r="J237" s="371">
        <v>0</v>
      </c>
      <c r="K237" s="371">
        <v>340</v>
      </c>
      <c r="L237" s="371">
        <v>500</v>
      </c>
      <c r="M237" s="371">
        <v>1260</v>
      </c>
      <c r="N237" s="371">
        <v>1000</v>
      </c>
      <c r="O237" s="370">
        <v>0</v>
      </c>
      <c r="P237" s="386">
        <f t="shared" si="85"/>
        <v>6520</v>
      </c>
      <c r="Q237" s="371">
        <v>370</v>
      </c>
      <c r="R237" s="371">
        <v>370</v>
      </c>
      <c r="S237" s="371">
        <v>450</v>
      </c>
      <c r="T237" s="371">
        <v>1200</v>
      </c>
      <c r="U237" s="371">
        <v>450</v>
      </c>
      <c r="V237" s="371">
        <v>1270</v>
      </c>
      <c r="W237" s="371">
        <v>270</v>
      </c>
      <c r="X237" s="371">
        <v>1270</v>
      </c>
      <c r="Y237" s="371">
        <v>450</v>
      </c>
      <c r="Z237" s="371">
        <v>250</v>
      </c>
      <c r="AA237" s="371">
        <v>80</v>
      </c>
      <c r="AB237" s="371">
        <v>30</v>
      </c>
      <c r="AC237" s="371">
        <v>30</v>
      </c>
      <c r="AD237" s="371">
        <v>30</v>
      </c>
      <c r="AE237" s="371">
        <v>0</v>
      </c>
      <c r="AF237" s="385">
        <f t="shared" si="86"/>
        <v>280</v>
      </c>
      <c r="AG237" s="371">
        <v>80</v>
      </c>
      <c r="AH237" s="371">
        <v>200</v>
      </c>
      <c r="AI237" s="387">
        <f t="shared" si="78"/>
        <v>0</v>
      </c>
    </row>
    <row r="238" spans="1:35" s="393" customFormat="1" ht="24" customHeight="1">
      <c r="A238" s="397" t="s">
        <v>178</v>
      </c>
      <c r="B238" s="394" t="s">
        <v>179</v>
      </c>
      <c r="C238" s="395" t="s">
        <v>386</v>
      </c>
      <c r="D238" s="396">
        <v>4</v>
      </c>
      <c r="E238" s="385">
        <f t="shared" si="83"/>
        <v>1600</v>
      </c>
      <c r="F238" s="368">
        <v>1600</v>
      </c>
      <c r="G238" s="368">
        <v>0</v>
      </c>
      <c r="H238" s="385">
        <f t="shared" si="84"/>
        <v>200</v>
      </c>
      <c r="I238" s="371">
        <v>0</v>
      </c>
      <c r="J238" s="371">
        <v>0</v>
      </c>
      <c r="K238" s="371">
        <v>30</v>
      </c>
      <c r="L238" s="371">
        <v>30</v>
      </c>
      <c r="M238" s="371">
        <v>70</v>
      </c>
      <c r="N238" s="371">
        <v>70</v>
      </c>
      <c r="O238" s="370">
        <v>0</v>
      </c>
      <c r="P238" s="386">
        <f t="shared" si="85"/>
        <v>1370</v>
      </c>
      <c r="Q238" s="371">
        <v>60</v>
      </c>
      <c r="R238" s="371">
        <v>0</v>
      </c>
      <c r="S238" s="371">
        <v>150</v>
      </c>
      <c r="T238" s="371">
        <v>120</v>
      </c>
      <c r="U238" s="371">
        <v>100</v>
      </c>
      <c r="V238" s="371">
        <v>250</v>
      </c>
      <c r="W238" s="371">
        <v>200</v>
      </c>
      <c r="X238" s="371">
        <v>250</v>
      </c>
      <c r="Y238" s="371">
        <v>50</v>
      </c>
      <c r="Z238" s="371">
        <v>70</v>
      </c>
      <c r="AA238" s="371">
        <v>40</v>
      </c>
      <c r="AB238" s="371">
        <v>40</v>
      </c>
      <c r="AC238" s="371">
        <v>40</v>
      </c>
      <c r="AD238" s="371">
        <v>0</v>
      </c>
      <c r="AE238" s="371">
        <v>0</v>
      </c>
      <c r="AF238" s="385">
        <f t="shared" si="86"/>
        <v>30</v>
      </c>
      <c r="AG238" s="371">
        <v>0</v>
      </c>
      <c r="AH238" s="371">
        <v>30</v>
      </c>
      <c r="AI238" s="387">
        <f t="shared" si="78"/>
        <v>0</v>
      </c>
    </row>
    <row r="239" spans="1:35" s="393" customFormat="1" ht="27.95" customHeight="1">
      <c r="A239" s="397" t="s">
        <v>178</v>
      </c>
      <c r="B239" s="394" t="s">
        <v>179</v>
      </c>
      <c r="C239" s="395" t="s">
        <v>387</v>
      </c>
      <c r="D239" s="396">
        <v>4</v>
      </c>
      <c r="E239" s="385">
        <f t="shared" si="83"/>
        <v>1045</v>
      </c>
      <c r="F239" s="368">
        <v>1045</v>
      </c>
      <c r="G239" s="368">
        <v>0</v>
      </c>
      <c r="H239" s="385">
        <f t="shared" si="84"/>
        <v>260</v>
      </c>
      <c r="I239" s="371">
        <v>40</v>
      </c>
      <c r="J239" s="371">
        <v>0</v>
      </c>
      <c r="K239" s="371">
        <v>58</v>
      </c>
      <c r="L239" s="371">
        <v>72</v>
      </c>
      <c r="M239" s="371">
        <v>90</v>
      </c>
      <c r="N239" s="371">
        <v>0</v>
      </c>
      <c r="O239" s="370">
        <v>0</v>
      </c>
      <c r="P239" s="386">
        <f t="shared" si="85"/>
        <v>750</v>
      </c>
      <c r="Q239" s="371">
        <v>43</v>
      </c>
      <c r="R239" s="371">
        <v>30</v>
      </c>
      <c r="S239" s="371">
        <v>35</v>
      </c>
      <c r="T239" s="371">
        <v>140</v>
      </c>
      <c r="U239" s="371">
        <v>42</v>
      </c>
      <c r="V239" s="371">
        <v>120</v>
      </c>
      <c r="W239" s="371">
        <v>65</v>
      </c>
      <c r="X239" s="371">
        <v>85</v>
      </c>
      <c r="Y239" s="371">
        <v>50</v>
      </c>
      <c r="Z239" s="371">
        <v>40</v>
      </c>
      <c r="AA239" s="371">
        <v>35</v>
      </c>
      <c r="AB239" s="371">
        <v>15</v>
      </c>
      <c r="AC239" s="371">
        <v>20</v>
      </c>
      <c r="AD239" s="371">
        <v>30</v>
      </c>
      <c r="AE239" s="371">
        <v>0</v>
      </c>
      <c r="AF239" s="385">
        <f t="shared" si="86"/>
        <v>35</v>
      </c>
      <c r="AG239" s="371">
        <v>35</v>
      </c>
      <c r="AH239" s="371">
        <v>0</v>
      </c>
      <c r="AI239" s="387">
        <f t="shared" si="78"/>
        <v>0</v>
      </c>
    </row>
    <row r="240" spans="1:35" s="393" customFormat="1" ht="24" customHeight="1">
      <c r="A240" s="397" t="s">
        <v>178</v>
      </c>
      <c r="B240" s="394" t="s">
        <v>179</v>
      </c>
      <c r="C240" s="395" t="s">
        <v>962</v>
      </c>
      <c r="D240" s="396">
        <v>4</v>
      </c>
      <c r="E240" s="385">
        <f t="shared" si="83"/>
        <v>1600</v>
      </c>
      <c r="F240" s="368">
        <v>1000</v>
      </c>
      <c r="G240" s="368">
        <v>600</v>
      </c>
      <c r="H240" s="385">
        <f t="shared" si="84"/>
        <v>0</v>
      </c>
      <c r="I240" s="371">
        <v>0</v>
      </c>
      <c r="J240" s="371">
        <v>0</v>
      </c>
      <c r="K240" s="371">
        <v>0</v>
      </c>
      <c r="L240" s="371">
        <v>0</v>
      </c>
      <c r="M240" s="371">
        <v>0</v>
      </c>
      <c r="N240" s="371">
        <v>0</v>
      </c>
      <c r="O240" s="370">
        <v>0</v>
      </c>
      <c r="P240" s="386">
        <f t="shared" si="85"/>
        <v>1600</v>
      </c>
      <c r="Q240" s="371">
        <v>0</v>
      </c>
      <c r="R240" s="371">
        <v>0</v>
      </c>
      <c r="S240" s="371">
        <v>0</v>
      </c>
      <c r="T240" s="371">
        <v>240</v>
      </c>
      <c r="U240" s="371">
        <v>0</v>
      </c>
      <c r="V240" s="371">
        <v>0</v>
      </c>
      <c r="W240" s="371">
        <v>0</v>
      </c>
      <c r="X240" s="371">
        <v>0</v>
      </c>
      <c r="Y240" s="371">
        <v>0</v>
      </c>
      <c r="Z240" s="371">
        <v>0</v>
      </c>
      <c r="AA240" s="371">
        <v>0</v>
      </c>
      <c r="AB240" s="371">
        <v>0</v>
      </c>
      <c r="AC240" s="371">
        <v>0</v>
      </c>
      <c r="AD240" s="371">
        <v>0</v>
      </c>
      <c r="AE240" s="371">
        <v>1360</v>
      </c>
      <c r="AF240" s="385">
        <f t="shared" si="86"/>
        <v>0</v>
      </c>
      <c r="AG240" s="371">
        <v>0</v>
      </c>
      <c r="AH240" s="371">
        <v>0</v>
      </c>
      <c r="AI240" s="387">
        <f t="shared" si="78"/>
        <v>0</v>
      </c>
    </row>
    <row r="241" spans="1:35" s="393" customFormat="1" ht="24" customHeight="1">
      <c r="A241" s="397" t="s">
        <v>178</v>
      </c>
      <c r="B241" s="394" t="s">
        <v>179</v>
      </c>
      <c r="C241" s="395" t="s">
        <v>536</v>
      </c>
      <c r="D241" s="396">
        <v>4</v>
      </c>
      <c r="E241" s="385">
        <f t="shared" si="83"/>
        <v>640</v>
      </c>
      <c r="F241" s="368">
        <v>640</v>
      </c>
      <c r="G241" s="368">
        <v>0</v>
      </c>
      <c r="H241" s="385">
        <f t="shared" si="84"/>
        <v>190</v>
      </c>
      <c r="I241" s="371">
        <v>38</v>
      </c>
      <c r="J241" s="371">
        <v>0</v>
      </c>
      <c r="K241" s="371">
        <v>38</v>
      </c>
      <c r="L241" s="371">
        <v>38</v>
      </c>
      <c r="M241" s="371">
        <v>38</v>
      </c>
      <c r="N241" s="371">
        <v>38</v>
      </c>
      <c r="O241" s="370">
        <v>0</v>
      </c>
      <c r="P241" s="386">
        <f t="shared" si="85"/>
        <v>420</v>
      </c>
      <c r="Q241" s="371">
        <v>30</v>
      </c>
      <c r="R241" s="371">
        <v>30</v>
      </c>
      <c r="S241" s="371">
        <v>30</v>
      </c>
      <c r="T241" s="371">
        <v>30</v>
      </c>
      <c r="U241" s="371">
        <v>30</v>
      </c>
      <c r="V241" s="371">
        <v>30</v>
      </c>
      <c r="W241" s="371">
        <v>30</v>
      </c>
      <c r="X241" s="371">
        <v>30</v>
      </c>
      <c r="Y241" s="371">
        <v>30</v>
      </c>
      <c r="Z241" s="371">
        <v>30</v>
      </c>
      <c r="AA241" s="371">
        <v>30</v>
      </c>
      <c r="AB241" s="371">
        <v>30</v>
      </c>
      <c r="AC241" s="371">
        <v>30</v>
      </c>
      <c r="AD241" s="371">
        <v>30</v>
      </c>
      <c r="AE241" s="371">
        <v>0</v>
      </c>
      <c r="AF241" s="385">
        <f t="shared" si="86"/>
        <v>30</v>
      </c>
      <c r="AG241" s="371">
        <v>30</v>
      </c>
      <c r="AH241" s="371">
        <v>0</v>
      </c>
      <c r="AI241" s="387">
        <f t="shared" si="78"/>
        <v>0</v>
      </c>
    </row>
    <row r="242" spans="1:35" s="393" customFormat="1" ht="24" customHeight="1">
      <c r="A242" s="397" t="s">
        <v>178</v>
      </c>
      <c r="B242" s="394" t="s">
        <v>179</v>
      </c>
      <c r="C242" s="395" t="s">
        <v>963</v>
      </c>
      <c r="D242" s="396">
        <v>4</v>
      </c>
      <c r="E242" s="385">
        <f t="shared" si="83"/>
        <v>5000</v>
      </c>
      <c r="F242" s="368">
        <v>5000</v>
      </c>
      <c r="G242" s="368">
        <v>0</v>
      </c>
      <c r="H242" s="385">
        <f t="shared" si="84"/>
        <v>1000</v>
      </c>
      <c r="I242" s="371">
        <v>200</v>
      </c>
      <c r="J242" s="371">
        <v>0</v>
      </c>
      <c r="K242" s="371">
        <v>200</v>
      </c>
      <c r="L242" s="371">
        <v>200</v>
      </c>
      <c r="M242" s="371">
        <v>200</v>
      </c>
      <c r="N242" s="371">
        <v>200</v>
      </c>
      <c r="O242" s="370">
        <v>0</v>
      </c>
      <c r="P242" s="386">
        <f t="shared" si="85"/>
        <v>3500</v>
      </c>
      <c r="Q242" s="371">
        <v>250</v>
      </c>
      <c r="R242" s="371">
        <v>250</v>
      </c>
      <c r="S242" s="371">
        <v>250</v>
      </c>
      <c r="T242" s="371">
        <v>250</v>
      </c>
      <c r="U242" s="371">
        <v>250</v>
      </c>
      <c r="V242" s="371">
        <v>250</v>
      </c>
      <c r="W242" s="371">
        <v>250</v>
      </c>
      <c r="X242" s="371">
        <v>250</v>
      </c>
      <c r="Y242" s="371">
        <v>250</v>
      </c>
      <c r="Z242" s="371">
        <v>250</v>
      </c>
      <c r="AA242" s="371">
        <v>250</v>
      </c>
      <c r="AB242" s="371">
        <v>250</v>
      </c>
      <c r="AC242" s="371">
        <v>250</v>
      </c>
      <c r="AD242" s="371">
        <v>250</v>
      </c>
      <c r="AE242" s="371">
        <v>0</v>
      </c>
      <c r="AF242" s="385">
        <f t="shared" si="86"/>
        <v>500</v>
      </c>
      <c r="AG242" s="371">
        <v>250</v>
      </c>
      <c r="AH242" s="371">
        <v>250</v>
      </c>
      <c r="AI242" s="387">
        <f t="shared" si="78"/>
        <v>0</v>
      </c>
    </row>
    <row r="243" spans="1:35" s="393" customFormat="1" ht="24" customHeight="1">
      <c r="A243" s="397" t="s">
        <v>178</v>
      </c>
      <c r="B243" s="394" t="s">
        <v>179</v>
      </c>
      <c r="C243" s="395" t="s">
        <v>964</v>
      </c>
      <c r="D243" s="396">
        <v>4</v>
      </c>
      <c r="E243" s="385">
        <f t="shared" si="83"/>
        <v>3646</v>
      </c>
      <c r="F243" s="368">
        <v>3646</v>
      </c>
      <c r="G243" s="368">
        <v>0</v>
      </c>
      <c r="H243" s="385">
        <f t="shared" si="84"/>
        <v>875</v>
      </c>
      <c r="I243" s="371">
        <v>16</v>
      </c>
      <c r="J243" s="371">
        <v>0</v>
      </c>
      <c r="K243" s="371">
        <v>50</v>
      </c>
      <c r="L243" s="371">
        <v>60</v>
      </c>
      <c r="M243" s="371">
        <v>451</v>
      </c>
      <c r="N243" s="371">
        <v>298</v>
      </c>
      <c r="O243" s="370">
        <v>0</v>
      </c>
      <c r="P243" s="386">
        <f t="shared" si="85"/>
        <v>2750</v>
      </c>
      <c r="Q243" s="371">
        <v>89</v>
      </c>
      <c r="R243" s="371">
        <v>60</v>
      </c>
      <c r="S243" s="371">
        <v>83</v>
      </c>
      <c r="T243" s="371">
        <v>1037</v>
      </c>
      <c r="U243" s="371">
        <v>409</v>
      </c>
      <c r="V243" s="371">
        <v>337</v>
      </c>
      <c r="W243" s="371">
        <v>165</v>
      </c>
      <c r="X243" s="371">
        <v>324</v>
      </c>
      <c r="Y243" s="371">
        <v>51</v>
      </c>
      <c r="Z243" s="371">
        <v>38</v>
      </c>
      <c r="AA243" s="371">
        <v>18</v>
      </c>
      <c r="AB243" s="371">
        <v>0</v>
      </c>
      <c r="AC243" s="371">
        <v>139</v>
      </c>
      <c r="AD243" s="371">
        <v>0</v>
      </c>
      <c r="AE243" s="371">
        <v>0</v>
      </c>
      <c r="AF243" s="385">
        <f t="shared" si="86"/>
        <v>21</v>
      </c>
      <c r="AG243" s="371">
        <v>21</v>
      </c>
      <c r="AH243" s="371">
        <v>0</v>
      </c>
      <c r="AI243" s="387">
        <f t="shared" si="78"/>
        <v>0</v>
      </c>
    </row>
    <row r="244" spans="1:35" s="393" customFormat="1" ht="24" customHeight="1">
      <c r="A244" s="397" t="s">
        <v>178</v>
      </c>
      <c r="B244" s="394" t="s">
        <v>179</v>
      </c>
      <c r="C244" s="395" t="s">
        <v>965</v>
      </c>
      <c r="D244" s="396">
        <v>4</v>
      </c>
      <c r="E244" s="385">
        <f t="shared" si="83"/>
        <v>1500</v>
      </c>
      <c r="F244" s="368">
        <v>1500</v>
      </c>
      <c r="G244" s="368">
        <v>0</v>
      </c>
      <c r="H244" s="385">
        <f t="shared" si="84"/>
        <v>600</v>
      </c>
      <c r="I244" s="371">
        <v>100</v>
      </c>
      <c r="J244" s="371">
        <v>100</v>
      </c>
      <c r="K244" s="371">
        <v>100</v>
      </c>
      <c r="L244" s="371">
        <v>100</v>
      </c>
      <c r="M244" s="371">
        <v>100</v>
      </c>
      <c r="N244" s="371">
        <v>100</v>
      </c>
      <c r="O244" s="370">
        <v>0</v>
      </c>
      <c r="P244" s="386">
        <f t="shared" si="85"/>
        <v>900</v>
      </c>
      <c r="Q244" s="371">
        <v>70</v>
      </c>
      <c r="R244" s="371">
        <v>70</v>
      </c>
      <c r="S244" s="371">
        <v>70</v>
      </c>
      <c r="T244" s="371">
        <v>80</v>
      </c>
      <c r="U244" s="371">
        <v>60</v>
      </c>
      <c r="V244" s="371">
        <v>80</v>
      </c>
      <c r="W244" s="371">
        <v>80</v>
      </c>
      <c r="X244" s="371">
        <v>70</v>
      </c>
      <c r="Y244" s="371">
        <v>60</v>
      </c>
      <c r="Z244" s="371">
        <v>60</v>
      </c>
      <c r="AA244" s="371">
        <v>50</v>
      </c>
      <c r="AB244" s="371">
        <v>50</v>
      </c>
      <c r="AC244" s="371">
        <v>50</v>
      </c>
      <c r="AD244" s="371">
        <v>50</v>
      </c>
      <c r="AE244" s="371"/>
      <c r="AF244" s="385">
        <f t="shared" si="86"/>
        <v>0</v>
      </c>
      <c r="AG244" s="371">
        <v>0</v>
      </c>
      <c r="AH244" s="371">
        <v>0</v>
      </c>
      <c r="AI244" s="387">
        <f t="shared" si="78"/>
        <v>0</v>
      </c>
    </row>
    <row r="245" spans="1:35" s="393" customFormat="1" ht="24" customHeight="1">
      <c r="A245" s="397" t="s">
        <v>178</v>
      </c>
      <c r="B245" s="394" t="s">
        <v>179</v>
      </c>
      <c r="C245" s="395" t="s">
        <v>966</v>
      </c>
      <c r="D245" s="396">
        <v>4</v>
      </c>
      <c r="E245" s="385">
        <f t="shared" si="83"/>
        <v>307200</v>
      </c>
      <c r="F245" s="368">
        <v>0</v>
      </c>
      <c r="G245" s="368">
        <v>307200</v>
      </c>
      <c r="H245" s="385">
        <f t="shared" si="84"/>
        <v>129800</v>
      </c>
      <c r="I245" s="371">
        <v>0</v>
      </c>
      <c r="J245" s="371">
        <v>0</v>
      </c>
      <c r="K245" s="371">
        <v>35500</v>
      </c>
      <c r="L245" s="371">
        <v>45300</v>
      </c>
      <c r="M245" s="371">
        <v>46500</v>
      </c>
      <c r="N245" s="371">
        <v>2500</v>
      </c>
      <c r="O245" s="370">
        <v>0</v>
      </c>
      <c r="P245" s="386">
        <f t="shared" si="85"/>
        <v>150930</v>
      </c>
      <c r="Q245" s="371">
        <v>5300</v>
      </c>
      <c r="R245" s="371">
        <v>0</v>
      </c>
      <c r="S245" s="371">
        <v>5300</v>
      </c>
      <c r="T245" s="371">
        <v>0</v>
      </c>
      <c r="U245" s="371">
        <v>2500</v>
      </c>
      <c r="V245" s="371">
        <v>0</v>
      </c>
      <c r="W245" s="371">
        <v>9030</v>
      </c>
      <c r="X245" s="371">
        <v>1500</v>
      </c>
      <c r="Y245" s="371">
        <v>3500</v>
      </c>
      <c r="Z245" s="371">
        <v>21500</v>
      </c>
      <c r="AA245" s="371">
        <v>7500</v>
      </c>
      <c r="AB245" s="371">
        <v>6800</v>
      </c>
      <c r="AC245" s="371">
        <v>73500</v>
      </c>
      <c r="AD245" s="371">
        <v>14500</v>
      </c>
      <c r="AE245" s="371">
        <v>0</v>
      </c>
      <c r="AF245" s="385">
        <f t="shared" si="86"/>
        <v>26470</v>
      </c>
      <c r="AG245" s="371">
        <v>26470</v>
      </c>
      <c r="AH245" s="371">
        <v>0</v>
      </c>
      <c r="AI245" s="387">
        <f t="shared" si="78"/>
        <v>0</v>
      </c>
    </row>
    <row r="246" spans="1:35" s="410" customFormat="1" ht="22.5" customHeight="1">
      <c r="A246" s="405" t="s">
        <v>967</v>
      </c>
      <c r="B246" s="406"/>
      <c r="C246" s="407"/>
      <c r="D246" s="408"/>
      <c r="E246" s="409">
        <f t="shared" ref="E246:AH246" si="87">SUM(E247:E258)</f>
        <v>176525</v>
      </c>
      <c r="F246" s="409">
        <f t="shared" si="87"/>
        <v>104587</v>
      </c>
      <c r="G246" s="409">
        <f t="shared" si="87"/>
        <v>71938</v>
      </c>
      <c r="H246" s="409">
        <f t="shared" si="87"/>
        <v>39556</v>
      </c>
      <c r="I246" s="409">
        <f t="shared" si="87"/>
        <v>6090</v>
      </c>
      <c r="J246" s="409">
        <f t="shared" si="87"/>
        <v>0</v>
      </c>
      <c r="K246" s="409">
        <f t="shared" si="87"/>
        <v>4530</v>
      </c>
      <c r="L246" s="409">
        <f t="shared" si="87"/>
        <v>6650</v>
      </c>
      <c r="M246" s="409">
        <f t="shared" si="87"/>
        <v>9880</v>
      </c>
      <c r="N246" s="409">
        <f t="shared" si="87"/>
        <v>7740</v>
      </c>
      <c r="O246" s="409">
        <f t="shared" si="87"/>
        <v>4666</v>
      </c>
      <c r="P246" s="409">
        <f t="shared" si="87"/>
        <v>102527</v>
      </c>
      <c r="Q246" s="409">
        <f t="shared" si="87"/>
        <v>7150</v>
      </c>
      <c r="R246" s="409">
        <f t="shared" si="87"/>
        <v>7050</v>
      </c>
      <c r="S246" s="409">
        <f t="shared" si="87"/>
        <v>7000</v>
      </c>
      <c r="T246" s="409">
        <f t="shared" si="87"/>
        <v>6050</v>
      </c>
      <c r="U246" s="409">
        <f t="shared" si="87"/>
        <v>5880</v>
      </c>
      <c r="V246" s="409">
        <f t="shared" si="87"/>
        <v>7650</v>
      </c>
      <c r="W246" s="409">
        <f t="shared" si="87"/>
        <v>4820</v>
      </c>
      <c r="X246" s="409">
        <f t="shared" si="87"/>
        <v>7350</v>
      </c>
      <c r="Y246" s="409">
        <f t="shared" si="87"/>
        <v>9200</v>
      </c>
      <c r="Z246" s="409">
        <f t="shared" si="87"/>
        <v>7130</v>
      </c>
      <c r="AA246" s="409">
        <f t="shared" si="87"/>
        <v>14260</v>
      </c>
      <c r="AB246" s="409">
        <f t="shared" si="87"/>
        <v>2850</v>
      </c>
      <c r="AC246" s="409">
        <f t="shared" si="87"/>
        <v>4880</v>
      </c>
      <c r="AD246" s="409">
        <f t="shared" si="87"/>
        <v>2230</v>
      </c>
      <c r="AE246" s="409">
        <f t="shared" si="87"/>
        <v>9027</v>
      </c>
      <c r="AF246" s="409">
        <f t="shared" si="87"/>
        <v>34442</v>
      </c>
      <c r="AG246" s="409">
        <f t="shared" si="87"/>
        <v>19700</v>
      </c>
      <c r="AH246" s="409">
        <f t="shared" si="87"/>
        <v>14742</v>
      </c>
      <c r="AI246" s="387">
        <f t="shared" si="78"/>
        <v>0</v>
      </c>
    </row>
    <row r="247" spans="1:35" s="393" customFormat="1" ht="24" customHeight="1">
      <c r="A247" s="397" t="s">
        <v>178</v>
      </c>
      <c r="B247" s="394" t="s">
        <v>473</v>
      </c>
      <c r="C247" s="395" t="s">
        <v>397</v>
      </c>
      <c r="D247" s="396">
        <v>4</v>
      </c>
      <c r="E247" s="385">
        <f t="shared" ref="E247:E258" si="88">SUM(H247,P247,AF247)</f>
        <v>10000</v>
      </c>
      <c r="F247" s="368">
        <v>9800</v>
      </c>
      <c r="G247" s="368">
        <v>200</v>
      </c>
      <c r="H247" s="385">
        <f t="shared" ref="H247:H258" si="89">SUM(I247:O247)</f>
        <v>0</v>
      </c>
      <c r="I247" s="371">
        <v>0</v>
      </c>
      <c r="J247" s="371">
        <v>0</v>
      </c>
      <c r="K247" s="371">
        <v>0</v>
      </c>
      <c r="L247" s="371">
        <v>0</v>
      </c>
      <c r="M247" s="371">
        <v>0</v>
      </c>
      <c r="N247" s="371">
        <v>0</v>
      </c>
      <c r="O247" s="370">
        <v>0</v>
      </c>
      <c r="P247" s="386">
        <f t="shared" ref="P247:P258" si="90">SUM(Q247:AE247)</f>
        <v>8400</v>
      </c>
      <c r="Q247" s="371">
        <v>0</v>
      </c>
      <c r="R247" s="371">
        <v>1000</v>
      </c>
      <c r="S247" s="371">
        <v>1000</v>
      </c>
      <c r="T247" s="371">
        <v>0</v>
      </c>
      <c r="U247" s="371">
        <v>0</v>
      </c>
      <c r="V247" s="371">
        <v>0</v>
      </c>
      <c r="W247" s="371">
        <v>800</v>
      </c>
      <c r="X247" s="371">
        <v>850</v>
      </c>
      <c r="Y247" s="371">
        <v>0</v>
      </c>
      <c r="Z247" s="371">
        <v>750</v>
      </c>
      <c r="AA247" s="371">
        <v>570</v>
      </c>
      <c r="AB247" s="371">
        <v>750</v>
      </c>
      <c r="AC247" s="371">
        <v>930</v>
      </c>
      <c r="AD247" s="371">
        <v>700</v>
      </c>
      <c r="AE247" s="371">
        <v>1050</v>
      </c>
      <c r="AF247" s="385">
        <f t="shared" ref="AF247:AF258" si="91">SUM(AG247:AH247)</f>
        <v>1600</v>
      </c>
      <c r="AG247" s="371">
        <v>900</v>
      </c>
      <c r="AH247" s="371">
        <v>700</v>
      </c>
      <c r="AI247" s="387">
        <f t="shared" si="78"/>
        <v>0</v>
      </c>
    </row>
    <row r="248" spans="1:35" s="393" customFormat="1" ht="24" customHeight="1">
      <c r="A248" s="397" t="s">
        <v>178</v>
      </c>
      <c r="B248" s="394" t="s">
        <v>473</v>
      </c>
      <c r="C248" s="395" t="s">
        <v>398</v>
      </c>
      <c r="D248" s="396">
        <v>4</v>
      </c>
      <c r="E248" s="385">
        <f t="shared" si="88"/>
        <v>12000</v>
      </c>
      <c r="F248" s="368">
        <v>11800</v>
      </c>
      <c r="G248" s="368">
        <v>200</v>
      </c>
      <c r="H248" s="385">
        <f t="shared" si="89"/>
        <v>6420</v>
      </c>
      <c r="I248" s="371">
        <v>1350</v>
      </c>
      <c r="J248" s="371">
        <v>0</v>
      </c>
      <c r="K248" s="371">
        <v>900</v>
      </c>
      <c r="L248" s="371">
        <v>900</v>
      </c>
      <c r="M248" s="371">
        <v>1380</v>
      </c>
      <c r="N248" s="371">
        <v>1890</v>
      </c>
      <c r="O248" s="370">
        <v>0</v>
      </c>
      <c r="P248" s="386">
        <f t="shared" si="90"/>
        <v>5580</v>
      </c>
      <c r="Q248" s="371">
        <v>1450</v>
      </c>
      <c r="R248" s="371">
        <v>0</v>
      </c>
      <c r="S248" s="371">
        <v>0</v>
      </c>
      <c r="T248" s="371">
        <v>950</v>
      </c>
      <c r="U248" s="371">
        <v>1080</v>
      </c>
      <c r="V248" s="371">
        <v>900</v>
      </c>
      <c r="W248" s="371">
        <v>0</v>
      </c>
      <c r="X248" s="371">
        <v>0</v>
      </c>
      <c r="Y248" s="371">
        <v>1200</v>
      </c>
      <c r="Z248" s="371">
        <v>0</v>
      </c>
      <c r="AA248" s="371">
        <v>0</v>
      </c>
      <c r="AB248" s="371">
        <v>0</v>
      </c>
      <c r="AC248" s="371">
        <v>0</v>
      </c>
      <c r="AD248" s="371">
        <v>0</v>
      </c>
      <c r="AE248" s="371">
        <v>0</v>
      </c>
      <c r="AF248" s="385">
        <f t="shared" si="91"/>
        <v>0</v>
      </c>
      <c r="AG248" s="371">
        <v>0</v>
      </c>
      <c r="AH248" s="371">
        <v>0</v>
      </c>
      <c r="AI248" s="387">
        <f t="shared" si="78"/>
        <v>0</v>
      </c>
    </row>
    <row r="249" spans="1:35" s="393" customFormat="1" ht="24" customHeight="1">
      <c r="A249" s="397" t="s">
        <v>178</v>
      </c>
      <c r="B249" s="394" t="s">
        <v>473</v>
      </c>
      <c r="C249" s="395" t="s">
        <v>399</v>
      </c>
      <c r="D249" s="396">
        <v>4</v>
      </c>
      <c r="E249" s="385">
        <f t="shared" si="88"/>
        <v>18100</v>
      </c>
      <c r="F249" s="368">
        <v>18100</v>
      </c>
      <c r="G249" s="368">
        <v>0</v>
      </c>
      <c r="H249" s="385">
        <f t="shared" si="89"/>
        <v>3700</v>
      </c>
      <c r="I249" s="371">
        <v>800</v>
      </c>
      <c r="J249" s="371">
        <v>0</v>
      </c>
      <c r="K249" s="371">
        <v>300</v>
      </c>
      <c r="L249" s="371">
        <v>800</v>
      </c>
      <c r="M249" s="371">
        <v>800</v>
      </c>
      <c r="N249" s="371">
        <v>1000</v>
      </c>
      <c r="O249" s="370">
        <v>0</v>
      </c>
      <c r="P249" s="386">
        <f t="shared" si="90"/>
        <v>11200</v>
      </c>
      <c r="Q249" s="371">
        <v>700</v>
      </c>
      <c r="R249" s="371">
        <v>800</v>
      </c>
      <c r="S249" s="371">
        <v>700</v>
      </c>
      <c r="T249" s="371">
        <v>1000</v>
      </c>
      <c r="U249" s="371">
        <v>600</v>
      </c>
      <c r="V249" s="371">
        <v>700</v>
      </c>
      <c r="W249" s="371">
        <v>1300</v>
      </c>
      <c r="X249" s="371">
        <v>1000</v>
      </c>
      <c r="Y249" s="371">
        <v>600</v>
      </c>
      <c r="Z249" s="371">
        <v>800</v>
      </c>
      <c r="AA249" s="371">
        <v>700</v>
      </c>
      <c r="AB249" s="371">
        <v>300</v>
      </c>
      <c r="AC249" s="371">
        <v>500</v>
      </c>
      <c r="AD249" s="371">
        <v>500</v>
      </c>
      <c r="AE249" s="371">
        <v>1000</v>
      </c>
      <c r="AF249" s="385">
        <f t="shared" si="91"/>
        <v>3200</v>
      </c>
      <c r="AG249" s="371">
        <v>2200</v>
      </c>
      <c r="AH249" s="371">
        <v>1000</v>
      </c>
      <c r="AI249" s="387">
        <f t="shared" si="78"/>
        <v>0</v>
      </c>
    </row>
    <row r="250" spans="1:35" s="393" customFormat="1" ht="24" customHeight="1">
      <c r="A250" s="397" t="s">
        <v>178</v>
      </c>
      <c r="B250" s="394" t="s">
        <v>473</v>
      </c>
      <c r="C250" s="395" t="s">
        <v>400</v>
      </c>
      <c r="D250" s="396">
        <v>4</v>
      </c>
      <c r="E250" s="385">
        <f t="shared" si="88"/>
        <v>13450</v>
      </c>
      <c r="F250" s="368">
        <v>12450</v>
      </c>
      <c r="G250" s="368">
        <v>1000</v>
      </c>
      <c r="H250" s="385">
        <f t="shared" si="89"/>
        <v>3000</v>
      </c>
      <c r="I250" s="371">
        <v>0</v>
      </c>
      <c r="J250" s="371">
        <v>0</v>
      </c>
      <c r="K250" s="371">
        <v>1000</v>
      </c>
      <c r="L250" s="371">
        <v>0</v>
      </c>
      <c r="M250" s="371">
        <v>0</v>
      </c>
      <c r="N250" s="371">
        <v>1500</v>
      </c>
      <c r="O250" s="370">
        <v>500</v>
      </c>
      <c r="P250" s="386">
        <f t="shared" si="90"/>
        <v>8550</v>
      </c>
      <c r="Q250" s="371">
        <v>0</v>
      </c>
      <c r="R250" s="371">
        <v>500</v>
      </c>
      <c r="S250" s="371">
        <v>550</v>
      </c>
      <c r="T250" s="371">
        <v>0</v>
      </c>
      <c r="U250" s="371">
        <v>0</v>
      </c>
      <c r="V250" s="371">
        <v>1200</v>
      </c>
      <c r="W250" s="371">
        <v>0</v>
      </c>
      <c r="X250" s="371">
        <v>2000</v>
      </c>
      <c r="Y250" s="371">
        <v>700</v>
      </c>
      <c r="Z250" s="371">
        <v>0</v>
      </c>
      <c r="AA250" s="371">
        <v>2300</v>
      </c>
      <c r="AB250" s="371">
        <v>800</v>
      </c>
      <c r="AC250" s="371">
        <v>0</v>
      </c>
      <c r="AD250" s="371">
        <v>0</v>
      </c>
      <c r="AE250" s="371">
        <v>500</v>
      </c>
      <c r="AF250" s="385">
        <f t="shared" si="91"/>
        <v>1900</v>
      </c>
      <c r="AG250" s="371">
        <v>0</v>
      </c>
      <c r="AH250" s="371">
        <v>1900</v>
      </c>
      <c r="AI250" s="387">
        <f t="shared" si="78"/>
        <v>0</v>
      </c>
    </row>
    <row r="251" spans="1:35" s="393" customFormat="1" ht="24" customHeight="1">
      <c r="A251" s="397" t="s">
        <v>178</v>
      </c>
      <c r="B251" s="394" t="s">
        <v>473</v>
      </c>
      <c r="C251" s="395" t="s">
        <v>401</v>
      </c>
      <c r="D251" s="396">
        <v>4</v>
      </c>
      <c r="E251" s="385">
        <f t="shared" si="88"/>
        <v>18300</v>
      </c>
      <c r="F251" s="368">
        <v>17800</v>
      </c>
      <c r="G251" s="368">
        <v>500</v>
      </c>
      <c r="H251" s="385">
        <f t="shared" si="89"/>
        <v>8500</v>
      </c>
      <c r="I251" s="371">
        <v>1400</v>
      </c>
      <c r="J251" s="371">
        <v>0</v>
      </c>
      <c r="K251" s="371">
        <v>0</v>
      </c>
      <c r="L251" s="371">
        <v>1600</v>
      </c>
      <c r="M251" s="371">
        <v>4600</v>
      </c>
      <c r="N251" s="371">
        <v>900</v>
      </c>
      <c r="O251" s="370">
        <v>0</v>
      </c>
      <c r="P251" s="386">
        <f t="shared" si="90"/>
        <v>9800</v>
      </c>
      <c r="Q251" s="371">
        <v>2350</v>
      </c>
      <c r="R251" s="371">
        <v>0</v>
      </c>
      <c r="S251" s="371">
        <v>0</v>
      </c>
      <c r="T251" s="371">
        <v>1400</v>
      </c>
      <c r="U251" s="371">
        <v>0</v>
      </c>
      <c r="V251" s="371">
        <v>2350</v>
      </c>
      <c r="W251" s="371">
        <v>900</v>
      </c>
      <c r="X251" s="371">
        <v>0</v>
      </c>
      <c r="Y251" s="371">
        <v>800</v>
      </c>
      <c r="Z251" s="371">
        <v>0</v>
      </c>
      <c r="AA251" s="371">
        <v>0</v>
      </c>
      <c r="AB251" s="371">
        <v>0</v>
      </c>
      <c r="AC251" s="371">
        <v>1900</v>
      </c>
      <c r="AD251" s="371">
        <v>0</v>
      </c>
      <c r="AE251" s="371">
        <v>100</v>
      </c>
      <c r="AF251" s="385">
        <f t="shared" si="91"/>
        <v>0</v>
      </c>
      <c r="AG251" s="371">
        <v>0</v>
      </c>
      <c r="AH251" s="371">
        <v>0</v>
      </c>
      <c r="AI251" s="387">
        <f t="shared" si="78"/>
        <v>0</v>
      </c>
    </row>
    <row r="252" spans="1:35" s="393" customFormat="1" ht="24" customHeight="1">
      <c r="A252" s="397" t="s">
        <v>178</v>
      </c>
      <c r="B252" s="394" t="s">
        <v>473</v>
      </c>
      <c r="C252" s="395" t="s">
        <v>537</v>
      </c>
      <c r="D252" s="396">
        <v>4</v>
      </c>
      <c r="E252" s="385">
        <f t="shared" si="88"/>
        <v>7195</v>
      </c>
      <c r="F252" s="368">
        <v>7195</v>
      </c>
      <c r="G252" s="368"/>
      <c r="H252" s="385">
        <f t="shared" si="89"/>
        <v>2500</v>
      </c>
      <c r="I252" s="371">
        <v>200</v>
      </c>
      <c r="J252" s="371">
        <v>0</v>
      </c>
      <c r="K252" s="371">
        <v>200</v>
      </c>
      <c r="L252" s="371">
        <v>200</v>
      </c>
      <c r="M252" s="371">
        <v>200</v>
      </c>
      <c r="N252" s="371">
        <v>200</v>
      </c>
      <c r="O252" s="370">
        <v>1500</v>
      </c>
      <c r="P252" s="386">
        <f t="shared" si="90"/>
        <v>4695</v>
      </c>
      <c r="Q252" s="371">
        <v>200</v>
      </c>
      <c r="R252" s="371">
        <v>200</v>
      </c>
      <c r="S252" s="371">
        <v>200</v>
      </c>
      <c r="T252" s="371">
        <v>200</v>
      </c>
      <c r="U252" s="371">
        <v>200</v>
      </c>
      <c r="V252" s="371">
        <v>200</v>
      </c>
      <c r="W252" s="371">
        <v>200</v>
      </c>
      <c r="X252" s="371">
        <v>200</v>
      </c>
      <c r="Y252" s="371">
        <v>200</v>
      </c>
      <c r="Z252" s="371">
        <v>200</v>
      </c>
      <c r="AA252" s="371"/>
      <c r="AB252" s="371">
        <v>200</v>
      </c>
      <c r="AC252" s="371">
        <v>200</v>
      </c>
      <c r="AD252" s="371">
        <v>200</v>
      </c>
      <c r="AE252" s="371">
        <v>2095</v>
      </c>
      <c r="AF252" s="385">
        <f t="shared" si="91"/>
        <v>0</v>
      </c>
      <c r="AG252" s="371"/>
      <c r="AH252" s="371"/>
      <c r="AI252" s="387">
        <f t="shared" si="78"/>
        <v>0</v>
      </c>
    </row>
    <row r="253" spans="1:35" s="393" customFormat="1" ht="24" customHeight="1">
      <c r="A253" s="397" t="s">
        <v>178</v>
      </c>
      <c r="B253" s="394" t="s">
        <v>473</v>
      </c>
      <c r="C253" s="395" t="s">
        <v>540</v>
      </c>
      <c r="D253" s="396">
        <v>4</v>
      </c>
      <c r="E253" s="385">
        <f t="shared" si="88"/>
        <v>7000</v>
      </c>
      <c r="F253" s="368"/>
      <c r="G253" s="368">
        <v>7000</v>
      </c>
      <c r="H253" s="385">
        <f t="shared" si="89"/>
        <v>0</v>
      </c>
      <c r="I253" s="371"/>
      <c r="J253" s="371"/>
      <c r="K253" s="371"/>
      <c r="L253" s="371"/>
      <c r="M253" s="371"/>
      <c r="N253" s="371"/>
      <c r="O253" s="370"/>
      <c r="P253" s="386">
        <f t="shared" si="90"/>
        <v>0</v>
      </c>
      <c r="Q253" s="371"/>
      <c r="R253" s="371"/>
      <c r="S253" s="371"/>
      <c r="T253" s="371"/>
      <c r="U253" s="371"/>
      <c r="V253" s="371"/>
      <c r="W253" s="371"/>
      <c r="X253" s="371"/>
      <c r="Y253" s="371"/>
      <c r="Z253" s="371"/>
      <c r="AA253" s="371"/>
      <c r="AB253" s="371"/>
      <c r="AC253" s="371"/>
      <c r="AD253" s="371"/>
      <c r="AE253" s="371"/>
      <c r="AF253" s="385">
        <f t="shared" si="91"/>
        <v>7000</v>
      </c>
      <c r="AG253" s="371">
        <v>7000</v>
      </c>
      <c r="AH253" s="371"/>
      <c r="AI253" s="387">
        <f t="shared" si="78"/>
        <v>0</v>
      </c>
    </row>
    <row r="254" spans="1:35" s="393" customFormat="1" ht="24" customHeight="1">
      <c r="A254" s="397" t="s">
        <v>178</v>
      </c>
      <c r="B254" s="394" t="s">
        <v>473</v>
      </c>
      <c r="C254" s="395" t="s">
        <v>541</v>
      </c>
      <c r="D254" s="396">
        <v>4</v>
      </c>
      <c r="E254" s="385">
        <f t="shared" si="88"/>
        <v>5800</v>
      </c>
      <c r="F254" s="368">
        <v>5800</v>
      </c>
      <c r="G254" s="368"/>
      <c r="H254" s="385">
        <f t="shared" si="89"/>
        <v>2000</v>
      </c>
      <c r="I254" s="371">
        <v>600</v>
      </c>
      <c r="J254" s="371">
        <v>0</v>
      </c>
      <c r="K254" s="371">
        <v>400</v>
      </c>
      <c r="L254" s="371">
        <v>400</v>
      </c>
      <c r="M254" s="371">
        <v>300</v>
      </c>
      <c r="N254" s="371">
        <v>300</v>
      </c>
      <c r="O254" s="370"/>
      <c r="P254" s="386">
        <f t="shared" si="90"/>
        <v>3000</v>
      </c>
      <c r="Q254" s="371"/>
      <c r="R254" s="371">
        <v>750</v>
      </c>
      <c r="S254" s="371">
        <v>750</v>
      </c>
      <c r="T254" s="371"/>
      <c r="U254" s="371">
        <v>500</v>
      </c>
      <c r="V254" s="371"/>
      <c r="W254" s="371">
        <v>500</v>
      </c>
      <c r="X254" s="371">
        <v>500</v>
      </c>
      <c r="Y254" s="371"/>
      <c r="Z254" s="371"/>
      <c r="AA254" s="371"/>
      <c r="AB254" s="371"/>
      <c r="AC254" s="371"/>
      <c r="AD254" s="371"/>
      <c r="AE254" s="371"/>
      <c r="AF254" s="385">
        <f t="shared" si="91"/>
        <v>800</v>
      </c>
      <c r="AG254" s="371">
        <v>800</v>
      </c>
      <c r="AH254" s="371"/>
      <c r="AI254" s="387">
        <f t="shared" si="78"/>
        <v>0</v>
      </c>
    </row>
    <row r="255" spans="1:35" s="393" customFormat="1" ht="24" customHeight="1">
      <c r="A255" s="397" t="s">
        <v>178</v>
      </c>
      <c r="B255" s="394" t="s">
        <v>473</v>
      </c>
      <c r="C255" s="395" t="s">
        <v>968</v>
      </c>
      <c r="D255" s="396">
        <v>4</v>
      </c>
      <c r="E255" s="385">
        <f t="shared" si="88"/>
        <v>10200</v>
      </c>
      <c r="F255" s="368">
        <v>10200</v>
      </c>
      <c r="G255" s="368"/>
      <c r="H255" s="385">
        <f t="shared" si="89"/>
        <v>3000</v>
      </c>
      <c r="I255" s="371">
        <v>500</v>
      </c>
      <c r="J255" s="371">
        <v>0</v>
      </c>
      <c r="K255" s="371"/>
      <c r="L255" s="371">
        <v>500</v>
      </c>
      <c r="M255" s="371">
        <v>500</v>
      </c>
      <c r="N255" s="371">
        <v>0</v>
      </c>
      <c r="O255" s="370">
        <v>1500</v>
      </c>
      <c r="P255" s="386">
        <f t="shared" si="90"/>
        <v>7200</v>
      </c>
      <c r="Q255" s="371">
        <v>500</v>
      </c>
      <c r="R255" s="371">
        <v>500</v>
      </c>
      <c r="S255" s="371">
        <v>500</v>
      </c>
      <c r="T255" s="371">
        <v>0</v>
      </c>
      <c r="U255" s="371">
        <v>500</v>
      </c>
      <c r="V255" s="371">
        <v>0</v>
      </c>
      <c r="W255" s="371">
        <v>500</v>
      </c>
      <c r="X255" s="371">
        <v>500</v>
      </c>
      <c r="Y255" s="371">
        <v>500</v>
      </c>
      <c r="Z255" s="371">
        <v>0</v>
      </c>
      <c r="AA255" s="371">
        <v>0</v>
      </c>
      <c r="AB255" s="371">
        <v>0</v>
      </c>
      <c r="AC255" s="371">
        <v>0</v>
      </c>
      <c r="AD255" s="371">
        <v>0</v>
      </c>
      <c r="AE255" s="371">
        <v>3700</v>
      </c>
      <c r="AF255" s="385">
        <f t="shared" si="91"/>
        <v>0</v>
      </c>
      <c r="AG255" s="371"/>
      <c r="AH255" s="371"/>
      <c r="AI255" s="387">
        <f t="shared" si="78"/>
        <v>0</v>
      </c>
    </row>
    <row r="256" spans="1:35" s="393" customFormat="1" ht="24" customHeight="1">
      <c r="A256" s="397" t="s">
        <v>178</v>
      </c>
      <c r="B256" s="394" t="s">
        <v>473</v>
      </c>
      <c r="C256" s="395" t="s">
        <v>969</v>
      </c>
      <c r="D256" s="396">
        <v>4</v>
      </c>
      <c r="E256" s="385">
        <f t="shared" si="88"/>
        <v>37400</v>
      </c>
      <c r="F256" s="368">
        <v>3442</v>
      </c>
      <c r="G256" s="368">
        <v>33958</v>
      </c>
      <c r="H256" s="385">
        <f t="shared" si="89"/>
        <v>8436</v>
      </c>
      <c r="I256" s="371">
        <v>840</v>
      </c>
      <c r="J256" s="371">
        <v>0</v>
      </c>
      <c r="K256" s="371">
        <v>1330</v>
      </c>
      <c r="L256" s="371">
        <v>1850</v>
      </c>
      <c r="M256" s="371">
        <v>1700</v>
      </c>
      <c r="N256" s="371">
        <v>1550</v>
      </c>
      <c r="O256" s="370">
        <v>1166</v>
      </c>
      <c r="P256" s="386">
        <f t="shared" si="90"/>
        <v>25522</v>
      </c>
      <c r="Q256" s="371">
        <v>1550</v>
      </c>
      <c r="R256" s="371">
        <v>2900</v>
      </c>
      <c r="S256" s="371">
        <v>2900</v>
      </c>
      <c r="T256" s="371">
        <v>2100</v>
      </c>
      <c r="U256" s="371">
        <v>2600</v>
      </c>
      <c r="V256" s="371">
        <v>1900</v>
      </c>
      <c r="W256" s="371">
        <v>220</v>
      </c>
      <c r="X256" s="371">
        <v>1900</v>
      </c>
      <c r="Y256" s="371">
        <v>4800</v>
      </c>
      <c r="Z256" s="371">
        <v>1900</v>
      </c>
      <c r="AA256" s="371">
        <v>290</v>
      </c>
      <c r="AB256" s="371">
        <v>400</v>
      </c>
      <c r="AC256" s="371">
        <v>1000</v>
      </c>
      <c r="AD256" s="371">
        <v>480</v>
      </c>
      <c r="AE256" s="371">
        <v>582</v>
      </c>
      <c r="AF256" s="385">
        <f t="shared" si="91"/>
        <v>3442</v>
      </c>
      <c r="AG256" s="371">
        <v>2400</v>
      </c>
      <c r="AH256" s="371">
        <v>1042</v>
      </c>
      <c r="AI256" s="387">
        <f t="shared" si="78"/>
        <v>0</v>
      </c>
    </row>
    <row r="257" spans="1:35" s="393" customFormat="1" ht="24" customHeight="1">
      <c r="A257" s="397" t="s">
        <v>178</v>
      </c>
      <c r="B257" s="394" t="s">
        <v>473</v>
      </c>
      <c r="C257" s="395" t="s">
        <v>970</v>
      </c>
      <c r="D257" s="396">
        <v>4</v>
      </c>
      <c r="E257" s="385">
        <f t="shared" si="88"/>
        <v>8000</v>
      </c>
      <c r="F257" s="368">
        <v>8000</v>
      </c>
      <c r="G257" s="368"/>
      <c r="H257" s="385">
        <f t="shared" si="89"/>
        <v>2000</v>
      </c>
      <c r="I257" s="371">
        <v>400</v>
      </c>
      <c r="J257" s="371">
        <v>0</v>
      </c>
      <c r="K257" s="371">
        <v>400</v>
      </c>
      <c r="L257" s="371">
        <v>400</v>
      </c>
      <c r="M257" s="371">
        <v>400</v>
      </c>
      <c r="N257" s="371">
        <v>400</v>
      </c>
      <c r="O257" s="370"/>
      <c r="P257" s="386">
        <f t="shared" si="90"/>
        <v>5500</v>
      </c>
      <c r="Q257" s="371">
        <v>400</v>
      </c>
      <c r="R257" s="371">
        <v>400</v>
      </c>
      <c r="S257" s="371">
        <v>400</v>
      </c>
      <c r="T257" s="371">
        <v>400</v>
      </c>
      <c r="U257" s="371">
        <v>400</v>
      </c>
      <c r="V257" s="371">
        <v>400</v>
      </c>
      <c r="W257" s="371">
        <v>400</v>
      </c>
      <c r="X257" s="371">
        <v>400</v>
      </c>
      <c r="Y257" s="371">
        <v>400</v>
      </c>
      <c r="Z257" s="371">
        <v>400</v>
      </c>
      <c r="AA257" s="371">
        <v>400</v>
      </c>
      <c r="AB257" s="371">
        <v>400</v>
      </c>
      <c r="AC257" s="371">
        <v>350</v>
      </c>
      <c r="AD257" s="371">
        <v>350</v>
      </c>
      <c r="AE257" s="371"/>
      <c r="AF257" s="385">
        <f t="shared" si="91"/>
        <v>500</v>
      </c>
      <c r="AG257" s="371">
        <v>400</v>
      </c>
      <c r="AH257" s="371">
        <v>100</v>
      </c>
      <c r="AI257" s="387">
        <f t="shared" si="78"/>
        <v>0</v>
      </c>
    </row>
    <row r="258" spans="1:35" s="393" customFormat="1" ht="24" customHeight="1">
      <c r="A258" s="397" t="s">
        <v>178</v>
      </c>
      <c r="B258" s="394" t="s">
        <v>473</v>
      </c>
      <c r="C258" s="395" t="s">
        <v>402</v>
      </c>
      <c r="D258" s="396">
        <v>4</v>
      </c>
      <c r="E258" s="385">
        <f t="shared" si="88"/>
        <v>29080</v>
      </c>
      <c r="F258" s="368"/>
      <c r="G258" s="368">
        <v>29080</v>
      </c>
      <c r="H258" s="385">
        <f t="shared" si="89"/>
        <v>0</v>
      </c>
      <c r="I258" s="371"/>
      <c r="J258" s="371">
        <v>0</v>
      </c>
      <c r="K258" s="371"/>
      <c r="L258" s="371"/>
      <c r="M258" s="371"/>
      <c r="N258" s="371"/>
      <c r="O258" s="370"/>
      <c r="P258" s="386">
        <f t="shared" si="90"/>
        <v>13080</v>
      </c>
      <c r="Q258" s="371"/>
      <c r="R258" s="371"/>
      <c r="S258" s="371"/>
      <c r="T258" s="371"/>
      <c r="U258" s="371"/>
      <c r="V258" s="371"/>
      <c r="W258" s="371"/>
      <c r="X258" s="371"/>
      <c r="Y258" s="371"/>
      <c r="Z258" s="371">
        <v>3080</v>
      </c>
      <c r="AA258" s="371">
        <v>10000</v>
      </c>
      <c r="AB258" s="371"/>
      <c r="AC258" s="371"/>
      <c r="AD258" s="371"/>
      <c r="AE258" s="371"/>
      <c r="AF258" s="385">
        <f t="shared" si="91"/>
        <v>16000</v>
      </c>
      <c r="AG258" s="371">
        <v>6000</v>
      </c>
      <c r="AH258" s="371">
        <v>10000</v>
      </c>
      <c r="AI258" s="387">
        <f t="shared" si="78"/>
        <v>0</v>
      </c>
    </row>
    <row r="259" spans="1:35" s="410" customFormat="1" ht="22.5" customHeight="1">
      <c r="A259" s="405" t="s">
        <v>997</v>
      </c>
      <c r="B259" s="406"/>
      <c r="C259" s="407"/>
      <c r="D259" s="408"/>
      <c r="E259" s="409">
        <f t="shared" ref="E259:AH259" si="92">SUM(E260:E264)</f>
        <v>72493</v>
      </c>
      <c r="F259" s="409">
        <f t="shared" si="92"/>
        <v>68143</v>
      </c>
      <c r="G259" s="409">
        <f t="shared" si="92"/>
        <v>4350</v>
      </c>
      <c r="H259" s="409">
        <f t="shared" si="92"/>
        <v>21364</v>
      </c>
      <c r="I259" s="409">
        <f t="shared" si="92"/>
        <v>5850</v>
      </c>
      <c r="J259" s="409">
        <f t="shared" si="92"/>
        <v>0</v>
      </c>
      <c r="K259" s="409">
        <f t="shared" si="92"/>
        <v>2030</v>
      </c>
      <c r="L259" s="409">
        <f t="shared" si="92"/>
        <v>2390</v>
      </c>
      <c r="M259" s="409">
        <f t="shared" si="92"/>
        <v>1850</v>
      </c>
      <c r="N259" s="409">
        <f t="shared" si="92"/>
        <v>3436</v>
      </c>
      <c r="O259" s="409">
        <f t="shared" si="92"/>
        <v>5808</v>
      </c>
      <c r="P259" s="409">
        <f t="shared" si="92"/>
        <v>50829</v>
      </c>
      <c r="Q259" s="409">
        <f t="shared" si="92"/>
        <v>1620</v>
      </c>
      <c r="R259" s="409">
        <f t="shared" si="92"/>
        <v>1540</v>
      </c>
      <c r="S259" s="409">
        <f t="shared" si="92"/>
        <v>1600</v>
      </c>
      <c r="T259" s="409">
        <f t="shared" si="92"/>
        <v>2200</v>
      </c>
      <c r="U259" s="409">
        <f t="shared" si="92"/>
        <v>3780</v>
      </c>
      <c r="V259" s="409">
        <f t="shared" si="92"/>
        <v>1600</v>
      </c>
      <c r="W259" s="409">
        <f t="shared" si="92"/>
        <v>3540</v>
      </c>
      <c r="X259" s="409">
        <f t="shared" si="92"/>
        <v>2442</v>
      </c>
      <c r="Y259" s="409">
        <f t="shared" si="92"/>
        <v>2520</v>
      </c>
      <c r="Z259" s="409">
        <f t="shared" si="92"/>
        <v>1970</v>
      </c>
      <c r="AA259" s="409">
        <f t="shared" si="92"/>
        <v>900</v>
      </c>
      <c r="AB259" s="409">
        <f t="shared" si="92"/>
        <v>840</v>
      </c>
      <c r="AC259" s="409">
        <f t="shared" si="92"/>
        <v>500</v>
      </c>
      <c r="AD259" s="409">
        <f t="shared" si="92"/>
        <v>570</v>
      </c>
      <c r="AE259" s="409">
        <f t="shared" si="92"/>
        <v>25207</v>
      </c>
      <c r="AF259" s="409">
        <f t="shared" si="92"/>
        <v>300</v>
      </c>
      <c r="AG259" s="409">
        <f t="shared" si="92"/>
        <v>0</v>
      </c>
      <c r="AH259" s="409">
        <f t="shared" si="92"/>
        <v>300</v>
      </c>
      <c r="AI259" s="387">
        <f t="shared" si="78"/>
        <v>0</v>
      </c>
    </row>
    <row r="260" spans="1:35" s="393" customFormat="1" ht="24" customHeight="1">
      <c r="A260" s="397" t="s">
        <v>178</v>
      </c>
      <c r="B260" s="394" t="s">
        <v>474</v>
      </c>
      <c r="C260" s="395" t="s">
        <v>833</v>
      </c>
      <c r="D260" s="396">
        <v>4</v>
      </c>
      <c r="E260" s="385">
        <f>SUM(H260,P260,AF260)</f>
        <v>14000</v>
      </c>
      <c r="F260" s="368">
        <v>14000</v>
      </c>
      <c r="G260" s="368"/>
      <c r="H260" s="385">
        <f>SUM(I260:O260)</f>
        <v>2500</v>
      </c>
      <c r="I260" s="371">
        <v>2500</v>
      </c>
      <c r="J260" s="371">
        <v>0</v>
      </c>
      <c r="K260" s="371"/>
      <c r="L260" s="371"/>
      <c r="M260" s="371"/>
      <c r="N260" s="371"/>
      <c r="O260" s="370"/>
      <c r="P260" s="386">
        <f>SUM(Q260:AE260)</f>
        <v>11500</v>
      </c>
      <c r="Q260" s="371">
        <v>190</v>
      </c>
      <c r="R260" s="371">
        <v>140</v>
      </c>
      <c r="S260" s="371">
        <v>110</v>
      </c>
      <c r="T260" s="371">
        <v>100</v>
      </c>
      <c r="U260" s="371">
        <v>230</v>
      </c>
      <c r="V260" s="371">
        <v>100</v>
      </c>
      <c r="W260" s="371">
        <v>1570</v>
      </c>
      <c r="X260" s="371">
        <v>150</v>
      </c>
      <c r="Y260" s="371">
        <v>150</v>
      </c>
      <c r="Z260" s="371">
        <v>220</v>
      </c>
      <c r="AA260" s="371">
        <v>100</v>
      </c>
      <c r="AB260" s="371">
        <v>140</v>
      </c>
      <c r="AC260" s="371">
        <v>100</v>
      </c>
      <c r="AD260" s="371">
        <v>100</v>
      </c>
      <c r="AE260" s="371">
        <v>8100</v>
      </c>
      <c r="AF260" s="385">
        <f>SUM(AG260:AH260)</f>
        <v>0</v>
      </c>
      <c r="AG260" s="371"/>
      <c r="AH260" s="371"/>
      <c r="AI260" s="387">
        <f t="shared" si="78"/>
        <v>0</v>
      </c>
    </row>
    <row r="261" spans="1:35" s="393" customFormat="1" ht="24" customHeight="1">
      <c r="A261" s="397" t="s">
        <v>178</v>
      </c>
      <c r="B261" s="394" t="s">
        <v>474</v>
      </c>
      <c r="C261" s="395" t="s">
        <v>404</v>
      </c>
      <c r="D261" s="396">
        <v>4</v>
      </c>
      <c r="E261" s="385">
        <f>SUM(H261,P261,AF261)</f>
        <v>9400</v>
      </c>
      <c r="F261" s="368">
        <v>9400</v>
      </c>
      <c r="G261" s="368"/>
      <c r="H261" s="385">
        <f>SUM(I261:O261)</f>
        <v>3100</v>
      </c>
      <c r="I261" s="371"/>
      <c r="J261" s="371">
        <v>0</v>
      </c>
      <c r="K261" s="371"/>
      <c r="L261" s="371"/>
      <c r="M261" s="371"/>
      <c r="N261" s="371"/>
      <c r="O261" s="370">
        <v>3100</v>
      </c>
      <c r="P261" s="386">
        <f>SUM(Q261:AE261)</f>
        <v>6300</v>
      </c>
      <c r="Q261" s="371"/>
      <c r="R261" s="371"/>
      <c r="S261" s="371"/>
      <c r="T261" s="371"/>
      <c r="U261" s="371"/>
      <c r="V261" s="371"/>
      <c r="W261" s="371"/>
      <c r="X261" s="371"/>
      <c r="Y261" s="371"/>
      <c r="Z261" s="371"/>
      <c r="AA261" s="371"/>
      <c r="AB261" s="371"/>
      <c r="AC261" s="371"/>
      <c r="AD261" s="371"/>
      <c r="AE261" s="371">
        <v>6300</v>
      </c>
      <c r="AF261" s="385">
        <f>SUM(AG261:AH261)</f>
        <v>0</v>
      </c>
      <c r="AG261" s="371"/>
      <c r="AH261" s="371"/>
      <c r="AI261" s="387">
        <f t="shared" ref="AI261:AI324" si="93">IF(+F261+G261=E261,0,FALSE)</f>
        <v>0</v>
      </c>
    </row>
    <row r="262" spans="1:35" s="393" customFormat="1" ht="24" customHeight="1">
      <c r="A262" s="397" t="s">
        <v>178</v>
      </c>
      <c r="B262" s="394" t="s">
        <v>474</v>
      </c>
      <c r="C262" s="395" t="s">
        <v>405</v>
      </c>
      <c r="D262" s="396">
        <v>4</v>
      </c>
      <c r="E262" s="385">
        <f>SUM(H262,P262,AF262)</f>
        <v>10300</v>
      </c>
      <c r="F262" s="368">
        <v>10300</v>
      </c>
      <c r="G262" s="368"/>
      <c r="H262" s="385">
        <f>SUM(I262:O262)</f>
        <v>2200</v>
      </c>
      <c r="I262" s="371">
        <v>400</v>
      </c>
      <c r="J262" s="371">
        <v>0</v>
      </c>
      <c r="K262" s="371">
        <v>400</v>
      </c>
      <c r="L262" s="371">
        <v>400</v>
      </c>
      <c r="M262" s="371">
        <v>396</v>
      </c>
      <c r="N262" s="371">
        <v>396</v>
      </c>
      <c r="O262" s="370">
        <v>208</v>
      </c>
      <c r="P262" s="386">
        <f>SUM(Q262:AE262)</f>
        <v>7800</v>
      </c>
      <c r="Q262" s="371">
        <v>600</v>
      </c>
      <c r="R262" s="371">
        <v>400</v>
      </c>
      <c r="S262" s="371">
        <v>400</v>
      </c>
      <c r="T262" s="371">
        <v>800</v>
      </c>
      <c r="U262" s="371">
        <v>400</v>
      </c>
      <c r="V262" s="371">
        <v>800</v>
      </c>
      <c r="W262" s="371">
        <v>400</v>
      </c>
      <c r="X262" s="371">
        <v>400</v>
      </c>
      <c r="Y262" s="371">
        <v>400</v>
      </c>
      <c r="Z262" s="371"/>
      <c r="AA262" s="371">
        <v>800</v>
      </c>
      <c r="AB262" s="371">
        <v>400</v>
      </c>
      <c r="AC262" s="371">
        <v>400</v>
      </c>
      <c r="AD262" s="371">
        <v>400</v>
      </c>
      <c r="AE262" s="371">
        <v>1200</v>
      </c>
      <c r="AF262" s="385">
        <f>SUM(AG262:AH262)</f>
        <v>300</v>
      </c>
      <c r="AG262" s="371"/>
      <c r="AH262" s="371">
        <v>300</v>
      </c>
      <c r="AI262" s="387">
        <f t="shared" si="93"/>
        <v>0</v>
      </c>
    </row>
    <row r="263" spans="1:35" s="393" customFormat="1" ht="24" customHeight="1">
      <c r="A263" s="397" t="s">
        <v>178</v>
      </c>
      <c r="B263" s="394" t="s">
        <v>474</v>
      </c>
      <c r="C263" s="395" t="s">
        <v>403</v>
      </c>
      <c r="D263" s="396">
        <v>4</v>
      </c>
      <c r="E263" s="385">
        <f>SUM(H263,P263,AF263)</f>
        <v>9443</v>
      </c>
      <c r="F263" s="368">
        <v>9443</v>
      </c>
      <c r="G263" s="368"/>
      <c r="H263" s="385">
        <f>SUM(I263:O263)</f>
        <v>6164</v>
      </c>
      <c r="I263" s="371">
        <v>1150</v>
      </c>
      <c r="J263" s="371">
        <v>0</v>
      </c>
      <c r="K263" s="371">
        <v>1130</v>
      </c>
      <c r="L263" s="371">
        <v>1390</v>
      </c>
      <c r="M263" s="371">
        <v>1154</v>
      </c>
      <c r="N263" s="371">
        <v>1340</v>
      </c>
      <c r="O263" s="370">
        <v>0</v>
      </c>
      <c r="P263" s="386">
        <f>SUM(Q263:AE263)</f>
        <v>3279</v>
      </c>
      <c r="Q263" s="371">
        <v>30</v>
      </c>
      <c r="R263" s="371">
        <v>100</v>
      </c>
      <c r="S263" s="371">
        <v>90</v>
      </c>
      <c r="T263" s="371"/>
      <c r="U263" s="371">
        <v>550</v>
      </c>
      <c r="V263" s="371"/>
      <c r="W263" s="371">
        <v>70</v>
      </c>
      <c r="X263" s="371">
        <v>92</v>
      </c>
      <c r="Y263" s="371">
        <v>70</v>
      </c>
      <c r="Z263" s="371">
        <v>100</v>
      </c>
      <c r="AA263" s="371"/>
      <c r="AB263" s="371"/>
      <c r="AC263" s="371"/>
      <c r="AD263" s="371">
        <v>70</v>
      </c>
      <c r="AE263" s="371">
        <v>2107</v>
      </c>
      <c r="AF263" s="385">
        <f>SUM(AG263:AH263)</f>
        <v>0</v>
      </c>
      <c r="AG263" s="371"/>
      <c r="AH263" s="371"/>
      <c r="AI263" s="387">
        <f t="shared" si="93"/>
        <v>0</v>
      </c>
    </row>
    <row r="264" spans="1:35" s="393" customFormat="1" ht="24" customHeight="1">
      <c r="A264" s="397" t="s">
        <v>178</v>
      </c>
      <c r="B264" s="394" t="s">
        <v>474</v>
      </c>
      <c r="C264" s="395" t="s">
        <v>834</v>
      </c>
      <c r="D264" s="396">
        <v>4</v>
      </c>
      <c r="E264" s="385">
        <f>SUM(H264,P264,AF264)</f>
        <v>29350</v>
      </c>
      <c r="F264" s="368">
        <v>25000</v>
      </c>
      <c r="G264" s="368">
        <v>4350</v>
      </c>
      <c r="H264" s="385">
        <f>SUM(I264:O264)</f>
        <v>7400</v>
      </c>
      <c r="I264" s="371">
        <v>1800</v>
      </c>
      <c r="J264" s="371">
        <v>0</v>
      </c>
      <c r="K264" s="371">
        <v>500</v>
      </c>
      <c r="L264" s="371">
        <v>600</v>
      </c>
      <c r="M264" s="371">
        <v>300</v>
      </c>
      <c r="N264" s="371">
        <v>1700</v>
      </c>
      <c r="O264" s="370">
        <v>2500</v>
      </c>
      <c r="P264" s="386">
        <f>SUM(Q264:AE264)</f>
        <v>21950</v>
      </c>
      <c r="Q264" s="371">
        <v>800</v>
      </c>
      <c r="R264" s="371">
        <v>900</v>
      </c>
      <c r="S264" s="371">
        <v>1000</v>
      </c>
      <c r="T264" s="371">
        <v>1300</v>
      </c>
      <c r="U264" s="371">
        <v>2600</v>
      </c>
      <c r="V264" s="371">
        <v>700</v>
      </c>
      <c r="W264" s="371">
        <v>1500</v>
      </c>
      <c r="X264" s="371">
        <v>1800</v>
      </c>
      <c r="Y264" s="371">
        <v>1900</v>
      </c>
      <c r="Z264" s="371">
        <v>1650</v>
      </c>
      <c r="AA264" s="371">
        <v>0</v>
      </c>
      <c r="AB264" s="371">
        <v>300</v>
      </c>
      <c r="AC264" s="371">
        <v>0</v>
      </c>
      <c r="AD264" s="371">
        <v>0</v>
      </c>
      <c r="AE264" s="371">
        <v>7500</v>
      </c>
      <c r="AF264" s="385">
        <f>SUM(AG264:AH264)</f>
        <v>0</v>
      </c>
      <c r="AG264" s="371"/>
      <c r="AH264" s="371"/>
      <c r="AI264" s="387">
        <f t="shared" si="93"/>
        <v>0</v>
      </c>
    </row>
    <row r="265" spans="1:35" s="410" customFormat="1" ht="22.5" customHeight="1">
      <c r="A265" s="405" t="s">
        <v>1107</v>
      </c>
      <c r="B265" s="406"/>
      <c r="C265" s="407"/>
      <c r="D265" s="408"/>
      <c r="E265" s="409">
        <f t="shared" ref="E265:AH265" si="94">SUM(E266:E281)</f>
        <v>628845</v>
      </c>
      <c r="F265" s="409">
        <f t="shared" si="94"/>
        <v>61845</v>
      </c>
      <c r="G265" s="409">
        <f t="shared" si="94"/>
        <v>567000</v>
      </c>
      <c r="H265" s="409">
        <f t="shared" si="94"/>
        <v>128556</v>
      </c>
      <c r="I265" s="409">
        <f t="shared" si="94"/>
        <v>9000</v>
      </c>
      <c r="J265" s="409">
        <f t="shared" si="94"/>
        <v>20000</v>
      </c>
      <c r="K265" s="409">
        <f t="shared" si="94"/>
        <v>8010</v>
      </c>
      <c r="L265" s="409">
        <f t="shared" si="94"/>
        <v>3074</v>
      </c>
      <c r="M265" s="409">
        <f t="shared" si="94"/>
        <v>19811</v>
      </c>
      <c r="N265" s="409">
        <f t="shared" si="94"/>
        <v>61518</v>
      </c>
      <c r="O265" s="409">
        <f t="shared" si="94"/>
        <v>7143</v>
      </c>
      <c r="P265" s="409">
        <f t="shared" si="94"/>
        <v>489659</v>
      </c>
      <c r="Q265" s="409">
        <f t="shared" si="94"/>
        <v>16468</v>
      </c>
      <c r="R265" s="409">
        <f t="shared" si="94"/>
        <v>3000</v>
      </c>
      <c r="S265" s="409">
        <f t="shared" si="94"/>
        <v>14000</v>
      </c>
      <c r="T265" s="409">
        <f t="shared" si="94"/>
        <v>234798</v>
      </c>
      <c r="U265" s="409">
        <f t="shared" si="94"/>
        <v>0</v>
      </c>
      <c r="V265" s="409">
        <f t="shared" si="94"/>
        <v>26805</v>
      </c>
      <c r="W265" s="409">
        <f t="shared" si="94"/>
        <v>25214</v>
      </c>
      <c r="X265" s="409">
        <f t="shared" si="94"/>
        <v>67067</v>
      </c>
      <c r="Y265" s="409">
        <f t="shared" si="94"/>
        <v>20010</v>
      </c>
      <c r="Z265" s="409">
        <f t="shared" si="94"/>
        <v>17710</v>
      </c>
      <c r="AA265" s="409">
        <f t="shared" si="94"/>
        <v>11710</v>
      </c>
      <c r="AB265" s="409">
        <f t="shared" si="94"/>
        <v>10200</v>
      </c>
      <c r="AC265" s="409">
        <f t="shared" si="94"/>
        <v>8000</v>
      </c>
      <c r="AD265" s="409">
        <f t="shared" si="94"/>
        <v>0</v>
      </c>
      <c r="AE265" s="409">
        <f t="shared" si="94"/>
        <v>34677</v>
      </c>
      <c r="AF265" s="409">
        <f t="shared" si="94"/>
        <v>10630</v>
      </c>
      <c r="AG265" s="409">
        <f t="shared" si="94"/>
        <v>3755</v>
      </c>
      <c r="AH265" s="409">
        <f t="shared" si="94"/>
        <v>6875</v>
      </c>
      <c r="AI265" s="387">
        <f t="shared" si="93"/>
        <v>0</v>
      </c>
    </row>
    <row r="266" spans="1:35" s="393" customFormat="1" ht="24" customHeight="1">
      <c r="A266" s="397" t="s">
        <v>178</v>
      </c>
      <c r="B266" s="394" t="s">
        <v>1108</v>
      </c>
      <c r="C266" s="395" t="s">
        <v>971</v>
      </c>
      <c r="D266" s="396">
        <v>4</v>
      </c>
      <c r="E266" s="385">
        <f t="shared" ref="E266:E281" si="95">SUM(H266,P266,AF266)</f>
        <v>3000</v>
      </c>
      <c r="F266" s="368">
        <v>3000</v>
      </c>
      <c r="G266" s="368"/>
      <c r="H266" s="385">
        <f t="shared" ref="H266:H281" si="96">SUM(I266:O266)</f>
        <v>1000</v>
      </c>
      <c r="I266" s="371"/>
      <c r="J266" s="371">
        <v>0</v>
      </c>
      <c r="K266" s="371"/>
      <c r="L266" s="371"/>
      <c r="M266" s="371"/>
      <c r="N266" s="371"/>
      <c r="O266" s="370">
        <v>1000</v>
      </c>
      <c r="P266" s="386">
        <f t="shared" ref="P266:P281" si="97">SUM(Q266:AE266)</f>
        <v>2000</v>
      </c>
      <c r="Q266" s="371"/>
      <c r="R266" s="371"/>
      <c r="S266" s="371"/>
      <c r="T266" s="371"/>
      <c r="U266" s="371"/>
      <c r="V266" s="371"/>
      <c r="W266" s="371"/>
      <c r="X266" s="371"/>
      <c r="Y266" s="371"/>
      <c r="Z266" s="371"/>
      <c r="AA266" s="371"/>
      <c r="AB266" s="371"/>
      <c r="AC266" s="371"/>
      <c r="AD266" s="371"/>
      <c r="AE266" s="371">
        <v>2000</v>
      </c>
      <c r="AF266" s="385">
        <f t="shared" ref="AF266:AF281" si="98">SUM(AG266:AH266)</f>
        <v>0</v>
      </c>
      <c r="AG266" s="371"/>
      <c r="AH266" s="371"/>
      <c r="AI266" s="387">
        <f t="shared" si="93"/>
        <v>0</v>
      </c>
    </row>
    <row r="267" spans="1:35" s="393" customFormat="1" ht="24" customHeight="1">
      <c r="A267" s="397" t="s">
        <v>178</v>
      </c>
      <c r="B267" s="394" t="s">
        <v>407</v>
      </c>
      <c r="C267" s="395" t="s">
        <v>408</v>
      </c>
      <c r="D267" s="396">
        <v>4</v>
      </c>
      <c r="E267" s="385">
        <f t="shared" si="95"/>
        <v>8000</v>
      </c>
      <c r="F267" s="368">
        <v>8000</v>
      </c>
      <c r="G267" s="368"/>
      <c r="H267" s="385">
        <f t="shared" si="96"/>
        <v>3000</v>
      </c>
      <c r="I267" s="371"/>
      <c r="J267" s="371">
        <v>0</v>
      </c>
      <c r="K267" s="371"/>
      <c r="L267" s="371"/>
      <c r="M267" s="371"/>
      <c r="N267" s="371"/>
      <c r="O267" s="370">
        <v>3000</v>
      </c>
      <c r="P267" s="386">
        <f t="shared" si="97"/>
        <v>5000</v>
      </c>
      <c r="Q267" s="371">
        <v>200</v>
      </c>
      <c r="R267" s="371"/>
      <c r="S267" s="371"/>
      <c r="T267" s="371"/>
      <c r="U267" s="371"/>
      <c r="V267" s="371"/>
      <c r="W267" s="371"/>
      <c r="X267" s="371">
        <v>200</v>
      </c>
      <c r="Y267" s="371"/>
      <c r="Z267" s="371"/>
      <c r="AA267" s="371"/>
      <c r="AB267" s="371">
        <v>200</v>
      </c>
      <c r="AC267" s="371"/>
      <c r="AD267" s="371"/>
      <c r="AE267" s="371">
        <v>4400</v>
      </c>
      <c r="AF267" s="385">
        <f t="shared" si="98"/>
        <v>0</v>
      </c>
      <c r="AG267" s="371"/>
      <c r="AH267" s="371"/>
      <c r="AI267" s="387">
        <f t="shared" si="93"/>
        <v>0</v>
      </c>
    </row>
    <row r="268" spans="1:35" s="393" customFormat="1" ht="24" customHeight="1">
      <c r="A268" s="397" t="s">
        <v>178</v>
      </c>
      <c r="B268" s="394" t="s">
        <v>407</v>
      </c>
      <c r="C268" s="395" t="s">
        <v>409</v>
      </c>
      <c r="D268" s="396">
        <v>4</v>
      </c>
      <c r="E268" s="385">
        <f t="shared" si="95"/>
        <v>291</v>
      </c>
      <c r="F268" s="368">
        <v>291</v>
      </c>
      <c r="G268" s="368"/>
      <c r="H268" s="385">
        <f t="shared" si="96"/>
        <v>18</v>
      </c>
      <c r="I268" s="371"/>
      <c r="J268" s="371" t="s">
        <v>145</v>
      </c>
      <c r="K268" s="371"/>
      <c r="L268" s="371"/>
      <c r="M268" s="371">
        <v>18</v>
      </c>
      <c r="N268" s="371"/>
      <c r="O268" s="370"/>
      <c r="P268" s="386">
        <f t="shared" si="97"/>
        <v>273</v>
      </c>
      <c r="Q268" s="371"/>
      <c r="R268" s="371"/>
      <c r="S268" s="371"/>
      <c r="T268" s="371"/>
      <c r="U268" s="371"/>
      <c r="V268" s="371">
        <v>27</v>
      </c>
      <c r="W268" s="371">
        <v>36</v>
      </c>
      <c r="X268" s="371"/>
      <c r="Y268" s="371"/>
      <c r="Z268" s="371"/>
      <c r="AA268" s="371">
        <v>210</v>
      </c>
      <c r="AB268" s="371"/>
      <c r="AC268" s="371"/>
      <c r="AD268" s="371"/>
      <c r="AE268" s="371"/>
      <c r="AF268" s="385">
        <f t="shared" si="98"/>
        <v>0</v>
      </c>
      <c r="AG268" s="371"/>
      <c r="AH268" s="371"/>
      <c r="AI268" s="387">
        <f t="shared" si="93"/>
        <v>0</v>
      </c>
    </row>
    <row r="269" spans="1:35" s="393" customFormat="1" ht="24" customHeight="1">
      <c r="A269" s="397" t="s">
        <v>178</v>
      </c>
      <c r="B269" s="394" t="s">
        <v>407</v>
      </c>
      <c r="C269" s="395" t="s">
        <v>410</v>
      </c>
      <c r="D269" s="396">
        <v>4</v>
      </c>
      <c r="E269" s="385">
        <f t="shared" si="95"/>
        <v>1054</v>
      </c>
      <c r="F269" s="368">
        <v>1054</v>
      </c>
      <c r="G269" s="368"/>
      <c r="H269" s="385">
        <f t="shared" si="96"/>
        <v>645</v>
      </c>
      <c r="I269" s="371"/>
      <c r="J269" s="371" t="s">
        <v>145</v>
      </c>
      <c r="K269" s="371">
        <v>10</v>
      </c>
      <c r="L269" s="371">
        <v>74</v>
      </c>
      <c r="M269" s="371">
        <v>273</v>
      </c>
      <c r="N269" s="371">
        <v>288</v>
      </c>
      <c r="O269" s="370"/>
      <c r="P269" s="386">
        <f t="shared" si="97"/>
        <v>409</v>
      </c>
      <c r="Q269" s="371">
        <v>18</v>
      </c>
      <c r="R269" s="371"/>
      <c r="S269" s="371"/>
      <c r="T269" s="371">
        <v>48</v>
      </c>
      <c r="U269" s="371"/>
      <c r="V269" s="371">
        <v>28</v>
      </c>
      <c r="W269" s="371">
        <v>28</v>
      </c>
      <c r="X269" s="371">
        <v>267</v>
      </c>
      <c r="Y269" s="371">
        <v>10</v>
      </c>
      <c r="Z269" s="371">
        <v>10</v>
      </c>
      <c r="AA269" s="371"/>
      <c r="AB269" s="371"/>
      <c r="AC269" s="371"/>
      <c r="AD269" s="371"/>
      <c r="AE269" s="371"/>
      <c r="AF269" s="385">
        <f t="shared" si="98"/>
        <v>0</v>
      </c>
      <c r="AG269" s="371"/>
      <c r="AH269" s="371"/>
      <c r="AI269" s="387">
        <f t="shared" si="93"/>
        <v>0</v>
      </c>
    </row>
    <row r="270" spans="1:35" s="393" customFormat="1" ht="24" customHeight="1">
      <c r="A270" s="397" t="s">
        <v>178</v>
      </c>
      <c r="B270" s="394" t="s">
        <v>407</v>
      </c>
      <c r="C270" s="395" t="s">
        <v>972</v>
      </c>
      <c r="D270" s="396">
        <v>4</v>
      </c>
      <c r="E270" s="385">
        <f t="shared" si="95"/>
        <v>9000</v>
      </c>
      <c r="F270" s="368">
        <v>9000</v>
      </c>
      <c r="G270" s="368"/>
      <c r="H270" s="385">
        <f t="shared" si="96"/>
        <v>0</v>
      </c>
      <c r="I270" s="371"/>
      <c r="J270" s="371" t="s">
        <v>145</v>
      </c>
      <c r="K270" s="371"/>
      <c r="L270" s="371"/>
      <c r="M270" s="371"/>
      <c r="N270" s="371"/>
      <c r="O270" s="370"/>
      <c r="P270" s="386">
        <f t="shared" si="97"/>
        <v>9000</v>
      </c>
      <c r="Q270" s="371"/>
      <c r="R270" s="371"/>
      <c r="S270" s="371"/>
      <c r="T270" s="371"/>
      <c r="U270" s="371"/>
      <c r="V270" s="371"/>
      <c r="W270" s="371"/>
      <c r="X270" s="371">
        <v>9000</v>
      </c>
      <c r="Y270" s="371"/>
      <c r="Z270" s="371"/>
      <c r="AA270" s="371"/>
      <c r="AB270" s="371"/>
      <c r="AC270" s="371"/>
      <c r="AD270" s="371"/>
      <c r="AE270" s="371"/>
      <c r="AF270" s="385">
        <f t="shared" si="98"/>
        <v>0</v>
      </c>
      <c r="AG270" s="371"/>
      <c r="AH270" s="371"/>
      <c r="AI270" s="387">
        <f t="shared" si="93"/>
        <v>0</v>
      </c>
    </row>
    <row r="271" spans="1:35" s="393" customFormat="1" ht="24" customHeight="1">
      <c r="A271" s="397" t="s">
        <v>178</v>
      </c>
      <c r="B271" s="394" t="s">
        <v>407</v>
      </c>
      <c r="C271" s="395" t="s">
        <v>973</v>
      </c>
      <c r="D271" s="396">
        <v>4</v>
      </c>
      <c r="E271" s="385">
        <f t="shared" si="95"/>
        <v>1400</v>
      </c>
      <c r="F271" s="368">
        <v>1400</v>
      </c>
      <c r="G271" s="368"/>
      <c r="H271" s="385">
        <f t="shared" si="96"/>
        <v>700</v>
      </c>
      <c r="I271" s="371"/>
      <c r="J271" s="371" t="s">
        <v>145</v>
      </c>
      <c r="K271" s="371"/>
      <c r="L271" s="371"/>
      <c r="M271" s="371"/>
      <c r="N271" s="371">
        <v>700</v>
      </c>
      <c r="O271" s="370"/>
      <c r="P271" s="386">
        <f t="shared" si="97"/>
        <v>700</v>
      </c>
      <c r="Q271" s="371"/>
      <c r="R271" s="371"/>
      <c r="S271" s="371"/>
      <c r="T271" s="371"/>
      <c r="U271" s="371"/>
      <c r="V271" s="371"/>
      <c r="W271" s="371"/>
      <c r="X271" s="371">
        <v>700</v>
      </c>
      <c r="Y271" s="371"/>
      <c r="Z271" s="371"/>
      <c r="AA271" s="371"/>
      <c r="AB271" s="371"/>
      <c r="AC271" s="371"/>
      <c r="AD271" s="371"/>
      <c r="AE271" s="371"/>
      <c r="AF271" s="385">
        <f t="shared" si="98"/>
        <v>0</v>
      </c>
      <c r="AG271" s="371"/>
      <c r="AH271" s="371"/>
      <c r="AI271" s="387">
        <f t="shared" si="93"/>
        <v>0</v>
      </c>
    </row>
    <row r="272" spans="1:35" s="393" customFormat="1" ht="24" customHeight="1">
      <c r="A272" s="397" t="s">
        <v>178</v>
      </c>
      <c r="B272" s="394" t="s">
        <v>407</v>
      </c>
      <c r="C272" s="395" t="s">
        <v>974</v>
      </c>
      <c r="D272" s="396">
        <v>4</v>
      </c>
      <c r="E272" s="385">
        <f t="shared" si="95"/>
        <v>5000</v>
      </c>
      <c r="F272" s="368">
        <v>5000</v>
      </c>
      <c r="G272" s="368"/>
      <c r="H272" s="385">
        <f t="shared" si="96"/>
        <v>2000</v>
      </c>
      <c r="I272" s="371"/>
      <c r="J272" s="371" t="s">
        <v>145</v>
      </c>
      <c r="K272" s="371"/>
      <c r="L272" s="371"/>
      <c r="M272" s="371">
        <v>1000</v>
      </c>
      <c r="N272" s="371">
        <v>1000</v>
      </c>
      <c r="O272" s="370"/>
      <c r="P272" s="386">
        <f t="shared" si="97"/>
        <v>3000</v>
      </c>
      <c r="Q272" s="371"/>
      <c r="R272" s="371"/>
      <c r="S272" s="371"/>
      <c r="T272" s="371"/>
      <c r="U272" s="371"/>
      <c r="V272" s="371"/>
      <c r="W272" s="371">
        <v>400</v>
      </c>
      <c r="X272" s="371">
        <v>1000</v>
      </c>
      <c r="Y272" s="371"/>
      <c r="Z272" s="371"/>
      <c r="AA272" s="371"/>
      <c r="AB272" s="371"/>
      <c r="AC272" s="371"/>
      <c r="AD272" s="371"/>
      <c r="AE272" s="371">
        <v>1600</v>
      </c>
      <c r="AF272" s="385">
        <f t="shared" si="98"/>
        <v>0</v>
      </c>
      <c r="AG272" s="371"/>
      <c r="AH272" s="371"/>
      <c r="AI272" s="387">
        <f t="shared" si="93"/>
        <v>0</v>
      </c>
    </row>
    <row r="273" spans="1:35" s="393" customFormat="1" ht="24" customHeight="1">
      <c r="A273" s="397" t="s">
        <v>178</v>
      </c>
      <c r="B273" s="394" t="s">
        <v>407</v>
      </c>
      <c r="C273" s="395" t="s">
        <v>835</v>
      </c>
      <c r="D273" s="396">
        <v>4</v>
      </c>
      <c r="E273" s="385">
        <f t="shared" si="95"/>
        <v>2000</v>
      </c>
      <c r="F273" s="368">
        <v>2000</v>
      </c>
      <c r="G273" s="368"/>
      <c r="H273" s="385">
        <f t="shared" si="96"/>
        <v>800</v>
      </c>
      <c r="I273" s="371"/>
      <c r="J273" s="371">
        <v>0</v>
      </c>
      <c r="K273" s="371"/>
      <c r="L273" s="371"/>
      <c r="M273" s="371"/>
      <c r="N273" s="371"/>
      <c r="O273" s="370">
        <v>800</v>
      </c>
      <c r="P273" s="386">
        <f t="shared" si="97"/>
        <v>1200</v>
      </c>
      <c r="Q273" s="371"/>
      <c r="R273" s="371"/>
      <c r="S273" s="371"/>
      <c r="T273" s="371"/>
      <c r="U273" s="371"/>
      <c r="V273" s="371"/>
      <c r="W273" s="371"/>
      <c r="X273" s="371"/>
      <c r="Y273" s="371"/>
      <c r="Z273" s="371"/>
      <c r="AA273" s="371"/>
      <c r="AB273" s="371"/>
      <c r="AC273" s="371"/>
      <c r="AD273" s="371"/>
      <c r="AE273" s="371">
        <v>1200</v>
      </c>
      <c r="AF273" s="385">
        <f t="shared" si="98"/>
        <v>0</v>
      </c>
      <c r="AG273" s="371"/>
      <c r="AH273" s="371"/>
      <c r="AI273" s="387">
        <f t="shared" si="93"/>
        <v>0</v>
      </c>
    </row>
    <row r="274" spans="1:35" s="393" customFormat="1" ht="24" customHeight="1">
      <c r="A274" s="397" t="s">
        <v>178</v>
      </c>
      <c r="B274" s="394" t="s">
        <v>407</v>
      </c>
      <c r="C274" s="395" t="s">
        <v>975</v>
      </c>
      <c r="D274" s="396">
        <v>4</v>
      </c>
      <c r="E274" s="385">
        <f t="shared" si="95"/>
        <v>3150</v>
      </c>
      <c r="F274" s="368">
        <v>3150</v>
      </c>
      <c r="G274" s="368"/>
      <c r="H274" s="385">
        <f t="shared" si="96"/>
        <v>343</v>
      </c>
      <c r="I274" s="371"/>
      <c r="J274" s="371">
        <v>0</v>
      </c>
      <c r="K274" s="371"/>
      <c r="L274" s="371"/>
      <c r="M274" s="371"/>
      <c r="N274" s="371"/>
      <c r="O274" s="370">
        <v>343</v>
      </c>
      <c r="P274" s="386">
        <f t="shared" si="97"/>
        <v>2177</v>
      </c>
      <c r="Q274" s="371"/>
      <c r="R274" s="371"/>
      <c r="S274" s="371"/>
      <c r="T274" s="371"/>
      <c r="U274" s="371"/>
      <c r="V274" s="371"/>
      <c r="W274" s="371"/>
      <c r="X274" s="371"/>
      <c r="Y274" s="371"/>
      <c r="Z274" s="371"/>
      <c r="AA274" s="371"/>
      <c r="AB274" s="371"/>
      <c r="AC274" s="371"/>
      <c r="AD274" s="371"/>
      <c r="AE274" s="371">
        <v>2177</v>
      </c>
      <c r="AF274" s="385">
        <f t="shared" si="98"/>
        <v>630</v>
      </c>
      <c r="AG274" s="371">
        <v>255</v>
      </c>
      <c r="AH274" s="371">
        <v>375</v>
      </c>
      <c r="AI274" s="387">
        <f t="shared" si="93"/>
        <v>0</v>
      </c>
    </row>
    <row r="275" spans="1:35" s="393" customFormat="1" ht="24" customHeight="1">
      <c r="A275" s="397" t="s">
        <v>178</v>
      </c>
      <c r="B275" s="394" t="s">
        <v>407</v>
      </c>
      <c r="C275" s="395" t="s">
        <v>976</v>
      </c>
      <c r="D275" s="396">
        <v>4</v>
      </c>
      <c r="E275" s="385">
        <f t="shared" si="95"/>
        <v>50200</v>
      </c>
      <c r="F275" s="368"/>
      <c r="G275" s="368">
        <v>50200</v>
      </c>
      <c r="H275" s="385">
        <f t="shared" si="96"/>
        <v>12000</v>
      </c>
      <c r="I275" s="371"/>
      <c r="J275" s="371">
        <v>0</v>
      </c>
      <c r="K275" s="371"/>
      <c r="L275" s="371"/>
      <c r="M275" s="371">
        <v>6000</v>
      </c>
      <c r="N275" s="371">
        <v>6000</v>
      </c>
      <c r="O275" s="370"/>
      <c r="P275" s="386">
        <f t="shared" si="97"/>
        <v>35700</v>
      </c>
      <c r="Q275" s="371">
        <v>5000</v>
      </c>
      <c r="R275" s="371"/>
      <c r="S275" s="371"/>
      <c r="T275" s="371">
        <v>7000</v>
      </c>
      <c r="U275" s="371"/>
      <c r="V275" s="371">
        <v>7000</v>
      </c>
      <c r="W275" s="371">
        <v>7000</v>
      </c>
      <c r="X275" s="371">
        <v>7000</v>
      </c>
      <c r="Y275" s="371"/>
      <c r="Z275" s="371">
        <v>2700</v>
      </c>
      <c r="AA275" s="371"/>
      <c r="AB275" s="371"/>
      <c r="AC275" s="371"/>
      <c r="AD275" s="371"/>
      <c r="AE275" s="371"/>
      <c r="AF275" s="385">
        <f t="shared" si="98"/>
        <v>2500</v>
      </c>
      <c r="AG275" s="371">
        <v>2500</v>
      </c>
      <c r="AH275" s="371"/>
      <c r="AI275" s="387">
        <f t="shared" si="93"/>
        <v>0</v>
      </c>
    </row>
    <row r="276" spans="1:35" s="393" customFormat="1" ht="35.450000000000003" customHeight="1">
      <c r="A276" s="397" t="s">
        <v>178</v>
      </c>
      <c r="B276" s="394" t="s">
        <v>407</v>
      </c>
      <c r="C276" s="395" t="s">
        <v>977</v>
      </c>
      <c r="D276" s="396">
        <v>4</v>
      </c>
      <c r="E276" s="385">
        <f t="shared" si="95"/>
        <v>20000</v>
      </c>
      <c r="F276" s="368"/>
      <c r="G276" s="368">
        <v>20000</v>
      </c>
      <c r="H276" s="385">
        <f t="shared" si="96"/>
        <v>0</v>
      </c>
      <c r="I276" s="371"/>
      <c r="J276" s="371">
        <v>0</v>
      </c>
      <c r="K276" s="371"/>
      <c r="L276" s="371"/>
      <c r="M276" s="371"/>
      <c r="N276" s="371"/>
      <c r="O276" s="370"/>
      <c r="P276" s="386">
        <f t="shared" si="97"/>
        <v>20000</v>
      </c>
      <c r="Q276" s="371"/>
      <c r="R276" s="371"/>
      <c r="S276" s="371"/>
      <c r="T276" s="371"/>
      <c r="U276" s="371"/>
      <c r="V276" s="371"/>
      <c r="W276" s="371"/>
      <c r="X276" s="371">
        <v>20000</v>
      </c>
      <c r="Y276" s="371"/>
      <c r="Z276" s="371"/>
      <c r="AA276" s="371"/>
      <c r="AB276" s="371"/>
      <c r="AC276" s="371"/>
      <c r="AD276" s="371"/>
      <c r="AE276" s="371"/>
      <c r="AF276" s="385">
        <f t="shared" si="98"/>
        <v>0</v>
      </c>
      <c r="AG276" s="371"/>
      <c r="AH276" s="371"/>
      <c r="AI276" s="387">
        <f t="shared" si="93"/>
        <v>0</v>
      </c>
    </row>
    <row r="277" spans="1:35" s="393" customFormat="1" ht="24" customHeight="1">
      <c r="A277" s="397" t="s">
        <v>178</v>
      </c>
      <c r="B277" s="394" t="s">
        <v>407</v>
      </c>
      <c r="C277" s="395" t="s">
        <v>978</v>
      </c>
      <c r="D277" s="396">
        <v>4</v>
      </c>
      <c r="E277" s="385">
        <f t="shared" si="95"/>
        <v>185300</v>
      </c>
      <c r="F277" s="368">
        <v>4500</v>
      </c>
      <c r="G277" s="368">
        <v>180800</v>
      </c>
      <c r="H277" s="385">
        <f t="shared" si="96"/>
        <v>50000</v>
      </c>
      <c r="I277" s="371">
        <v>9000</v>
      </c>
      <c r="J277" s="371">
        <v>0</v>
      </c>
      <c r="K277" s="371">
        <v>8000</v>
      </c>
      <c r="L277" s="371">
        <v>3000</v>
      </c>
      <c r="M277" s="371">
        <v>8000</v>
      </c>
      <c r="N277" s="371">
        <v>20000</v>
      </c>
      <c r="O277" s="370">
        <v>2000</v>
      </c>
      <c r="P277" s="386">
        <f t="shared" si="97"/>
        <v>127800</v>
      </c>
      <c r="Q277" s="371">
        <v>10000</v>
      </c>
      <c r="R277" s="371">
        <v>3000</v>
      </c>
      <c r="S277" s="371">
        <v>9000</v>
      </c>
      <c r="T277" s="371">
        <v>5000</v>
      </c>
      <c r="U277" s="371"/>
      <c r="V277" s="371">
        <v>12000</v>
      </c>
      <c r="W277" s="371">
        <v>10000</v>
      </c>
      <c r="X277" s="371">
        <v>20000</v>
      </c>
      <c r="Y277" s="371">
        <v>15000</v>
      </c>
      <c r="Z277" s="371">
        <v>10000</v>
      </c>
      <c r="AA277" s="371">
        <v>6000</v>
      </c>
      <c r="AB277" s="371">
        <v>5000</v>
      </c>
      <c r="AC277" s="371">
        <v>3000</v>
      </c>
      <c r="AD277" s="371"/>
      <c r="AE277" s="371">
        <v>19800</v>
      </c>
      <c r="AF277" s="385">
        <f t="shared" si="98"/>
        <v>7500</v>
      </c>
      <c r="AG277" s="371">
        <v>1000</v>
      </c>
      <c r="AH277" s="371">
        <v>6500</v>
      </c>
      <c r="AI277" s="387">
        <f t="shared" si="93"/>
        <v>0</v>
      </c>
    </row>
    <row r="278" spans="1:35" s="393" customFormat="1" ht="24" customHeight="1">
      <c r="A278" s="397" t="s">
        <v>178</v>
      </c>
      <c r="B278" s="394" t="s">
        <v>407</v>
      </c>
      <c r="C278" s="395" t="s">
        <v>414</v>
      </c>
      <c r="D278" s="396">
        <v>4</v>
      </c>
      <c r="E278" s="385">
        <f t="shared" si="95"/>
        <v>18200</v>
      </c>
      <c r="F278" s="368">
        <v>18200</v>
      </c>
      <c r="G278" s="368">
        <v>0</v>
      </c>
      <c r="H278" s="385">
        <f t="shared" si="96"/>
        <v>6800</v>
      </c>
      <c r="I278" s="371"/>
      <c r="J278" s="371">
        <v>0</v>
      </c>
      <c r="K278" s="371"/>
      <c r="L278" s="371"/>
      <c r="M278" s="371">
        <v>3800</v>
      </c>
      <c r="N278" s="371">
        <v>3000</v>
      </c>
      <c r="O278" s="370"/>
      <c r="P278" s="386">
        <f t="shared" si="97"/>
        <v>11400</v>
      </c>
      <c r="Q278" s="371">
        <v>1000</v>
      </c>
      <c r="R278" s="371"/>
      <c r="S278" s="371"/>
      <c r="T278" s="371">
        <v>1500</v>
      </c>
      <c r="U278" s="371"/>
      <c r="V278" s="371">
        <v>2500</v>
      </c>
      <c r="W278" s="371">
        <v>2500</v>
      </c>
      <c r="X278" s="371">
        <v>3400</v>
      </c>
      <c r="Y278" s="371"/>
      <c r="Z278" s="371"/>
      <c r="AA278" s="371">
        <v>500</v>
      </c>
      <c r="AB278" s="371"/>
      <c r="AC278" s="371"/>
      <c r="AD278" s="371"/>
      <c r="AE278" s="371"/>
      <c r="AF278" s="385">
        <f t="shared" si="98"/>
        <v>0</v>
      </c>
      <c r="AG278" s="371"/>
      <c r="AH278" s="371"/>
      <c r="AI278" s="387">
        <f t="shared" si="93"/>
        <v>0</v>
      </c>
    </row>
    <row r="279" spans="1:35" s="393" customFormat="1" ht="24" customHeight="1">
      <c r="A279" s="397" t="s">
        <v>178</v>
      </c>
      <c r="B279" s="394" t="s">
        <v>407</v>
      </c>
      <c r="C279" s="395" t="s">
        <v>979</v>
      </c>
      <c r="D279" s="396">
        <v>4</v>
      </c>
      <c r="E279" s="385">
        <f t="shared" si="95"/>
        <v>103500</v>
      </c>
      <c r="F279" s="368">
        <v>3500</v>
      </c>
      <c r="G279" s="368">
        <v>100000</v>
      </c>
      <c r="H279" s="385">
        <f t="shared" si="96"/>
        <v>50000</v>
      </c>
      <c r="I279" s="371"/>
      <c r="J279" s="371">
        <v>20000</v>
      </c>
      <c r="K279" s="371"/>
      <c r="L279" s="371"/>
      <c r="M279" s="371"/>
      <c r="N279" s="371">
        <v>30000</v>
      </c>
      <c r="O279" s="370"/>
      <c r="P279" s="386">
        <f t="shared" si="97"/>
        <v>53500</v>
      </c>
      <c r="Q279" s="371"/>
      <c r="R279" s="371"/>
      <c r="S279" s="371">
        <v>5000</v>
      </c>
      <c r="T279" s="371">
        <v>5000</v>
      </c>
      <c r="U279" s="371"/>
      <c r="V279" s="371">
        <v>5000</v>
      </c>
      <c r="W279" s="371">
        <v>5000</v>
      </c>
      <c r="X279" s="371">
        <v>5000</v>
      </c>
      <c r="Y279" s="371">
        <v>5000</v>
      </c>
      <c r="Z279" s="371">
        <v>5000</v>
      </c>
      <c r="AA279" s="371">
        <v>5000</v>
      </c>
      <c r="AB279" s="371">
        <v>5000</v>
      </c>
      <c r="AC279" s="371">
        <v>5000</v>
      </c>
      <c r="AD279" s="371"/>
      <c r="AE279" s="371">
        <v>3500</v>
      </c>
      <c r="AF279" s="385">
        <f t="shared" si="98"/>
        <v>0</v>
      </c>
      <c r="AG279" s="371"/>
      <c r="AH279" s="371"/>
      <c r="AI279" s="387">
        <f t="shared" si="93"/>
        <v>0</v>
      </c>
    </row>
    <row r="280" spans="1:35" s="393" customFormat="1" ht="24" customHeight="1">
      <c r="A280" s="397" t="s">
        <v>178</v>
      </c>
      <c r="B280" s="394" t="s">
        <v>407</v>
      </c>
      <c r="C280" s="395" t="s">
        <v>980</v>
      </c>
      <c r="D280" s="396">
        <v>4</v>
      </c>
      <c r="E280" s="385">
        <f t="shared" si="95"/>
        <v>216000</v>
      </c>
      <c r="F280" s="368"/>
      <c r="G280" s="368">
        <v>216000</v>
      </c>
      <c r="H280" s="385">
        <f t="shared" si="96"/>
        <v>0</v>
      </c>
      <c r="I280" s="371"/>
      <c r="J280" s="371">
        <v>0</v>
      </c>
      <c r="K280" s="371"/>
      <c r="L280" s="371"/>
      <c r="M280" s="371"/>
      <c r="N280" s="371"/>
      <c r="O280" s="370"/>
      <c r="P280" s="386">
        <f t="shared" si="97"/>
        <v>216000</v>
      </c>
      <c r="Q280" s="371"/>
      <c r="R280" s="371"/>
      <c r="S280" s="371"/>
      <c r="T280" s="371">
        <v>216000</v>
      </c>
      <c r="U280" s="371"/>
      <c r="V280" s="371"/>
      <c r="W280" s="371"/>
      <c r="X280" s="371"/>
      <c r="Y280" s="371"/>
      <c r="Z280" s="371"/>
      <c r="AA280" s="371"/>
      <c r="AB280" s="371"/>
      <c r="AC280" s="371"/>
      <c r="AD280" s="371"/>
      <c r="AE280" s="371"/>
      <c r="AF280" s="385">
        <f t="shared" si="98"/>
        <v>0</v>
      </c>
      <c r="AG280" s="371"/>
      <c r="AH280" s="371"/>
      <c r="AI280" s="387">
        <f t="shared" si="93"/>
        <v>0</v>
      </c>
    </row>
    <row r="281" spans="1:35" s="393" customFormat="1" ht="24" customHeight="1">
      <c r="A281" s="397" t="s">
        <v>178</v>
      </c>
      <c r="B281" s="394" t="s">
        <v>407</v>
      </c>
      <c r="C281" s="395" t="s">
        <v>981</v>
      </c>
      <c r="D281" s="396">
        <v>4</v>
      </c>
      <c r="E281" s="385">
        <f t="shared" si="95"/>
        <v>2750</v>
      </c>
      <c r="F281" s="368">
        <v>2750</v>
      </c>
      <c r="G281" s="368">
        <v>0</v>
      </c>
      <c r="H281" s="385">
        <f t="shared" si="96"/>
        <v>1250</v>
      </c>
      <c r="I281" s="371"/>
      <c r="J281" s="371">
        <v>0</v>
      </c>
      <c r="K281" s="371"/>
      <c r="L281" s="371"/>
      <c r="M281" s="371">
        <v>720</v>
      </c>
      <c r="N281" s="371">
        <v>530</v>
      </c>
      <c r="O281" s="370"/>
      <c r="P281" s="386">
        <f t="shared" si="97"/>
        <v>1500</v>
      </c>
      <c r="Q281" s="371">
        <v>250</v>
      </c>
      <c r="R281" s="371"/>
      <c r="S281" s="371"/>
      <c r="T281" s="371">
        <v>250</v>
      </c>
      <c r="U281" s="371"/>
      <c r="V281" s="371">
        <v>250</v>
      </c>
      <c r="W281" s="371">
        <v>250</v>
      </c>
      <c r="X281" s="371">
        <v>500</v>
      </c>
      <c r="Y281" s="371"/>
      <c r="Z281" s="371"/>
      <c r="AA281" s="371"/>
      <c r="AB281" s="371"/>
      <c r="AC281" s="371"/>
      <c r="AD281" s="371"/>
      <c r="AE281" s="371"/>
      <c r="AF281" s="385">
        <f t="shared" si="98"/>
        <v>0</v>
      </c>
      <c r="AG281" s="371"/>
      <c r="AH281" s="371"/>
      <c r="AI281" s="387">
        <f t="shared" si="93"/>
        <v>0</v>
      </c>
    </row>
    <row r="282" spans="1:35" s="410" customFormat="1" ht="22.5" customHeight="1">
      <c r="A282" s="405" t="s">
        <v>998</v>
      </c>
      <c r="B282" s="406"/>
      <c r="C282" s="407"/>
      <c r="D282" s="408"/>
      <c r="E282" s="409">
        <f t="shared" ref="E282:AH282" si="99">SUM(E283:E296)</f>
        <v>144623</v>
      </c>
      <c r="F282" s="409">
        <f t="shared" si="99"/>
        <v>143167</v>
      </c>
      <c r="G282" s="409">
        <f t="shared" si="99"/>
        <v>1456</v>
      </c>
      <c r="H282" s="409">
        <f t="shared" si="99"/>
        <v>42809</v>
      </c>
      <c r="I282" s="409">
        <f t="shared" si="99"/>
        <v>5180</v>
      </c>
      <c r="J282" s="409">
        <f t="shared" si="99"/>
        <v>0</v>
      </c>
      <c r="K282" s="409">
        <f t="shared" si="99"/>
        <v>8835</v>
      </c>
      <c r="L282" s="409">
        <f t="shared" si="99"/>
        <v>7683</v>
      </c>
      <c r="M282" s="409">
        <f t="shared" si="99"/>
        <v>9651</v>
      </c>
      <c r="N282" s="409">
        <f t="shared" si="99"/>
        <v>11460</v>
      </c>
      <c r="O282" s="409">
        <f t="shared" si="99"/>
        <v>0</v>
      </c>
      <c r="P282" s="409">
        <f t="shared" si="99"/>
        <v>96420</v>
      </c>
      <c r="Q282" s="409">
        <f t="shared" si="99"/>
        <v>4712</v>
      </c>
      <c r="R282" s="409">
        <f t="shared" si="99"/>
        <v>5230</v>
      </c>
      <c r="S282" s="409">
        <f t="shared" si="99"/>
        <v>4788</v>
      </c>
      <c r="T282" s="409">
        <f t="shared" si="99"/>
        <v>11072</v>
      </c>
      <c r="U282" s="409">
        <f t="shared" si="99"/>
        <v>5326</v>
      </c>
      <c r="V282" s="409">
        <f t="shared" si="99"/>
        <v>9516</v>
      </c>
      <c r="W282" s="409">
        <f t="shared" si="99"/>
        <v>5881</v>
      </c>
      <c r="X282" s="409">
        <f t="shared" si="99"/>
        <v>8015</v>
      </c>
      <c r="Y282" s="409">
        <f t="shared" si="99"/>
        <v>4254</v>
      </c>
      <c r="Z282" s="409">
        <f t="shared" si="99"/>
        <v>4484</v>
      </c>
      <c r="AA282" s="409">
        <f t="shared" si="99"/>
        <v>2924</v>
      </c>
      <c r="AB282" s="409">
        <f t="shared" si="99"/>
        <v>1326</v>
      </c>
      <c r="AC282" s="409">
        <f t="shared" si="99"/>
        <v>1581</v>
      </c>
      <c r="AD282" s="409">
        <f t="shared" si="99"/>
        <v>2836</v>
      </c>
      <c r="AE282" s="409">
        <f t="shared" si="99"/>
        <v>24475</v>
      </c>
      <c r="AF282" s="409">
        <f t="shared" si="99"/>
        <v>5394</v>
      </c>
      <c r="AG282" s="409">
        <f t="shared" si="99"/>
        <v>4012</v>
      </c>
      <c r="AH282" s="409">
        <f t="shared" si="99"/>
        <v>1382</v>
      </c>
      <c r="AI282" s="387">
        <f t="shared" si="93"/>
        <v>0</v>
      </c>
    </row>
    <row r="283" spans="1:35" s="393" customFormat="1" ht="24" customHeight="1">
      <c r="A283" s="397" t="s">
        <v>178</v>
      </c>
      <c r="B283" s="394" t="s">
        <v>1109</v>
      </c>
      <c r="C283" s="395" t="s">
        <v>421</v>
      </c>
      <c r="D283" s="396">
        <v>4</v>
      </c>
      <c r="E283" s="385">
        <f t="shared" ref="E283:E296" si="100">SUM(H283,P283,AF283)</f>
        <v>5282</v>
      </c>
      <c r="F283" s="368">
        <v>4982</v>
      </c>
      <c r="G283" s="368">
        <v>300</v>
      </c>
      <c r="H283" s="385">
        <f t="shared" ref="H283:H296" si="101">SUM(I283:O283)</f>
        <v>1300</v>
      </c>
      <c r="I283" s="371">
        <v>160</v>
      </c>
      <c r="J283" s="371">
        <v>0</v>
      </c>
      <c r="K283" s="371">
        <v>206</v>
      </c>
      <c r="L283" s="371">
        <v>206</v>
      </c>
      <c r="M283" s="371">
        <v>407</v>
      </c>
      <c r="N283" s="371">
        <v>321</v>
      </c>
      <c r="O283" s="370"/>
      <c r="P283" s="386">
        <f t="shared" ref="P283:P296" si="102">SUM(Q283:AE283)</f>
        <v>3682</v>
      </c>
      <c r="Q283" s="371">
        <v>159</v>
      </c>
      <c r="R283" s="371">
        <v>285</v>
      </c>
      <c r="S283" s="371">
        <v>199</v>
      </c>
      <c r="T283" s="371">
        <v>478</v>
      </c>
      <c r="U283" s="371">
        <v>359</v>
      </c>
      <c r="V283" s="371">
        <v>532</v>
      </c>
      <c r="W283" s="371">
        <v>478</v>
      </c>
      <c r="X283" s="371">
        <v>478</v>
      </c>
      <c r="Y283" s="371">
        <v>199</v>
      </c>
      <c r="Z283" s="371">
        <v>199</v>
      </c>
      <c r="AA283" s="371">
        <v>154</v>
      </c>
      <c r="AB283" s="371">
        <v>41</v>
      </c>
      <c r="AC283" s="371">
        <v>80</v>
      </c>
      <c r="AD283" s="371">
        <v>41</v>
      </c>
      <c r="AE283" s="371"/>
      <c r="AF283" s="385">
        <f t="shared" ref="AF283:AF296" si="103">SUM(AG283:AH283)</f>
        <v>300</v>
      </c>
      <c r="AG283" s="371">
        <v>276</v>
      </c>
      <c r="AH283" s="371">
        <v>24</v>
      </c>
      <c r="AI283" s="387">
        <f t="shared" si="93"/>
        <v>0</v>
      </c>
    </row>
    <row r="284" spans="1:35" s="393" customFormat="1" ht="24" customHeight="1">
      <c r="A284" s="397" t="s">
        <v>178</v>
      </c>
      <c r="B284" s="394" t="s">
        <v>982</v>
      </c>
      <c r="C284" s="395" t="s">
        <v>422</v>
      </c>
      <c r="D284" s="396">
        <v>4</v>
      </c>
      <c r="E284" s="385">
        <f t="shared" si="100"/>
        <v>3638</v>
      </c>
      <c r="F284" s="368">
        <v>3638</v>
      </c>
      <c r="G284" s="368"/>
      <c r="H284" s="385">
        <f t="shared" si="101"/>
        <v>908</v>
      </c>
      <c r="I284" s="371">
        <v>103</v>
      </c>
      <c r="J284" s="371">
        <v>0</v>
      </c>
      <c r="K284" s="371">
        <v>151</v>
      </c>
      <c r="L284" s="371">
        <v>218</v>
      </c>
      <c r="M284" s="371">
        <v>218</v>
      </c>
      <c r="N284" s="371">
        <v>218</v>
      </c>
      <c r="O284" s="370"/>
      <c r="P284" s="386">
        <f t="shared" si="102"/>
        <v>2490</v>
      </c>
      <c r="Q284" s="371">
        <v>181</v>
      </c>
      <c r="R284" s="371">
        <v>181</v>
      </c>
      <c r="S284" s="371">
        <v>170</v>
      </c>
      <c r="T284" s="371">
        <v>170</v>
      </c>
      <c r="U284" s="371">
        <v>293</v>
      </c>
      <c r="V284" s="371">
        <v>170</v>
      </c>
      <c r="W284" s="371">
        <v>181</v>
      </c>
      <c r="X284" s="371">
        <v>170</v>
      </c>
      <c r="Y284" s="371">
        <v>253</v>
      </c>
      <c r="Z284" s="371">
        <v>181</v>
      </c>
      <c r="AA284" s="371">
        <v>135</v>
      </c>
      <c r="AB284" s="371">
        <v>135</v>
      </c>
      <c r="AC284" s="371">
        <v>135</v>
      </c>
      <c r="AD284" s="371">
        <v>135</v>
      </c>
      <c r="AE284" s="371"/>
      <c r="AF284" s="385">
        <f t="shared" si="103"/>
        <v>240</v>
      </c>
      <c r="AG284" s="371">
        <v>176</v>
      </c>
      <c r="AH284" s="371">
        <v>64</v>
      </c>
      <c r="AI284" s="387">
        <f t="shared" si="93"/>
        <v>0</v>
      </c>
    </row>
    <row r="285" spans="1:35" s="393" customFormat="1" ht="24" customHeight="1">
      <c r="A285" s="397" t="s">
        <v>178</v>
      </c>
      <c r="B285" s="394" t="s">
        <v>982</v>
      </c>
      <c r="C285" s="395" t="s">
        <v>423</v>
      </c>
      <c r="D285" s="396">
        <v>4</v>
      </c>
      <c r="E285" s="385">
        <f t="shared" si="100"/>
        <v>116</v>
      </c>
      <c r="F285" s="368">
        <v>116</v>
      </c>
      <c r="G285" s="368"/>
      <c r="H285" s="385">
        <f t="shared" si="101"/>
        <v>0</v>
      </c>
      <c r="I285" s="371">
        <v>0</v>
      </c>
      <c r="J285" s="371">
        <v>0</v>
      </c>
      <c r="K285" s="371">
        <v>0</v>
      </c>
      <c r="L285" s="371">
        <v>0</v>
      </c>
      <c r="M285" s="371">
        <v>0</v>
      </c>
      <c r="N285" s="371">
        <v>0</v>
      </c>
      <c r="O285" s="370"/>
      <c r="P285" s="386">
        <f t="shared" si="102"/>
        <v>116</v>
      </c>
      <c r="Q285" s="371">
        <v>39</v>
      </c>
      <c r="R285" s="371">
        <v>0</v>
      </c>
      <c r="S285" s="371">
        <v>39</v>
      </c>
      <c r="T285" s="371">
        <v>0</v>
      </c>
      <c r="U285" s="371">
        <v>0</v>
      </c>
      <c r="V285" s="371">
        <v>0</v>
      </c>
      <c r="W285" s="371">
        <v>38</v>
      </c>
      <c r="X285" s="371">
        <v>0</v>
      </c>
      <c r="Y285" s="371">
        <v>0</v>
      </c>
      <c r="Z285" s="371">
        <v>0</v>
      </c>
      <c r="AA285" s="371">
        <v>0</v>
      </c>
      <c r="AB285" s="371">
        <v>0</v>
      </c>
      <c r="AC285" s="371">
        <v>0</v>
      </c>
      <c r="AD285" s="371">
        <v>0</v>
      </c>
      <c r="AE285" s="371"/>
      <c r="AF285" s="385">
        <f t="shared" si="103"/>
        <v>0</v>
      </c>
      <c r="AG285" s="371">
        <v>0</v>
      </c>
      <c r="AH285" s="371">
        <v>0</v>
      </c>
      <c r="AI285" s="387">
        <f t="shared" si="93"/>
        <v>0</v>
      </c>
    </row>
    <row r="286" spans="1:35" s="393" customFormat="1" ht="24" customHeight="1">
      <c r="A286" s="397" t="s">
        <v>178</v>
      </c>
      <c r="B286" s="394" t="s">
        <v>982</v>
      </c>
      <c r="C286" s="395" t="s">
        <v>983</v>
      </c>
      <c r="D286" s="396">
        <v>4</v>
      </c>
      <c r="E286" s="385">
        <f t="shared" si="100"/>
        <v>1856</v>
      </c>
      <c r="F286" s="368">
        <v>1856</v>
      </c>
      <c r="G286" s="368"/>
      <c r="H286" s="385">
        <f t="shared" si="101"/>
        <v>512</v>
      </c>
      <c r="I286" s="371">
        <v>80</v>
      </c>
      <c r="J286" s="371">
        <v>0</v>
      </c>
      <c r="K286" s="371">
        <v>80</v>
      </c>
      <c r="L286" s="371">
        <v>108</v>
      </c>
      <c r="M286" s="371">
        <v>124</v>
      </c>
      <c r="N286" s="371">
        <v>120</v>
      </c>
      <c r="O286" s="370"/>
      <c r="P286" s="386">
        <f t="shared" si="102"/>
        <v>1300</v>
      </c>
      <c r="Q286" s="371">
        <v>84</v>
      </c>
      <c r="R286" s="371">
        <v>80</v>
      </c>
      <c r="S286" s="371">
        <v>76</v>
      </c>
      <c r="T286" s="371">
        <v>116</v>
      </c>
      <c r="U286" s="371">
        <v>84</v>
      </c>
      <c r="V286" s="371">
        <v>112</v>
      </c>
      <c r="W286" s="371">
        <v>116</v>
      </c>
      <c r="X286" s="371">
        <v>116</v>
      </c>
      <c r="Y286" s="371">
        <v>84</v>
      </c>
      <c r="Z286" s="371">
        <v>84</v>
      </c>
      <c r="AA286" s="371">
        <v>28</v>
      </c>
      <c r="AB286" s="371">
        <v>16</v>
      </c>
      <c r="AC286" s="371">
        <v>28</v>
      </c>
      <c r="AD286" s="371">
        <v>20</v>
      </c>
      <c r="AE286" s="371">
        <v>256</v>
      </c>
      <c r="AF286" s="385">
        <f t="shared" si="103"/>
        <v>44</v>
      </c>
      <c r="AG286" s="371">
        <v>44</v>
      </c>
      <c r="AH286" s="371">
        <v>0</v>
      </c>
      <c r="AI286" s="387">
        <f t="shared" si="93"/>
        <v>0</v>
      </c>
    </row>
    <row r="287" spans="1:35" s="393" customFormat="1" ht="24" customHeight="1">
      <c r="A287" s="397" t="s">
        <v>178</v>
      </c>
      <c r="B287" s="394" t="s">
        <v>982</v>
      </c>
      <c r="C287" s="395" t="s">
        <v>425</v>
      </c>
      <c r="D287" s="396">
        <v>4</v>
      </c>
      <c r="E287" s="385">
        <f t="shared" si="100"/>
        <v>30366</v>
      </c>
      <c r="F287" s="368">
        <v>29710</v>
      </c>
      <c r="G287" s="368">
        <v>656</v>
      </c>
      <c r="H287" s="385">
        <f t="shared" si="101"/>
        <v>13058</v>
      </c>
      <c r="I287" s="371">
        <v>1318</v>
      </c>
      <c r="J287" s="371">
        <v>0</v>
      </c>
      <c r="K287" s="371">
        <v>1348</v>
      </c>
      <c r="L287" s="371">
        <v>2575</v>
      </c>
      <c r="M287" s="371">
        <v>2662</v>
      </c>
      <c r="N287" s="371">
        <v>5155</v>
      </c>
      <c r="O287" s="370"/>
      <c r="P287" s="386">
        <f t="shared" si="102"/>
        <v>16205</v>
      </c>
      <c r="Q287" s="371">
        <v>1284</v>
      </c>
      <c r="R287" s="371">
        <v>1301</v>
      </c>
      <c r="S287" s="371">
        <v>1280</v>
      </c>
      <c r="T287" s="371">
        <v>1450</v>
      </c>
      <c r="U287" s="371">
        <v>1282</v>
      </c>
      <c r="V287" s="371">
        <v>1442</v>
      </c>
      <c r="W287" s="371">
        <v>1294</v>
      </c>
      <c r="X287" s="371">
        <v>1420</v>
      </c>
      <c r="Y287" s="371">
        <v>1342</v>
      </c>
      <c r="Z287" s="371">
        <v>1368</v>
      </c>
      <c r="AA287" s="371">
        <v>1459</v>
      </c>
      <c r="AB287" s="371">
        <v>16</v>
      </c>
      <c r="AC287" s="371">
        <v>20</v>
      </c>
      <c r="AD287" s="371">
        <v>1247</v>
      </c>
      <c r="AE287" s="371"/>
      <c r="AF287" s="385">
        <f t="shared" si="103"/>
        <v>1103</v>
      </c>
      <c r="AG287" s="371">
        <v>1101</v>
      </c>
      <c r="AH287" s="371">
        <v>2</v>
      </c>
      <c r="AI287" s="387">
        <f t="shared" si="93"/>
        <v>0</v>
      </c>
    </row>
    <row r="288" spans="1:35" s="393" customFormat="1" ht="24" customHeight="1">
      <c r="A288" s="397" t="s">
        <v>178</v>
      </c>
      <c r="B288" s="394" t="s">
        <v>982</v>
      </c>
      <c r="C288" s="395" t="s">
        <v>426</v>
      </c>
      <c r="D288" s="396">
        <v>4</v>
      </c>
      <c r="E288" s="385">
        <f t="shared" si="100"/>
        <v>47335</v>
      </c>
      <c r="F288" s="368">
        <v>47335</v>
      </c>
      <c r="G288" s="368"/>
      <c r="H288" s="385">
        <f t="shared" si="101"/>
        <v>7834</v>
      </c>
      <c r="I288" s="371">
        <v>1054</v>
      </c>
      <c r="J288" s="371">
        <v>0</v>
      </c>
      <c r="K288" s="371">
        <v>1404</v>
      </c>
      <c r="L288" s="371">
        <v>1587</v>
      </c>
      <c r="M288" s="371">
        <v>1789</v>
      </c>
      <c r="N288" s="371">
        <v>2000</v>
      </c>
      <c r="O288" s="370"/>
      <c r="P288" s="386">
        <f t="shared" si="102"/>
        <v>38382</v>
      </c>
      <c r="Q288" s="371">
        <v>1054</v>
      </c>
      <c r="R288" s="371">
        <v>1054</v>
      </c>
      <c r="S288" s="371">
        <v>1054</v>
      </c>
      <c r="T288" s="371">
        <v>1696</v>
      </c>
      <c r="U288" s="371">
        <v>1054</v>
      </c>
      <c r="V288" s="371">
        <v>1776</v>
      </c>
      <c r="W288" s="371">
        <v>1416</v>
      </c>
      <c r="X288" s="371">
        <v>1426</v>
      </c>
      <c r="Y288" s="371">
        <v>798</v>
      </c>
      <c r="Z288" s="371">
        <v>1084</v>
      </c>
      <c r="AA288" s="371">
        <v>377</v>
      </c>
      <c r="AB288" s="371">
        <v>377</v>
      </c>
      <c r="AC288" s="371">
        <v>377</v>
      </c>
      <c r="AD288" s="371">
        <v>620</v>
      </c>
      <c r="AE288" s="371">
        <v>24219</v>
      </c>
      <c r="AF288" s="385">
        <f t="shared" si="103"/>
        <v>1119</v>
      </c>
      <c r="AG288" s="371">
        <v>1044</v>
      </c>
      <c r="AH288" s="371">
        <v>75</v>
      </c>
      <c r="AI288" s="387">
        <f t="shared" si="93"/>
        <v>0</v>
      </c>
    </row>
    <row r="289" spans="1:35" s="393" customFormat="1" ht="24" customHeight="1">
      <c r="A289" s="397" t="s">
        <v>178</v>
      </c>
      <c r="B289" s="394" t="s">
        <v>982</v>
      </c>
      <c r="C289" s="395" t="s">
        <v>427</v>
      </c>
      <c r="D289" s="396">
        <v>4</v>
      </c>
      <c r="E289" s="385">
        <f t="shared" si="100"/>
        <v>2062</v>
      </c>
      <c r="F289" s="368">
        <v>2062</v>
      </c>
      <c r="G289" s="368"/>
      <c r="H289" s="385">
        <f t="shared" si="101"/>
        <v>600</v>
      </c>
      <c r="I289" s="371">
        <v>84</v>
      </c>
      <c r="J289" s="371">
        <v>0</v>
      </c>
      <c r="K289" s="371">
        <v>64</v>
      </c>
      <c r="L289" s="371">
        <v>140</v>
      </c>
      <c r="M289" s="371">
        <v>137</v>
      </c>
      <c r="N289" s="371">
        <v>175</v>
      </c>
      <c r="O289" s="370"/>
      <c r="P289" s="386">
        <f t="shared" si="102"/>
        <v>1462</v>
      </c>
      <c r="Q289" s="371">
        <v>121</v>
      </c>
      <c r="R289" s="371">
        <v>117</v>
      </c>
      <c r="S289" s="371">
        <v>93</v>
      </c>
      <c r="T289" s="371">
        <v>117</v>
      </c>
      <c r="U289" s="371">
        <v>109</v>
      </c>
      <c r="V289" s="371">
        <v>135</v>
      </c>
      <c r="W289" s="371">
        <v>171</v>
      </c>
      <c r="X289" s="371">
        <v>194</v>
      </c>
      <c r="Y289" s="371">
        <v>124</v>
      </c>
      <c r="Z289" s="371">
        <v>124</v>
      </c>
      <c r="AA289" s="371">
        <v>109</v>
      </c>
      <c r="AB289" s="371">
        <v>27</v>
      </c>
      <c r="AC289" s="371">
        <v>21</v>
      </c>
      <c r="AD289" s="371">
        <v>0</v>
      </c>
      <c r="AE289" s="371"/>
      <c r="AF289" s="385">
        <f t="shared" si="103"/>
        <v>0</v>
      </c>
      <c r="AG289" s="371">
        <v>0</v>
      </c>
      <c r="AH289" s="371">
        <v>0</v>
      </c>
      <c r="AI289" s="387">
        <f t="shared" si="93"/>
        <v>0</v>
      </c>
    </row>
    <row r="290" spans="1:35" s="393" customFormat="1" ht="24" customHeight="1">
      <c r="A290" s="397" t="s">
        <v>178</v>
      </c>
      <c r="B290" s="394" t="s">
        <v>982</v>
      </c>
      <c r="C290" s="395" t="s">
        <v>544</v>
      </c>
      <c r="D290" s="396">
        <v>4</v>
      </c>
      <c r="E290" s="385">
        <f t="shared" si="100"/>
        <v>25450</v>
      </c>
      <c r="F290" s="368">
        <v>24950</v>
      </c>
      <c r="G290" s="368">
        <v>500</v>
      </c>
      <c r="H290" s="385">
        <f t="shared" si="101"/>
        <v>8826</v>
      </c>
      <c r="I290" s="371">
        <v>1332</v>
      </c>
      <c r="J290" s="371">
        <v>0</v>
      </c>
      <c r="K290" s="371">
        <v>1173</v>
      </c>
      <c r="L290" s="371">
        <v>1687</v>
      </c>
      <c r="M290" s="371">
        <v>2451</v>
      </c>
      <c r="N290" s="371">
        <v>2183</v>
      </c>
      <c r="O290" s="370">
        <v>0</v>
      </c>
      <c r="P290" s="386">
        <f t="shared" si="102"/>
        <v>15757</v>
      </c>
      <c r="Q290" s="371">
        <v>428</v>
      </c>
      <c r="R290" s="371">
        <v>609</v>
      </c>
      <c r="S290" s="371">
        <v>644</v>
      </c>
      <c r="T290" s="371">
        <v>5623</v>
      </c>
      <c r="U290" s="371">
        <v>983</v>
      </c>
      <c r="V290" s="371">
        <v>2270</v>
      </c>
      <c r="W290" s="371">
        <v>1008</v>
      </c>
      <c r="X290" s="371">
        <v>1736</v>
      </c>
      <c r="Y290" s="371">
        <v>647</v>
      </c>
      <c r="Z290" s="371">
        <v>568</v>
      </c>
      <c r="AA290" s="371">
        <v>243</v>
      </c>
      <c r="AB290" s="371">
        <v>244</v>
      </c>
      <c r="AC290" s="371">
        <v>420</v>
      </c>
      <c r="AD290" s="371">
        <v>334</v>
      </c>
      <c r="AE290" s="371">
        <v>0</v>
      </c>
      <c r="AF290" s="385">
        <f t="shared" si="103"/>
        <v>867</v>
      </c>
      <c r="AG290" s="371">
        <v>649</v>
      </c>
      <c r="AH290" s="371">
        <v>218</v>
      </c>
      <c r="AI290" s="387">
        <f t="shared" si="93"/>
        <v>0</v>
      </c>
    </row>
    <row r="291" spans="1:35" s="393" customFormat="1" ht="24" customHeight="1">
      <c r="A291" s="397" t="s">
        <v>178</v>
      </c>
      <c r="B291" s="394" t="s">
        <v>982</v>
      </c>
      <c r="C291" s="395" t="s">
        <v>420</v>
      </c>
      <c r="D291" s="396">
        <v>4</v>
      </c>
      <c r="E291" s="385">
        <f t="shared" si="100"/>
        <v>795</v>
      </c>
      <c r="F291" s="368">
        <v>795</v>
      </c>
      <c r="G291" s="368"/>
      <c r="H291" s="385">
        <f t="shared" si="101"/>
        <v>338</v>
      </c>
      <c r="I291" s="371">
        <v>115</v>
      </c>
      <c r="J291" s="371">
        <v>0</v>
      </c>
      <c r="K291" s="371">
        <v>47</v>
      </c>
      <c r="L291" s="371">
        <v>51</v>
      </c>
      <c r="M291" s="371">
        <v>52</v>
      </c>
      <c r="N291" s="371">
        <v>73</v>
      </c>
      <c r="O291" s="370"/>
      <c r="P291" s="386">
        <f t="shared" si="102"/>
        <v>457</v>
      </c>
      <c r="Q291" s="371">
        <v>24</v>
      </c>
      <c r="R291" s="371">
        <v>34</v>
      </c>
      <c r="S291" s="371">
        <v>73</v>
      </c>
      <c r="T291" s="371">
        <v>39</v>
      </c>
      <c r="U291" s="371">
        <v>44</v>
      </c>
      <c r="V291" s="371">
        <v>40</v>
      </c>
      <c r="W291" s="371">
        <v>37</v>
      </c>
      <c r="X291" s="371">
        <v>27</v>
      </c>
      <c r="Y291" s="371">
        <v>19</v>
      </c>
      <c r="Z291" s="371">
        <v>28</v>
      </c>
      <c r="AA291" s="371">
        <v>0</v>
      </c>
      <c r="AB291" s="371">
        <v>48</v>
      </c>
      <c r="AC291" s="371">
        <v>30</v>
      </c>
      <c r="AD291" s="371">
        <v>14</v>
      </c>
      <c r="AE291" s="371"/>
      <c r="AF291" s="385">
        <f t="shared" si="103"/>
        <v>0</v>
      </c>
      <c r="AG291" s="371"/>
      <c r="AH291" s="371"/>
      <c r="AI291" s="387">
        <f t="shared" si="93"/>
        <v>0</v>
      </c>
    </row>
    <row r="292" spans="1:35" s="393" customFormat="1" ht="24" customHeight="1">
      <c r="A292" s="397" t="s">
        <v>178</v>
      </c>
      <c r="B292" s="394" t="s">
        <v>982</v>
      </c>
      <c r="C292" s="395" t="s">
        <v>418</v>
      </c>
      <c r="D292" s="396">
        <v>4</v>
      </c>
      <c r="E292" s="385">
        <f t="shared" si="100"/>
        <v>11800</v>
      </c>
      <c r="F292" s="368">
        <v>11800</v>
      </c>
      <c r="G292" s="368"/>
      <c r="H292" s="385">
        <f t="shared" si="101"/>
        <v>3900</v>
      </c>
      <c r="I292" s="371">
        <v>500</v>
      </c>
      <c r="J292" s="371">
        <v>0</v>
      </c>
      <c r="K292" s="371">
        <v>500</v>
      </c>
      <c r="L292" s="371">
        <v>920</v>
      </c>
      <c r="M292" s="371">
        <v>980</v>
      </c>
      <c r="N292" s="371">
        <v>1000</v>
      </c>
      <c r="O292" s="370"/>
      <c r="P292" s="386">
        <f t="shared" si="102"/>
        <v>7500</v>
      </c>
      <c r="Q292" s="371">
        <v>550</v>
      </c>
      <c r="R292" s="371">
        <v>400</v>
      </c>
      <c r="S292" s="371">
        <v>550</v>
      </c>
      <c r="T292" s="371">
        <v>900</v>
      </c>
      <c r="U292" s="371">
        <v>750</v>
      </c>
      <c r="V292" s="371">
        <v>850</v>
      </c>
      <c r="W292" s="371">
        <v>750</v>
      </c>
      <c r="X292" s="371">
        <v>750</v>
      </c>
      <c r="Y292" s="371">
        <v>500</v>
      </c>
      <c r="Z292" s="371">
        <v>550</v>
      </c>
      <c r="AA292" s="371">
        <v>200</v>
      </c>
      <c r="AB292" s="371">
        <v>200</v>
      </c>
      <c r="AC292" s="371">
        <v>250</v>
      </c>
      <c r="AD292" s="371">
        <v>300</v>
      </c>
      <c r="AE292" s="371"/>
      <c r="AF292" s="385">
        <f t="shared" si="103"/>
        <v>400</v>
      </c>
      <c r="AG292" s="371">
        <v>210</v>
      </c>
      <c r="AH292" s="371">
        <v>190</v>
      </c>
      <c r="AI292" s="387">
        <f t="shared" si="93"/>
        <v>0</v>
      </c>
    </row>
    <row r="293" spans="1:35" s="393" customFormat="1" ht="24" customHeight="1">
      <c r="A293" s="397" t="s">
        <v>178</v>
      </c>
      <c r="B293" s="394" t="s">
        <v>982</v>
      </c>
      <c r="C293" s="395" t="s">
        <v>839</v>
      </c>
      <c r="D293" s="396">
        <v>4</v>
      </c>
      <c r="E293" s="385">
        <f t="shared" si="100"/>
        <v>5752</v>
      </c>
      <c r="F293" s="368">
        <v>5752</v>
      </c>
      <c r="G293" s="368"/>
      <c r="H293" s="385">
        <f t="shared" si="101"/>
        <v>3843</v>
      </c>
      <c r="I293" s="371">
        <v>243</v>
      </c>
      <c r="J293" s="371">
        <v>0</v>
      </c>
      <c r="K293" s="371">
        <v>3600</v>
      </c>
      <c r="L293" s="371">
        <v>0</v>
      </c>
      <c r="M293" s="371">
        <v>0</v>
      </c>
      <c r="N293" s="371">
        <v>0</v>
      </c>
      <c r="O293" s="370"/>
      <c r="P293" s="386">
        <f t="shared" si="102"/>
        <v>1509</v>
      </c>
      <c r="Q293" s="371">
        <v>430</v>
      </c>
      <c r="R293" s="371">
        <v>730</v>
      </c>
      <c r="S293" s="371">
        <v>325</v>
      </c>
      <c r="T293" s="371">
        <v>0</v>
      </c>
      <c r="U293" s="371">
        <v>0</v>
      </c>
      <c r="V293" s="371">
        <v>0</v>
      </c>
      <c r="W293" s="371">
        <v>24</v>
      </c>
      <c r="X293" s="371">
        <v>0</v>
      </c>
      <c r="Y293" s="371">
        <v>0</v>
      </c>
      <c r="Z293" s="371">
        <v>0</v>
      </c>
      <c r="AA293" s="371">
        <v>0</v>
      </c>
      <c r="AB293" s="371">
        <v>0</v>
      </c>
      <c r="AC293" s="371">
        <v>0</v>
      </c>
      <c r="AD293" s="371">
        <v>0</v>
      </c>
      <c r="AE293" s="371"/>
      <c r="AF293" s="385">
        <f t="shared" si="103"/>
        <v>400</v>
      </c>
      <c r="AG293" s="371">
        <v>400</v>
      </c>
      <c r="AH293" s="371">
        <v>0</v>
      </c>
      <c r="AI293" s="387">
        <f t="shared" si="93"/>
        <v>0</v>
      </c>
    </row>
    <row r="294" spans="1:35" s="393" customFormat="1" ht="24" customHeight="1">
      <c r="A294" s="397" t="s">
        <v>178</v>
      </c>
      <c r="B294" s="394" t="s">
        <v>982</v>
      </c>
      <c r="C294" s="395" t="s">
        <v>416</v>
      </c>
      <c r="D294" s="396">
        <v>4</v>
      </c>
      <c r="E294" s="385">
        <f t="shared" si="100"/>
        <v>721</v>
      </c>
      <c r="F294" s="368">
        <v>721</v>
      </c>
      <c r="G294" s="368"/>
      <c r="H294" s="385">
        <f t="shared" si="101"/>
        <v>0</v>
      </c>
      <c r="I294" s="371"/>
      <c r="J294" s="371">
        <v>0</v>
      </c>
      <c r="K294" s="371"/>
      <c r="L294" s="371"/>
      <c r="M294" s="371"/>
      <c r="N294" s="371"/>
      <c r="O294" s="370"/>
      <c r="P294" s="386">
        <f t="shared" si="102"/>
        <v>0</v>
      </c>
      <c r="Q294" s="371"/>
      <c r="R294" s="371"/>
      <c r="S294" s="371"/>
      <c r="T294" s="371"/>
      <c r="U294" s="371"/>
      <c r="V294" s="371"/>
      <c r="W294" s="371"/>
      <c r="X294" s="371"/>
      <c r="Y294" s="371"/>
      <c r="Z294" s="371"/>
      <c r="AA294" s="371"/>
      <c r="AB294" s="371"/>
      <c r="AC294" s="371"/>
      <c r="AD294" s="371"/>
      <c r="AE294" s="371"/>
      <c r="AF294" s="385">
        <f t="shared" si="103"/>
        <v>721</v>
      </c>
      <c r="AG294" s="371"/>
      <c r="AH294" s="371">
        <v>721</v>
      </c>
      <c r="AI294" s="387">
        <f t="shared" si="93"/>
        <v>0</v>
      </c>
    </row>
    <row r="295" spans="1:35" s="393" customFormat="1" ht="24" customHeight="1">
      <c r="A295" s="397" t="s">
        <v>178</v>
      </c>
      <c r="B295" s="394" t="s">
        <v>982</v>
      </c>
      <c r="C295" s="395" t="s">
        <v>984</v>
      </c>
      <c r="D295" s="396">
        <v>4</v>
      </c>
      <c r="E295" s="385">
        <f t="shared" si="100"/>
        <v>4200</v>
      </c>
      <c r="F295" s="368">
        <v>4200</v>
      </c>
      <c r="G295" s="368"/>
      <c r="H295" s="385">
        <f t="shared" si="101"/>
        <v>690</v>
      </c>
      <c r="I295" s="371">
        <v>0</v>
      </c>
      <c r="J295" s="371">
        <v>0</v>
      </c>
      <c r="K295" s="371">
        <v>0</v>
      </c>
      <c r="L295" s="371">
        <v>0</v>
      </c>
      <c r="M295" s="371">
        <v>666</v>
      </c>
      <c r="N295" s="371">
        <v>24</v>
      </c>
      <c r="O295" s="370"/>
      <c r="P295" s="386">
        <f t="shared" si="102"/>
        <v>3510</v>
      </c>
      <c r="Q295" s="371">
        <v>95</v>
      </c>
      <c r="R295" s="371">
        <v>98</v>
      </c>
      <c r="S295" s="371">
        <v>22</v>
      </c>
      <c r="T295" s="371">
        <v>27</v>
      </c>
      <c r="U295" s="371">
        <v>27</v>
      </c>
      <c r="V295" s="371">
        <v>1766</v>
      </c>
      <c r="W295" s="371">
        <v>27</v>
      </c>
      <c r="X295" s="371">
        <v>1400</v>
      </c>
      <c r="Y295" s="371">
        <v>27</v>
      </c>
      <c r="Z295" s="371">
        <v>0</v>
      </c>
      <c r="AA295" s="371">
        <v>0</v>
      </c>
      <c r="AB295" s="371">
        <v>0</v>
      </c>
      <c r="AC295" s="371">
        <v>0</v>
      </c>
      <c r="AD295" s="371">
        <v>21</v>
      </c>
      <c r="AE295" s="371"/>
      <c r="AF295" s="385">
        <f t="shared" si="103"/>
        <v>0</v>
      </c>
      <c r="AG295" s="371">
        <v>0</v>
      </c>
      <c r="AH295" s="371">
        <v>0</v>
      </c>
      <c r="AI295" s="387">
        <f t="shared" si="93"/>
        <v>0</v>
      </c>
    </row>
    <row r="296" spans="1:35" s="393" customFormat="1" ht="24" customHeight="1">
      <c r="A296" s="397" t="s">
        <v>178</v>
      </c>
      <c r="B296" s="394" t="s">
        <v>982</v>
      </c>
      <c r="C296" s="395" t="s">
        <v>417</v>
      </c>
      <c r="D296" s="396">
        <v>4</v>
      </c>
      <c r="E296" s="385">
        <f t="shared" si="100"/>
        <v>5250</v>
      </c>
      <c r="F296" s="368">
        <v>5250</v>
      </c>
      <c r="G296" s="368"/>
      <c r="H296" s="385">
        <f t="shared" si="101"/>
        <v>1000</v>
      </c>
      <c r="I296" s="371">
        <v>191</v>
      </c>
      <c r="J296" s="371">
        <v>0</v>
      </c>
      <c r="K296" s="371">
        <v>262</v>
      </c>
      <c r="L296" s="371">
        <v>191</v>
      </c>
      <c r="M296" s="371">
        <v>165</v>
      </c>
      <c r="N296" s="371">
        <v>191</v>
      </c>
      <c r="O296" s="370"/>
      <c r="P296" s="386">
        <f t="shared" si="102"/>
        <v>4050</v>
      </c>
      <c r="Q296" s="371">
        <v>263</v>
      </c>
      <c r="R296" s="371">
        <v>341</v>
      </c>
      <c r="S296" s="371">
        <v>263</v>
      </c>
      <c r="T296" s="371">
        <v>456</v>
      </c>
      <c r="U296" s="371">
        <v>341</v>
      </c>
      <c r="V296" s="371">
        <v>423</v>
      </c>
      <c r="W296" s="371">
        <v>341</v>
      </c>
      <c r="X296" s="371">
        <v>298</v>
      </c>
      <c r="Y296" s="371">
        <v>261</v>
      </c>
      <c r="Z296" s="371">
        <v>298</v>
      </c>
      <c r="AA296" s="371">
        <v>219</v>
      </c>
      <c r="AB296" s="371">
        <v>222</v>
      </c>
      <c r="AC296" s="371">
        <v>220</v>
      </c>
      <c r="AD296" s="371">
        <v>104</v>
      </c>
      <c r="AE296" s="371"/>
      <c r="AF296" s="385">
        <f t="shared" si="103"/>
        <v>200</v>
      </c>
      <c r="AG296" s="371">
        <v>112</v>
      </c>
      <c r="AH296" s="371">
        <v>88</v>
      </c>
      <c r="AI296" s="387">
        <f t="shared" si="93"/>
        <v>0</v>
      </c>
    </row>
    <row r="297" spans="1:35" s="410" customFormat="1" ht="22.5" customHeight="1">
      <c r="A297" s="405" t="s">
        <v>999</v>
      </c>
      <c r="B297" s="406"/>
      <c r="C297" s="407"/>
      <c r="D297" s="408"/>
      <c r="E297" s="409">
        <f t="shared" ref="E297:AH297" si="104">SUM(E298:E311)</f>
        <v>549099</v>
      </c>
      <c r="F297" s="409">
        <f t="shared" si="104"/>
        <v>284099</v>
      </c>
      <c r="G297" s="409">
        <f t="shared" si="104"/>
        <v>265000</v>
      </c>
      <c r="H297" s="409">
        <f t="shared" si="104"/>
        <v>473368</v>
      </c>
      <c r="I297" s="409">
        <f t="shared" si="104"/>
        <v>2798</v>
      </c>
      <c r="J297" s="409">
        <f t="shared" si="104"/>
        <v>0</v>
      </c>
      <c r="K297" s="409">
        <f t="shared" si="104"/>
        <v>3157</v>
      </c>
      <c r="L297" s="409">
        <f t="shared" si="104"/>
        <v>235633</v>
      </c>
      <c r="M297" s="409">
        <f t="shared" si="104"/>
        <v>208591</v>
      </c>
      <c r="N297" s="409">
        <f t="shared" si="104"/>
        <v>3819</v>
      </c>
      <c r="O297" s="409">
        <f t="shared" si="104"/>
        <v>19370</v>
      </c>
      <c r="P297" s="409">
        <f t="shared" si="104"/>
        <v>74560</v>
      </c>
      <c r="Q297" s="409">
        <f t="shared" si="104"/>
        <v>3575</v>
      </c>
      <c r="R297" s="409">
        <f t="shared" si="104"/>
        <v>3856</v>
      </c>
      <c r="S297" s="409">
        <f t="shared" si="104"/>
        <v>4048</v>
      </c>
      <c r="T297" s="409">
        <f t="shared" si="104"/>
        <v>5852</v>
      </c>
      <c r="U297" s="409">
        <f t="shared" si="104"/>
        <v>5204</v>
      </c>
      <c r="V297" s="409">
        <f t="shared" si="104"/>
        <v>6124</v>
      </c>
      <c r="W297" s="409">
        <f t="shared" si="104"/>
        <v>5288</v>
      </c>
      <c r="X297" s="409">
        <f t="shared" si="104"/>
        <v>5858</v>
      </c>
      <c r="Y297" s="409">
        <f t="shared" si="104"/>
        <v>7811</v>
      </c>
      <c r="Z297" s="409">
        <f t="shared" si="104"/>
        <v>7480</v>
      </c>
      <c r="AA297" s="409">
        <f t="shared" si="104"/>
        <v>1271</v>
      </c>
      <c r="AB297" s="409">
        <f t="shared" si="104"/>
        <v>483</v>
      </c>
      <c r="AC297" s="409">
        <f t="shared" si="104"/>
        <v>532</v>
      </c>
      <c r="AD297" s="409">
        <f t="shared" si="104"/>
        <v>532</v>
      </c>
      <c r="AE297" s="409">
        <f t="shared" si="104"/>
        <v>16646</v>
      </c>
      <c r="AF297" s="409">
        <f t="shared" si="104"/>
        <v>1171</v>
      </c>
      <c r="AG297" s="409">
        <f t="shared" si="104"/>
        <v>1050</v>
      </c>
      <c r="AH297" s="409">
        <f t="shared" si="104"/>
        <v>121</v>
      </c>
      <c r="AI297" s="387">
        <f t="shared" si="93"/>
        <v>0</v>
      </c>
    </row>
    <row r="298" spans="1:35" s="393" customFormat="1" ht="50.45" customHeight="1">
      <c r="A298" s="397" t="s">
        <v>178</v>
      </c>
      <c r="B298" s="394" t="s">
        <v>489</v>
      </c>
      <c r="C298" s="395" t="s">
        <v>985</v>
      </c>
      <c r="D298" s="396">
        <v>4</v>
      </c>
      <c r="E298" s="385">
        <f t="shared" ref="E298:E311" si="105">SUM(H298,P298,AF298)</f>
        <v>38856</v>
      </c>
      <c r="F298" s="368">
        <v>38856</v>
      </c>
      <c r="G298" s="368">
        <v>0</v>
      </c>
      <c r="H298" s="385">
        <f t="shared" ref="H298:H311" si="106">SUM(I298:O298)</f>
        <v>9500</v>
      </c>
      <c r="I298" s="371">
        <v>1900</v>
      </c>
      <c r="J298" s="371">
        <v>0</v>
      </c>
      <c r="K298" s="371">
        <v>1900</v>
      </c>
      <c r="L298" s="371">
        <v>1900</v>
      </c>
      <c r="M298" s="371">
        <v>1900</v>
      </c>
      <c r="N298" s="371">
        <v>1900</v>
      </c>
      <c r="O298" s="370"/>
      <c r="P298" s="386">
        <f t="shared" ref="P298:P311" si="107">SUM(Q298:AE298)</f>
        <v>28706</v>
      </c>
      <c r="Q298" s="371">
        <v>2000</v>
      </c>
      <c r="R298" s="371">
        <v>2000</v>
      </c>
      <c r="S298" s="371">
        <v>2200</v>
      </c>
      <c r="T298" s="371">
        <v>3100</v>
      </c>
      <c r="U298" s="371">
        <v>3100</v>
      </c>
      <c r="V298" s="371">
        <v>3160</v>
      </c>
      <c r="W298" s="371">
        <v>3100</v>
      </c>
      <c r="X298" s="371">
        <v>3406</v>
      </c>
      <c r="Y298" s="371">
        <v>2700</v>
      </c>
      <c r="Z298" s="371">
        <v>2700</v>
      </c>
      <c r="AA298" s="371">
        <v>750</v>
      </c>
      <c r="AB298" s="371">
        <v>150</v>
      </c>
      <c r="AC298" s="371">
        <v>170</v>
      </c>
      <c r="AD298" s="371">
        <v>170</v>
      </c>
      <c r="AE298" s="371"/>
      <c r="AF298" s="385">
        <f t="shared" ref="AF298:AF311" si="108">SUM(AG298:AH298)</f>
        <v>650</v>
      </c>
      <c r="AG298" s="371">
        <v>650</v>
      </c>
      <c r="AH298" s="371"/>
      <c r="AI298" s="387">
        <f t="shared" si="93"/>
        <v>0</v>
      </c>
    </row>
    <row r="299" spans="1:35" s="393" customFormat="1" ht="35.450000000000003" customHeight="1">
      <c r="A299" s="397" t="s">
        <v>178</v>
      </c>
      <c r="B299" s="394" t="s">
        <v>9</v>
      </c>
      <c r="C299" s="395" t="s">
        <v>986</v>
      </c>
      <c r="D299" s="396">
        <v>4</v>
      </c>
      <c r="E299" s="385">
        <f t="shared" si="105"/>
        <v>10250</v>
      </c>
      <c r="F299" s="368">
        <v>10250</v>
      </c>
      <c r="G299" s="368">
        <v>0</v>
      </c>
      <c r="H299" s="385">
        <f t="shared" si="106"/>
        <v>3051</v>
      </c>
      <c r="I299" s="371">
        <v>80</v>
      </c>
      <c r="J299" s="371">
        <v>0</v>
      </c>
      <c r="K299" s="371">
        <v>380</v>
      </c>
      <c r="L299" s="371">
        <v>821</v>
      </c>
      <c r="M299" s="371">
        <v>920</v>
      </c>
      <c r="N299" s="371">
        <v>850</v>
      </c>
      <c r="O299" s="370"/>
      <c r="P299" s="386">
        <f t="shared" si="107"/>
        <v>7119</v>
      </c>
      <c r="Q299" s="371">
        <v>410</v>
      </c>
      <c r="R299" s="371">
        <v>720</v>
      </c>
      <c r="S299" s="371">
        <v>639</v>
      </c>
      <c r="T299" s="371">
        <v>920</v>
      </c>
      <c r="U299" s="371">
        <v>600</v>
      </c>
      <c r="V299" s="371">
        <v>990</v>
      </c>
      <c r="W299" s="371">
        <v>650</v>
      </c>
      <c r="X299" s="371">
        <v>900</v>
      </c>
      <c r="Y299" s="371">
        <v>550</v>
      </c>
      <c r="Z299" s="371">
        <v>450</v>
      </c>
      <c r="AA299" s="371">
        <v>80</v>
      </c>
      <c r="AB299" s="371">
        <v>50</v>
      </c>
      <c r="AC299" s="371">
        <v>80</v>
      </c>
      <c r="AD299" s="371">
        <v>80</v>
      </c>
      <c r="AE299" s="371"/>
      <c r="AF299" s="385">
        <f t="shared" si="108"/>
        <v>80</v>
      </c>
      <c r="AG299" s="371">
        <v>80</v>
      </c>
      <c r="AH299" s="371"/>
      <c r="AI299" s="387">
        <f t="shared" si="93"/>
        <v>0</v>
      </c>
    </row>
    <row r="300" spans="1:35" s="393" customFormat="1" ht="24" customHeight="1">
      <c r="A300" s="397" t="s">
        <v>178</v>
      </c>
      <c r="B300" s="394" t="s">
        <v>9</v>
      </c>
      <c r="C300" s="395" t="s">
        <v>841</v>
      </c>
      <c r="D300" s="396">
        <v>4</v>
      </c>
      <c r="E300" s="385">
        <f t="shared" si="105"/>
        <v>967</v>
      </c>
      <c r="F300" s="368">
        <v>967</v>
      </c>
      <c r="G300" s="368">
        <v>0</v>
      </c>
      <c r="H300" s="385">
        <f t="shared" si="106"/>
        <v>323</v>
      </c>
      <c r="I300" s="371">
        <v>58</v>
      </c>
      <c r="J300" s="371">
        <v>0</v>
      </c>
      <c r="K300" s="371">
        <v>62</v>
      </c>
      <c r="L300" s="371">
        <v>67</v>
      </c>
      <c r="M300" s="371">
        <v>77</v>
      </c>
      <c r="N300" s="371">
        <v>59</v>
      </c>
      <c r="O300" s="370"/>
      <c r="P300" s="386">
        <f t="shared" si="107"/>
        <v>606</v>
      </c>
      <c r="Q300" s="371">
        <v>32</v>
      </c>
      <c r="R300" s="371">
        <v>32</v>
      </c>
      <c r="S300" s="371">
        <v>40</v>
      </c>
      <c r="T300" s="371">
        <v>68</v>
      </c>
      <c r="U300" s="371">
        <v>60</v>
      </c>
      <c r="V300" s="371">
        <v>55</v>
      </c>
      <c r="W300" s="371">
        <v>49</v>
      </c>
      <c r="X300" s="371">
        <v>58</v>
      </c>
      <c r="Y300" s="371">
        <v>46</v>
      </c>
      <c r="Z300" s="371">
        <v>40</v>
      </c>
      <c r="AA300" s="371">
        <v>30</v>
      </c>
      <c r="AB300" s="371">
        <v>31</v>
      </c>
      <c r="AC300" s="371">
        <v>35</v>
      </c>
      <c r="AD300" s="371">
        <v>30</v>
      </c>
      <c r="AE300" s="371"/>
      <c r="AF300" s="385">
        <f t="shared" si="108"/>
        <v>38</v>
      </c>
      <c r="AG300" s="371">
        <v>38</v>
      </c>
      <c r="AH300" s="371"/>
      <c r="AI300" s="387">
        <f t="shared" si="93"/>
        <v>0</v>
      </c>
    </row>
    <row r="301" spans="1:35" s="393" customFormat="1" ht="24" customHeight="1">
      <c r="A301" s="397" t="s">
        <v>178</v>
      </c>
      <c r="B301" s="394" t="s">
        <v>9</v>
      </c>
      <c r="C301" s="395" t="s">
        <v>987</v>
      </c>
      <c r="D301" s="396">
        <v>4</v>
      </c>
      <c r="E301" s="385">
        <f t="shared" si="105"/>
        <v>50000</v>
      </c>
      <c r="F301" s="368">
        <v>45000</v>
      </c>
      <c r="G301" s="368">
        <v>5000</v>
      </c>
      <c r="H301" s="385">
        <f t="shared" si="106"/>
        <v>50000</v>
      </c>
      <c r="I301" s="371"/>
      <c r="J301" s="371">
        <v>0</v>
      </c>
      <c r="K301" s="371"/>
      <c r="L301" s="371"/>
      <c r="M301" s="371">
        <v>50000</v>
      </c>
      <c r="N301" s="371"/>
      <c r="O301" s="370"/>
      <c r="P301" s="386">
        <f t="shared" si="107"/>
        <v>0</v>
      </c>
      <c r="Q301" s="371"/>
      <c r="R301" s="371"/>
      <c r="S301" s="371"/>
      <c r="T301" s="371"/>
      <c r="U301" s="371"/>
      <c r="V301" s="371"/>
      <c r="W301" s="371"/>
      <c r="X301" s="371"/>
      <c r="Y301" s="371"/>
      <c r="Z301" s="371"/>
      <c r="AA301" s="371"/>
      <c r="AB301" s="371"/>
      <c r="AC301" s="371"/>
      <c r="AD301" s="371"/>
      <c r="AE301" s="371"/>
      <c r="AF301" s="385">
        <f t="shared" si="108"/>
        <v>0</v>
      </c>
      <c r="AG301" s="371"/>
      <c r="AH301" s="371"/>
      <c r="AI301" s="387">
        <f t="shared" si="93"/>
        <v>0</v>
      </c>
    </row>
    <row r="302" spans="1:35" s="393" customFormat="1" ht="24" customHeight="1">
      <c r="A302" s="397" t="s">
        <v>178</v>
      </c>
      <c r="B302" s="394" t="s">
        <v>9</v>
      </c>
      <c r="C302" s="395" t="s">
        <v>988</v>
      </c>
      <c r="D302" s="396">
        <v>4</v>
      </c>
      <c r="E302" s="385">
        <f t="shared" si="105"/>
        <v>10902</v>
      </c>
      <c r="F302" s="368">
        <v>10902</v>
      </c>
      <c r="G302" s="368">
        <v>0</v>
      </c>
      <c r="H302" s="385">
        <f t="shared" si="106"/>
        <v>2400</v>
      </c>
      <c r="I302" s="371">
        <v>50</v>
      </c>
      <c r="J302" s="371">
        <v>0</v>
      </c>
      <c r="K302" s="371">
        <v>65</v>
      </c>
      <c r="L302" s="371">
        <v>375</v>
      </c>
      <c r="M302" s="371">
        <v>90</v>
      </c>
      <c r="N302" s="371">
        <v>430</v>
      </c>
      <c r="O302" s="370">
        <v>1390</v>
      </c>
      <c r="P302" s="386">
        <f t="shared" si="107"/>
        <v>8437</v>
      </c>
      <c r="Q302" s="371">
        <v>80</v>
      </c>
      <c r="R302" s="371">
        <v>50</v>
      </c>
      <c r="S302" s="371">
        <v>75</v>
      </c>
      <c r="T302" s="371">
        <v>370</v>
      </c>
      <c r="U302" s="371">
        <v>80</v>
      </c>
      <c r="V302" s="371">
        <v>420</v>
      </c>
      <c r="W302" s="371">
        <v>105</v>
      </c>
      <c r="X302" s="371">
        <v>350</v>
      </c>
      <c r="Y302" s="371">
        <v>85</v>
      </c>
      <c r="Z302" s="371">
        <v>80</v>
      </c>
      <c r="AA302" s="371">
        <v>40</v>
      </c>
      <c r="AB302" s="371">
        <v>30</v>
      </c>
      <c r="AC302" s="371">
        <v>30</v>
      </c>
      <c r="AD302" s="371">
        <v>35</v>
      </c>
      <c r="AE302" s="371">
        <v>6607</v>
      </c>
      <c r="AF302" s="385">
        <f t="shared" si="108"/>
        <v>65</v>
      </c>
      <c r="AG302" s="371">
        <v>35</v>
      </c>
      <c r="AH302" s="371">
        <v>30</v>
      </c>
      <c r="AI302" s="387">
        <f t="shared" si="93"/>
        <v>0</v>
      </c>
    </row>
    <row r="303" spans="1:35" s="393" customFormat="1" ht="24" customHeight="1">
      <c r="A303" s="397" t="s">
        <v>178</v>
      </c>
      <c r="B303" s="394" t="s">
        <v>9</v>
      </c>
      <c r="C303" s="395" t="s">
        <v>989</v>
      </c>
      <c r="D303" s="396">
        <v>4</v>
      </c>
      <c r="E303" s="385">
        <f t="shared" si="105"/>
        <v>4994</v>
      </c>
      <c r="F303" s="368">
        <v>4994</v>
      </c>
      <c r="G303" s="368">
        <v>0</v>
      </c>
      <c r="H303" s="385">
        <f t="shared" si="106"/>
        <v>894</v>
      </c>
      <c r="I303" s="371">
        <v>149</v>
      </c>
      <c r="J303" s="371">
        <v>0</v>
      </c>
      <c r="K303" s="371">
        <v>149</v>
      </c>
      <c r="L303" s="371">
        <v>149</v>
      </c>
      <c r="M303" s="371">
        <v>149</v>
      </c>
      <c r="N303" s="371">
        <v>149</v>
      </c>
      <c r="O303" s="370">
        <v>149</v>
      </c>
      <c r="P303" s="386">
        <f t="shared" si="107"/>
        <v>4000</v>
      </c>
      <c r="Q303" s="371">
        <v>33</v>
      </c>
      <c r="R303" s="371">
        <v>33</v>
      </c>
      <c r="S303" s="371">
        <v>33</v>
      </c>
      <c r="T303" s="371">
        <v>33</v>
      </c>
      <c r="U303" s="371">
        <v>33</v>
      </c>
      <c r="V303" s="371">
        <v>33</v>
      </c>
      <c r="W303" s="371">
        <v>33</v>
      </c>
      <c r="X303" s="371">
        <v>33</v>
      </c>
      <c r="Y303" s="371"/>
      <c r="Z303" s="371"/>
      <c r="AA303" s="371">
        <v>33</v>
      </c>
      <c r="AB303" s="371">
        <v>33</v>
      </c>
      <c r="AC303" s="371">
        <v>33</v>
      </c>
      <c r="AD303" s="371">
        <v>33</v>
      </c>
      <c r="AE303" s="371">
        <v>3604</v>
      </c>
      <c r="AF303" s="385">
        <f t="shared" si="108"/>
        <v>100</v>
      </c>
      <c r="AG303" s="371">
        <v>100</v>
      </c>
      <c r="AH303" s="371">
        <v>0</v>
      </c>
      <c r="AI303" s="387">
        <f t="shared" si="93"/>
        <v>0</v>
      </c>
    </row>
    <row r="304" spans="1:35" s="393" customFormat="1" ht="33.6" customHeight="1">
      <c r="A304" s="397" t="s">
        <v>178</v>
      </c>
      <c r="B304" s="394" t="s">
        <v>9</v>
      </c>
      <c r="C304" s="395" t="s">
        <v>990</v>
      </c>
      <c r="D304" s="396">
        <v>4</v>
      </c>
      <c r="E304" s="385">
        <f t="shared" si="105"/>
        <v>2300</v>
      </c>
      <c r="F304" s="368">
        <v>2300</v>
      </c>
      <c r="G304" s="368">
        <v>0</v>
      </c>
      <c r="H304" s="385">
        <f t="shared" si="106"/>
        <v>650</v>
      </c>
      <c r="I304" s="371">
        <v>90</v>
      </c>
      <c r="J304" s="371">
        <v>0</v>
      </c>
      <c r="K304" s="371">
        <v>130</v>
      </c>
      <c r="L304" s="371">
        <v>100</v>
      </c>
      <c r="M304" s="371">
        <v>170</v>
      </c>
      <c r="N304" s="371">
        <v>110</v>
      </c>
      <c r="O304" s="370">
        <v>50</v>
      </c>
      <c r="P304" s="386">
        <f t="shared" si="107"/>
        <v>1600</v>
      </c>
      <c r="Q304" s="371">
        <v>110</v>
      </c>
      <c r="R304" s="371">
        <v>100</v>
      </c>
      <c r="S304" s="371">
        <v>140</v>
      </c>
      <c r="T304" s="371">
        <v>140</v>
      </c>
      <c r="U304" s="371">
        <v>110</v>
      </c>
      <c r="V304" s="371">
        <v>240</v>
      </c>
      <c r="W304" s="371">
        <v>130</v>
      </c>
      <c r="X304" s="371">
        <v>190</v>
      </c>
      <c r="Y304" s="371">
        <v>120</v>
      </c>
      <c r="Z304" s="371">
        <v>100</v>
      </c>
      <c r="AA304" s="371">
        <v>70</v>
      </c>
      <c r="AB304" s="371">
        <v>40</v>
      </c>
      <c r="AC304" s="371">
        <v>30</v>
      </c>
      <c r="AD304" s="371">
        <v>30</v>
      </c>
      <c r="AE304" s="371">
        <v>50</v>
      </c>
      <c r="AF304" s="385">
        <f t="shared" si="108"/>
        <v>50</v>
      </c>
      <c r="AG304" s="371">
        <v>50</v>
      </c>
      <c r="AH304" s="371"/>
      <c r="AI304" s="387">
        <f t="shared" si="93"/>
        <v>0</v>
      </c>
    </row>
    <row r="305" spans="1:35" s="393" customFormat="1" ht="24" customHeight="1">
      <c r="A305" s="397" t="s">
        <v>178</v>
      </c>
      <c r="B305" s="394" t="s">
        <v>9</v>
      </c>
      <c r="C305" s="395" t="s">
        <v>991</v>
      </c>
      <c r="D305" s="396">
        <v>4</v>
      </c>
      <c r="E305" s="385">
        <f t="shared" si="105"/>
        <v>5000</v>
      </c>
      <c r="F305" s="368">
        <v>5000</v>
      </c>
      <c r="G305" s="368">
        <v>0</v>
      </c>
      <c r="H305" s="385">
        <f t="shared" si="106"/>
        <v>2150</v>
      </c>
      <c r="I305" s="371">
        <v>71</v>
      </c>
      <c r="J305" s="371" t="s">
        <v>145</v>
      </c>
      <c r="K305" s="371">
        <v>71</v>
      </c>
      <c r="L305" s="371">
        <v>71</v>
      </c>
      <c r="M305" s="371">
        <v>35</v>
      </c>
      <c r="N305" s="371">
        <v>71</v>
      </c>
      <c r="O305" s="370">
        <v>1831</v>
      </c>
      <c r="P305" s="386">
        <f t="shared" si="107"/>
        <v>2800</v>
      </c>
      <c r="Q305" s="371">
        <v>60</v>
      </c>
      <c r="R305" s="371">
        <v>71</v>
      </c>
      <c r="S305" s="371">
        <v>71</v>
      </c>
      <c r="T305" s="371">
        <v>71</v>
      </c>
      <c r="U305" s="371">
        <v>71</v>
      </c>
      <c r="V305" s="371">
        <v>76</v>
      </c>
      <c r="W305" s="371">
        <v>71</v>
      </c>
      <c r="X305" s="371">
        <v>71</v>
      </c>
      <c r="Y305" s="371">
        <v>60</v>
      </c>
      <c r="Z305" s="371">
        <v>60</v>
      </c>
      <c r="AA305" s="371">
        <v>28</v>
      </c>
      <c r="AB305" s="371">
        <v>20</v>
      </c>
      <c r="AC305" s="371">
        <v>25</v>
      </c>
      <c r="AD305" s="371">
        <v>25</v>
      </c>
      <c r="AE305" s="371">
        <v>2020</v>
      </c>
      <c r="AF305" s="385">
        <f t="shared" si="108"/>
        <v>50</v>
      </c>
      <c r="AG305" s="371">
        <v>28</v>
      </c>
      <c r="AH305" s="371">
        <v>22</v>
      </c>
      <c r="AI305" s="387">
        <f t="shared" si="93"/>
        <v>0</v>
      </c>
    </row>
    <row r="306" spans="1:35" s="393" customFormat="1" ht="24" customHeight="1">
      <c r="A306" s="397" t="s">
        <v>178</v>
      </c>
      <c r="B306" s="394" t="s">
        <v>9</v>
      </c>
      <c r="C306" s="395" t="s">
        <v>992</v>
      </c>
      <c r="D306" s="396">
        <v>4</v>
      </c>
      <c r="E306" s="385">
        <f t="shared" si="105"/>
        <v>11580</v>
      </c>
      <c r="F306" s="368">
        <v>11580</v>
      </c>
      <c r="G306" s="368">
        <v>0</v>
      </c>
      <c r="H306" s="385">
        <f t="shared" si="106"/>
        <v>1500</v>
      </c>
      <c r="I306" s="371">
        <v>350</v>
      </c>
      <c r="J306" s="371">
        <v>0</v>
      </c>
      <c r="K306" s="371">
        <v>350</v>
      </c>
      <c r="L306" s="371">
        <v>200</v>
      </c>
      <c r="M306" s="371">
        <v>200</v>
      </c>
      <c r="N306" s="371">
        <v>200</v>
      </c>
      <c r="O306" s="370">
        <v>200</v>
      </c>
      <c r="P306" s="386">
        <f t="shared" si="107"/>
        <v>10000</v>
      </c>
      <c r="Q306" s="371">
        <v>800</v>
      </c>
      <c r="R306" s="371">
        <v>800</v>
      </c>
      <c r="S306" s="371">
        <v>800</v>
      </c>
      <c r="T306" s="371">
        <v>1100</v>
      </c>
      <c r="U306" s="371">
        <v>1100</v>
      </c>
      <c r="V306" s="371">
        <v>1100</v>
      </c>
      <c r="W306" s="371">
        <v>1100</v>
      </c>
      <c r="X306" s="371">
        <v>800</v>
      </c>
      <c r="Y306" s="371">
        <v>800</v>
      </c>
      <c r="Z306" s="371">
        <v>600</v>
      </c>
      <c r="AA306" s="371">
        <v>200</v>
      </c>
      <c r="AB306" s="371">
        <v>100</v>
      </c>
      <c r="AC306" s="371">
        <v>100</v>
      </c>
      <c r="AD306" s="371">
        <v>100</v>
      </c>
      <c r="AE306" s="371">
        <v>500</v>
      </c>
      <c r="AF306" s="385">
        <f t="shared" si="108"/>
        <v>80</v>
      </c>
      <c r="AG306" s="371">
        <v>40</v>
      </c>
      <c r="AH306" s="371">
        <v>40</v>
      </c>
      <c r="AI306" s="387">
        <f t="shared" si="93"/>
        <v>0</v>
      </c>
    </row>
    <row r="307" spans="1:35" s="393" customFormat="1" ht="24" customHeight="1">
      <c r="A307" s="397" t="s">
        <v>178</v>
      </c>
      <c r="B307" s="394" t="s">
        <v>9</v>
      </c>
      <c r="C307" s="395" t="s">
        <v>431</v>
      </c>
      <c r="D307" s="396">
        <v>4</v>
      </c>
      <c r="E307" s="385">
        <f t="shared" si="105"/>
        <v>6800</v>
      </c>
      <c r="F307" s="368">
        <v>6800</v>
      </c>
      <c r="G307" s="368">
        <v>0</v>
      </c>
      <c r="H307" s="385">
        <f t="shared" si="106"/>
        <v>0</v>
      </c>
      <c r="I307" s="371"/>
      <c r="J307" s="371">
        <v>0</v>
      </c>
      <c r="K307" s="371"/>
      <c r="L307" s="371"/>
      <c r="M307" s="371"/>
      <c r="N307" s="371"/>
      <c r="O307" s="370"/>
      <c r="P307" s="386">
        <f t="shared" si="107"/>
        <v>6800</v>
      </c>
      <c r="Q307" s="371"/>
      <c r="R307" s="371"/>
      <c r="S307" s="371"/>
      <c r="T307" s="371"/>
      <c r="U307" s="371"/>
      <c r="V307" s="371"/>
      <c r="W307" s="371"/>
      <c r="X307" s="371"/>
      <c r="Y307" s="371">
        <v>3400</v>
      </c>
      <c r="Z307" s="371">
        <v>3400</v>
      </c>
      <c r="AA307" s="371"/>
      <c r="AB307" s="371"/>
      <c r="AC307" s="371"/>
      <c r="AD307" s="371"/>
      <c r="AE307" s="371"/>
      <c r="AF307" s="385">
        <f t="shared" si="108"/>
        <v>0</v>
      </c>
      <c r="AG307" s="371"/>
      <c r="AH307" s="371"/>
      <c r="AI307" s="387">
        <f t="shared" si="93"/>
        <v>0</v>
      </c>
    </row>
    <row r="308" spans="1:35" s="393" customFormat="1" ht="30.95" customHeight="1">
      <c r="A308" s="397" t="s">
        <v>178</v>
      </c>
      <c r="B308" s="394" t="s">
        <v>9</v>
      </c>
      <c r="C308" s="395" t="s">
        <v>993</v>
      </c>
      <c r="D308" s="396">
        <v>4</v>
      </c>
      <c r="E308" s="385">
        <f t="shared" si="105"/>
        <v>5550</v>
      </c>
      <c r="F308" s="368">
        <v>5550</v>
      </c>
      <c r="G308" s="368">
        <v>0</v>
      </c>
      <c r="H308" s="385">
        <f t="shared" si="106"/>
        <v>1000</v>
      </c>
      <c r="I308" s="371">
        <v>50</v>
      </c>
      <c r="J308" s="371" t="s">
        <v>145</v>
      </c>
      <c r="K308" s="371">
        <v>50</v>
      </c>
      <c r="L308" s="371">
        <v>50</v>
      </c>
      <c r="M308" s="371">
        <v>50</v>
      </c>
      <c r="N308" s="371">
        <v>50</v>
      </c>
      <c r="O308" s="370">
        <v>750</v>
      </c>
      <c r="P308" s="386">
        <f t="shared" si="107"/>
        <v>4492</v>
      </c>
      <c r="Q308" s="371">
        <v>50</v>
      </c>
      <c r="R308" s="371">
        <v>50</v>
      </c>
      <c r="S308" s="371">
        <v>50</v>
      </c>
      <c r="T308" s="371">
        <v>50</v>
      </c>
      <c r="U308" s="371">
        <v>50</v>
      </c>
      <c r="V308" s="371">
        <v>50</v>
      </c>
      <c r="W308" s="371">
        <v>50</v>
      </c>
      <c r="X308" s="371">
        <v>50</v>
      </c>
      <c r="Y308" s="371">
        <v>50</v>
      </c>
      <c r="Z308" s="371">
        <v>50</v>
      </c>
      <c r="AA308" s="371">
        <v>40</v>
      </c>
      <c r="AB308" s="371">
        <v>29</v>
      </c>
      <c r="AC308" s="371">
        <v>29</v>
      </c>
      <c r="AD308" s="371">
        <v>29</v>
      </c>
      <c r="AE308" s="371">
        <v>3865</v>
      </c>
      <c r="AF308" s="385">
        <f t="shared" si="108"/>
        <v>58</v>
      </c>
      <c r="AG308" s="371">
        <v>29</v>
      </c>
      <c r="AH308" s="371">
        <v>29</v>
      </c>
      <c r="AI308" s="387">
        <f t="shared" si="93"/>
        <v>0</v>
      </c>
    </row>
    <row r="309" spans="1:35" s="393" customFormat="1" ht="24" customHeight="1">
      <c r="A309" s="397" t="s">
        <v>178</v>
      </c>
      <c r="B309" s="394" t="s">
        <v>9</v>
      </c>
      <c r="C309" s="395" t="s">
        <v>994</v>
      </c>
      <c r="D309" s="396">
        <v>4</v>
      </c>
      <c r="E309" s="385">
        <f t="shared" si="105"/>
        <v>20000</v>
      </c>
      <c r="F309" s="368">
        <v>20000</v>
      </c>
      <c r="G309" s="368"/>
      <c r="H309" s="385">
        <f t="shared" si="106"/>
        <v>20000</v>
      </c>
      <c r="I309" s="371"/>
      <c r="J309" s="371">
        <v>0</v>
      </c>
      <c r="K309" s="371"/>
      <c r="L309" s="371"/>
      <c r="M309" s="371">
        <v>20000</v>
      </c>
      <c r="N309" s="371"/>
      <c r="O309" s="370"/>
      <c r="P309" s="386">
        <f t="shared" si="107"/>
        <v>0</v>
      </c>
      <c r="Q309" s="371"/>
      <c r="R309" s="371"/>
      <c r="S309" s="371"/>
      <c r="T309" s="371"/>
      <c r="U309" s="371"/>
      <c r="V309" s="371"/>
      <c r="W309" s="371"/>
      <c r="X309" s="371"/>
      <c r="Y309" s="371"/>
      <c r="Z309" s="371"/>
      <c r="AA309" s="371"/>
      <c r="AB309" s="371"/>
      <c r="AC309" s="371"/>
      <c r="AD309" s="371"/>
      <c r="AE309" s="371"/>
      <c r="AF309" s="385">
        <f t="shared" si="108"/>
        <v>0</v>
      </c>
      <c r="AG309" s="371"/>
      <c r="AH309" s="371"/>
      <c r="AI309" s="387">
        <f t="shared" si="93"/>
        <v>0</v>
      </c>
    </row>
    <row r="310" spans="1:35" s="393" customFormat="1" ht="24" customHeight="1">
      <c r="A310" s="397" t="s">
        <v>178</v>
      </c>
      <c r="B310" s="394" t="s">
        <v>9</v>
      </c>
      <c r="C310" s="395" t="s">
        <v>995</v>
      </c>
      <c r="D310" s="396">
        <v>4</v>
      </c>
      <c r="E310" s="385">
        <f t="shared" si="105"/>
        <v>231900</v>
      </c>
      <c r="F310" s="368">
        <v>71900</v>
      </c>
      <c r="G310" s="368">
        <v>160000</v>
      </c>
      <c r="H310" s="385">
        <f t="shared" si="106"/>
        <v>231900</v>
      </c>
      <c r="I310" s="371"/>
      <c r="J310" s="371">
        <v>0</v>
      </c>
      <c r="K310" s="371"/>
      <c r="L310" s="371">
        <v>231900</v>
      </c>
      <c r="M310" s="371"/>
      <c r="N310" s="371"/>
      <c r="O310" s="370"/>
      <c r="P310" s="386">
        <f t="shared" si="107"/>
        <v>0</v>
      </c>
      <c r="Q310" s="371"/>
      <c r="R310" s="371"/>
      <c r="S310" s="371"/>
      <c r="T310" s="371"/>
      <c r="U310" s="371"/>
      <c r="V310" s="371"/>
      <c r="W310" s="371"/>
      <c r="X310" s="371"/>
      <c r="Y310" s="371"/>
      <c r="Z310" s="371"/>
      <c r="AA310" s="371"/>
      <c r="AB310" s="371"/>
      <c r="AC310" s="371"/>
      <c r="AD310" s="371"/>
      <c r="AE310" s="371"/>
      <c r="AF310" s="385">
        <f t="shared" si="108"/>
        <v>0</v>
      </c>
      <c r="AG310" s="371"/>
      <c r="AH310" s="371"/>
      <c r="AI310" s="387">
        <f t="shared" si="93"/>
        <v>0</v>
      </c>
    </row>
    <row r="311" spans="1:35" s="393" customFormat="1" ht="24" customHeight="1">
      <c r="A311" s="397" t="s">
        <v>178</v>
      </c>
      <c r="B311" s="394" t="s">
        <v>9</v>
      </c>
      <c r="C311" s="395" t="s">
        <v>996</v>
      </c>
      <c r="D311" s="396">
        <v>4</v>
      </c>
      <c r="E311" s="385">
        <f t="shared" si="105"/>
        <v>150000</v>
      </c>
      <c r="F311" s="368">
        <v>50000</v>
      </c>
      <c r="G311" s="368">
        <v>100000</v>
      </c>
      <c r="H311" s="385">
        <f t="shared" si="106"/>
        <v>150000</v>
      </c>
      <c r="I311" s="371"/>
      <c r="J311" s="371">
        <v>0</v>
      </c>
      <c r="K311" s="371"/>
      <c r="L311" s="371" t="s">
        <v>292</v>
      </c>
      <c r="M311" s="371">
        <v>135000</v>
      </c>
      <c r="N311" s="371"/>
      <c r="O311" s="370">
        <v>15000</v>
      </c>
      <c r="P311" s="386">
        <f t="shared" si="107"/>
        <v>0</v>
      </c>
      <c r="Q311" s="371"/>
      <c r="R311" s="371"/>
      <c r="S311" s="371"/>
      <c r="T311" s="371"/>
      <c r="U311" s="371"/>
      <c r="V311" s="371"/>
      <c r="W311" s="371"/>
      <c r="X311" s="371"/>
      <c r="Y311" s="371"/>
      <c r="Z311" s="371"/>
      <c r="AA311" s="371"/>
      <c r="AB311" s="371"/>
      <c r="AC311" s="371"/>
      <c r="AD311" s="371"/>
      <c r="AE311" s="371"/>
      <c r="AF311" s="385">
        <f t="shared" si="108"/>
        <v>0</v>
      </c>
      <c r="AG311" s="371"/>
      <c r="AH311" s="371"/>
      <c r="AI311" s="387">
        <f t="shared" si="93"/>
        <v>0</v>
      </c>
    </row>
    <row r="312" spans="1:35" s="404" customFormat="1" ht="24" customHeight="1">
      <c r="A312" s="398" t="s">
        <v>907</v>
      </c>
      <c r="B312" s="399"/>
      <c r="C312" s="400"/>
      <c r="D312" s="401"/>
      <c r="E312" s="402">
        <f t="shared" ref="E312:AH312" si="109">E313+E327+E328+E342+E343</f>
        <v>22568178</v>
      </c>
      <c r="F312" s="402">
        <f t="shared" si="109"/>
        <v>22309639</v>
      </c>
      <c r="G312" s="402">
        <f t="shared" si="109"/>
        <v>258539</v>
      </c>
      <c r="H312" s="402">
        <f t="shared" si="109"/>
        <v>15107033</v>
      </c>
      <c r="I312" s="402">
        <f t="shared" si="109"/>
        <v>2744366</v>
      </c>
      <c r="J312" s="402">
        <f t="shared" si="109"/>
        <v>2343818</v>
      </c>
      <c r="K312" s="402">
        <f t="shared" si="109"/>
        <v>1536001</v>
      </c>
      <c r="L312" s="402">
        <f t="shared" si="109"/>
        <v>2591974</v>
      </c>
      <c r="M312" s="402">
        <f t="shared" si="109"/>
        <v>1629499</v>
      </c>
      <c r="N312" s="402">
        <f t="shared" si="109"/>
        <v>4261375</v>
      </c>
      <c r="O312" s="402">
        <f t="shared" si="109"/>
        <v>0</v>
      </c>
      <c r="P312" s="402">
        <f t="shared" si="109"/>
        <v>7236361</v>
      </c>
      <c r="Q312" s="402">
        <f t="shared" si="109"/>
        <v>441890</v>
      </c>
      <c r="R312" s="402">
        <f t="shared" si="109"/>
        <v>424184</v>
      </c>
      <c r="S312" s="402">
        <f t="shared" si="109"/>
        <v>574668</v>
      </c>
      <c r="T312" s="402">
        <f t="shared" si="109"/>
        <v>1184135</v>
      </c>
      <c r="U312" s="402">
        <f t="shared" si="109"/>
        <v>634015</v>
      </c>
      <c r="V312" s="402">
        <f t="shared" si="109"/>
        <v>743502</v>
      </c>
      <c r="W312" s="402">
        <f t="shared" si="109"/>
        <v>536838</v>
      </c>
      <c r="X312" s="402">
        <f t="shared" si="109"/>
        <v>1005369</v>
      </c>
      <c r="Y312" s="402">
        <f t="shared" si="109"/>
        <v>326261</v>
      </c>
      <c r="Z312" s="402">
        <f t="shared" si="109"/>
        <v>384745</v>
      </c>
      <c r="AA312" s="402">
        <f t="shared" si="109"/>
        <v>192961</v>
      </c>
      <c r="AB312" s="402">
        <f t="shared" si="109"/>
        <v>284559</v>
      </c>
      <c r="AC312" s="402">
        <f t="shared" si="109"/>
        <v>289292</v>
      </c>
      <c r="AD312" s="402">
        <f t="shared" si="109"/>
        <v>211168</v>
      </c>
      <c r="AE312" s="402">
        <f t="shared" si="109"/>
        <v>2774</v>
      </c>
      <c r="AF312" s="402">
        <f t="shared" si="109"/>
        <v>224784</v>
      </c>
      <c r="AG312" s="402">
        <f t="shared" si="109"/>
        <v>148613</v>
      </c>
      <c r="AH312" s="402">
        <f t="shared" si="109"/>
        <v>76171</v>
      </c>
      <c r="AI312" s="387">
        <f t="shared" si="93"/>
        <v>0</v>
      </c>
    </row>
    <row r="313" spans="1:35" s="410" customFormat="1" ht="22.5" customHeight="1">
      <c r="A313" s="405" t="s">
        <v>908</v>
      </c>
      <c r="B313" s="406"/>
      <c r="C313" s="407"/>
      <c r="D313" s="408"/>
      <c r="E313" s="409">
        <f t="shared" ref="E313:AH313" si="110">SUM(E314:E326)</f>
        <v>4511018</v>
      </c>
      <c r="F313" s="409">
        <f t="shared" si="110"/>
        <v>4419117</v>
      </c>
      <c r="G313" s="409">
        <f t="shared" si="110"/>
        <v>91901</v>
      </c>
      <c r="H313" s="409">
        <f t="shared" si="110"/>
        <v>3698064</v>
      </c>
      <c r="I313" s="409">
        <f t="shared" si="110"/>
        <v>209160</v>
      </c>
      <c r="J313" s="409">
        <f t="shared" si="110"/>
        <v>881613</v>
      </c>
      <c r="K313" s="409">
        <f t="shared" si="110"/>
        <v>119702</v>
      </c>
      <c r="L313" s="409">
        <f t="shared" si="110"/>
        <v>434086</v>
      </c>
      <c r="M313" s="409">
        <f t="shared" si="110"/>
        <v>167679</v>
      </c>
      <c r="N313" s="409">
        <f t="shared" si="110"/>
        <v>1885824</v>
      </c>
      <c r="O313" s="409">
        <f t="shared" si="110"/>
        <v>0</v>
      </c>
      <c r="P313" s="409">
        <f t="shared" si="110"/>
        <v>695118</v>
      </c>
      <c r="Q313" s="409">
        <f t="shared" si="110"/>
        <v>43862</v>
      </c>
      <c r="R313" s="409">
        <f t="shared" si="110"/>
        <v>32249</v>
      </c>
      <c r="S313" s="409">
        <f t="shared" si="110"/>
        <v>64092</v>
      </c>
      <c r="T313" s="409">
        <f t="shared" si="110"/>
        <v>75943</v>
      </c>
      <c r="U313" s="409">
        <f t="shared" si="110"/>
        <v>50777</v>
      </c>
      <c r="V313" s="409">
        <f t="shared" si="110"/>
        <v>37287</v>
      </c>
      <c r="W313" s="409">
        <f t="shared" si="110"/>
        <v>43400</v>
      </c>
      <c r="X313" s="409">
        <f t="shared" si="110"/>
        <v>76424</v>
      </c>
      <c r="Y313" s="409">
        <f t="shared" si="110"/>
        <v>51985</v>
      </c>
      <c r="Z313" s="409">
        <f t="shared" si="110"/>
        <v>52509</v>
      </c>
      <c r="AA313" s="409">
        <f t="shared" si="110"/>
        <v>75948</v>
      </c>
      <c r="AB313" s="409">
        <f t="shared" si="110"/>
        <v>42655</v>
      </c>
      <c r="AC313" s="409">
        <f t="shared" si="110"/>
        <v>23880</v>
      </c>
      <c r="AD313" s="409">
        <f t="shared" si="110"/>
        <v>24107</v>
      </c>
      <c r="AE313" s="409">
        <f t="shared" si="110"/>
        <v>0</v>
      </c>
      <c r="AF313" s="409">
        <f t="shared" si="110"/>
        <v>117836</v>
      </c>
      <c r="AG313" s="409">
        <f t="shared" si="110"/>
        <v>50481</v>
      </c>
      <c r="AH313" s="409">
        <f t="shared" si="110"/>
        <v>67355</v>
      </c>
      <c r="AI313" s="387">
        <f t="shared" si="93"/>
        <v>0</v>
      </c>
    </row>
    <row r="314" spans="1:35" s="393" customFormat="1" ht="29.1" customHeight="1">
      <c r="A314" s="427" t="s">
        <v>906</v>
      </c>
      <c r="B314" s="428" t="s">
        <v>1110</v>
      </c>
      <c r="C314" s="395" t="s">
        <v>182</v>
      </c>
      <c r="D314" s="396">
        <v>5</v>
      </c>
      <c r="E314" s="385">
        <f t="shared" ref="E314:E327" si="111">SUM(H314,P314,AF314)</f>
        <v>145346</v>
      </c>
      <c r="F314" s="368">
        <v>145346</v>
      </c>
      <c r="G314" s="368">
        <v>0</v>
      </c>
      <c r="H314" s="385">
        <f t="shared" ref="H314:H327" si="112">SUM(I314:O314)</f>
        <v>65073</v>
      </c>
      <c r="I314" s="371">
        <v>17185</v>
      </c>
      <c r="J314" s="371">
        <v>0</v>
      </c>
      <c r="K314" s="371">
        <v>7806</v>
      </c>
      <c r="L314" s="371">
        <v>12930</v>
      </c>
      <c r="M314" s="371">
        <v>10949</v>
      </c>
      <c r="N314" s="371">
        <v>16203</v>
      </c>
      <c r="O314" s="370">
        <v>0</v>
      </c>
      <c r="P314" s="386">
        <f t="shared" ref="P314:P327" si="113">SUM(Q314:AE314)</f>
        <v>76973</v>
      </c>
      <c r="Q314" s="371">
        <v>6270</v>
      </c>
      <c r="R314" s="371">
        <v>5748</v>
      </c>
      <c r="S314" s="371">
        <v>5747</v>
      </c>
      <c r="T314" s="371">
        <v>7838</v>
      </c>
      <c r="U314" s="371">
        <v>6792</v>
      </c>
      <c r="V314" s="371">
        <v>6793</v>
      </c>
      <c r="W314" s="371">
        <v>5225</v>
      </c>
      <c r="X314" s="371">
        <v>7315</v>
      </c>
      <c r="Y314" s="371">
        <v>4703</v>
      </c>
      <c r="Z314" s="371">
        <v>6297</v>
      </c>
      <c r="AA314" s="371">
        <v>2750</v>
      </c>
      <c r="AB314" s="371">
        <v>4180</v>
      </c>
      <c r="AC314" s="371">
        <v>3657</v>
      </c>
      <c r="AD314" s="371">
        <v>3658</v>
      </c>
      <c r="AE314" s="371">
        <v>0</v>
      </c>
      <c r="AF314" s="385">
        <f t="shared" ref="AF314:AF327" si="114">SUM(AG314:AH314)</f>
        <v>3300</v>
      </c>
      <c r="AG314" s="371">
        <v>2200</v>
      </c>
      <c r="AH314" s="371">
        <v>1100</v>
      </c>
      <c r="AI314" s="387">
        <f t="shared" si="93"/>
        <v>0</v>
      </c>
    </row>
    <row r="315" spans="1:35" s="393" customFormat="1" ht="30.95" customHeight="1">
      <c r="A315" s="427" t="s">
        <v>906</v>
      </c>
      <c r="B315" s="428" t="s">
        <v>909</v>
      </c>
      <c r="C315" s="395" t="s">
        <v>188</v>
      </c>
      <c r="D315" s="396">
        <v>5</v>
      </c>
      <c r="E315" s="385">
        <f t="shared" si="111"/>
        <v>84595</v>
      </c>
      <c r="F315" s="368">
        <v>84595</v>
      </c>
      <c r="G315" s="368">
        <v>0</v>
      </c>
      <c r="H315" s="385">
        <f t="shared" si="112"/>
        <v>51190</v>
      </c>
      <c r="I315" s="371">
        <v>11098</v>
      </c>
      <c r="J315" s="371">
        <v>7703</v>
      </c>
      <c r="K315" s="371">
        <v>7250</v>
      </c>
      <c r="L315" s="371">
        <v>11491</v>
      </c>
      <c r="M315" s="371">
        <v>6109</v>
      </c>
      <c r="N315" s="371">
        <v>7539</v>
      </c>
      <c r="O315" s="370">
        <v>0</v>
      </c>
      <c r="P315" s="386">
        <f t="shared" si="113"/>
        <v>32563</v>
      </c>
      <c r="Q315" s="371">
        <v>2331</v>
      </c>
      <c r="R315" s="371">
        <v>2977</v>
      </c>
      <c r="S315" s="371">
        <v>2430</v>
      </c>
      <c r="T315" s="371">
        <v>7680</v>
      </c>
      <c r="U315" s="371">
        <v>1947</v>
      </c>
      <c r="V315" s="371">
        <v>3047</v>
      </c>
      <c r="W315" s="371">
        <v>1345</v>
      </c>
      <c r="X315" s="371">
        <v>4353</v>
      </c>
      <c r="Y315" s="371">
        <v>561</v>
      </c>
      <c r="Z315" s="371">
        <v>1656</v>
      </c>
      <c r="AA315" s="371">
        <v>299</v>
      </c>
      <c r="AB315" s="371">
        <v>1505</v>
      </c>
      <c r="AC315" s="371">
        <v>1565</v>
      </c>
      <c r="AD315" s="371">
        <v>867</v>
      </c>
      <c r="AE315" s="371">
        <v>0</v>
      </c>
      <c r="AF315" s="385">
        <f t="shared" si="114"/>
        <v>842</v>
      </c>
      <c r="AG315" s="371">
        <v>552</v>
      </c>
      <c r="AH315" s="371">
        <v>290</v>
      </c>
      <c r="AI315" s="387">
        <f t="shared" si="93"/>
        <v>0</v>
      </c>
    </row>
    <row r="316" spans="1:35" s="393" customFormat="1" ht="48" customHeight="1">
      <c r="A316" s="427" t="s">
        <v>906</v>
      </c>
      <c r="B316" s="428" t="s">
        <v>910</v>
      </c>
      <c r="C316" s="395" t="s">
        <v>892</v>
      </c>
      <c r="D316" s="396">
        <v>5</v>
      </c>
      <c r="E316" s="385">
        <f t="shared" si="111"/>
        <v>792654</v>
      </c>
      <c r="F316" s="368">
        <v>792654</v>
      </c>
      <c r="G316" s="368">
        <v>0</v>
      </c>
      <c r="H316" s="385">
        <f t="shared" si="112"/>
        <v>721887</v>
      </c>
      <c r="I316" s="371">
        <v>80564</v>
      </c>
      <c r="J316" s="371">
        <v>61153</v>
      </c>
      <c r="K316" s="371">
        <v>46236</v>
      </c>
      <c r="L316" s="371">
        <v>296011</v>
      </c>
      <c r="M316" s="371">
        <v>99126</v>
      </c>
      <c r="N316" s="371">
        <v>138797</v>
      </c>
      <c r="O316" s="370">
        <v>0</v>
      </c>
      <c r="P316" s="386">
        <f t="shared" si="113"/>
        <v>70608</v>
      </c>
      <c r="Q316" s="371">
        <v>0</v>
      </c>
      <c r="R316" s="371">
        <v>1223</v>
      </c>
      <c r="S316" s="371">
        <v>20549</v>
      </c>
      <c r="T316" s="371">
        <v>19513</v>
      </c>
      <c r="U316" s="371">
        <v>0</v>
      </c>
      <c r="V316" s="371">
        <v>0</v>
      </c>
      <c r="W316" s="371">
        <v>5170</v>
      </c>
      <c r="X316" s="371">
        <v>0</v>
      </c>
      <c r="Y316" s="371">
        <v>0</v>
      </c>
      <c r="Z316" s="371">
        <v>5977</v>
      </c>
      <c r="AA316" s="371">
        <v>0</v>
      </c>
      <c r="AB316" s="371">
        <v>13308</v>
      </c>
      <c r="AC316" s="371">
        <v>4868</v>
      </c>
      <c r="AD316" s="371">
        <v>0</v>
      </c>
      <c r="AE316" s="371">
        <v>0</v>
      </c>
      <c r="AF316" s="385">
        <f t="shared" si="114"/>
        <v>159</v>
      </c>
      <c r="AG316" s="371">
        <v>0</v>
      </c>
      <c r="AH316" s="371">
        <v>159</v>
      </c>
      <c r="AI316" s="387">
        <f t="shared" si="93"/>
        <v>0</v>
      </c>
    </row>
    <row r="317" spans="1:35" s="393" customFormat="1" ht="37.5" customHeight="1">
      <c r="A317" s="427" t="s">
        <v>906</v>
      </c>
      <c r="B317" s="428" t="s">
        <v>910</v>
      </c>
      <c r="C317" s="395" t="s">
        <v>85</v>
      </c>
      <c r="D317" s="396">
        <v>5</v>
      </c>
      <c r="E317" s="385">
        <f t="shared" si="111"/>
        <v>92215</v>
      </c>
      <c r="F317" s="368">
        <v>92215</v>
      </c>
      <c r="G317" s="368">
        <v>0</v>
      </c>
      <c r="H317" s="385">
        <f t="shared" si="112"/>
        <v>59001</v>
      </c>
      <c r="I317" s="371">
        <v>15785</v>
      </c>
      <c r="J317" s="371">
        <v>5467</v>
      </c>
      <c r="K317" s="371">
        <v>9245</v>
      </c>
      <c r="L317" s="371">
        <v>14362</v>
      </c>
      <c r="M317" s="371">
        <v>8621</v>
      </c>
      <c r="N317" s="371">
        <v>5521</v>
      </c>
      <c r="O317" s="370">
        <v>0</v>
      </c>
      <c r="P317" s="386">
        <f t="shared" si="113"/>
        <v>32477</v>
      </c>
      <c r="Q317" s="371">
        <v>1684</v>
      </c>
      <c r="R317" s="371">
        <v>2205</v>
      </c>
      <c r="S317" s="371">
        <v>2774</v>
      </c>
      <c r="T317" s="371">
        <v>7120</v>
      </c>
      <c r="U317" s="371">
        <v>2259</v>
      </c>
      <c r="V317" s="371">
        <v>3621</v>
      </c>
      <c r="W317" s="371">
        <v>2559</v>
      </c>
      <c r="X317" s="371">
        <v>3010</v>
      </c>
      <c r="Y317" s="371">
        <v>1240</v>
      </c>
      <c r="Z317" s="371">
        <v>1756</v>
      </c>
      <c r="AA317" s="371">
        <v>521</v>
      </c>
      <c r="AB317" s="371">
        <v>1513</v>
      </c>
      <c r="AC317" s="371">
        <v>1172</v>
      </c>
      <c r="AD317" s="371">
        <v>1043</v>
      </c>
      <c r="AE317" s="371">
        <v>0</v>
      </c>
      <c r="AF317" s="385">
        <f t="shared" si="114"/>
        <v>737</v>
      </c>
      <c r="AG317" s="371">
        <v>522</v>
      </c>
      <c r="AH317" s="371">
        <v>215</v>
      </c>
      <c r="AI317" s="387">
        <f t="shared" si="93"/>
        <v>0</v>
      </c>
    </row>
    <row r="318" spans="1:35" s="393" customFormat="1" ht="51" customHeight="1">
      <c r="A318" s="427" t="s">
        <v>906</v>
      </c>
      <c r="B318" s="428" t="s">
        <v>910</v>
      </c>
      <c r="C318" s="395" t="s">
        <v>893</v>
      </c>
      <c r="D318" s="396">
        <v>5</v>
      </c>
      <c r="E318" s="385">
        <f t="shared" si="111"/>
        <v>27421</v>
      </c>
      <c r="F318" s="368">
        <v>27421</v>
      </c>
      <c r="G318" s="368">
        <v>0</v>
      </c>
      <c r="H318" s="385">
        <f t="shared" si="112"/>
        <v>19827</v>
      </c>
      <c r="I318" s="371">
        <v>4361</v>
      </c>
      <c r="J318" s="371">
        <v>5353</v>
      </c>
      <c r="K318" s="371">
        <v>2775</v>
      </c>
      <c r="L318" s="371">
        <v>3370</v>
      </c>
      <c r="M318" s="371">
        <v>1788</v>
      </c>
      <c r="N318" s="371">
        <v>2180</v>
      </c>
      <c r="O318" s="370">
        <v>0</v>
      </c>
      <c r="P318" s="386">
        <f t="shared" si="113"/>
        <v>7540</v>
      </c>
      <c r="Q318" s="371">
        <v>999</v>
      </c>
      <c r="R318" s="371">
        <v>382</v>
      </c>
      <c r="S318" s="371">
        <v>720</v>
      </c>
      <c r="T318" s="371">
        <v>516</v>
      </c>
      <c r="U318" s="371">
        <v>362</v>
      </c>
      <c r="V318" s="371">
        <v>743</v>
      </c>
      <c r="W318" s="371">
        <v>600</v>
      </c>
      <c r="X318" s="371">
        <v>343</v>
      </c>
      <c r="Y318" s="371">
        <v>721</v>
      </c>
      <c r="Z318" s="371">
        <v>421</v>
      </c>
      <c r="AA318" s="371">
        <v>183</v>
      </c>
      <c r="AB318" s="371">
        <v>446</v>
      </c>
      <c r="AC318" s="371">
        <v>795</v>
      </c>
      <c r="AD318" s="371">
        <v>309</v>
      </c>
      <c r="AE318" s="371">
        <v>0</v>
      </c>
      <c r="AF318" s="385">
        <f t="shared" si="114"/>
        <v>54</v>
      </c>
      <c r="AG318" s="371">
        <v>39</v>
      </c>
      <c r="AH318" s="371">
        <v>15</v>
      </c>
      <c r="AI318" s="387">
        <f t="shared" si="93"/>
        <v>0</v>
      </c>
    </row>
    <row r="319" spans="1:35" s="393" customFormat="1" ht="41.45" customHeight="1">
      <c r="A319" s="427" t="s">
        <v>906</v>
      </c>
      <c r="B319" s="428" t="s">
        <v>910</v>
      </c>
      <c r="C319" s="395" t="s">
        <v>894</v>
      </c>
      <c r="D319" s="396">
        <v>5</v>
      </c>
      <c r="E319" s="385">
        <f t="shared" si="111"/>
        <v>12698</v>
      </c>
      <c r="F319" s="368">
        <v>12698</v>
      </c>
      <c r="G319" s="368">
        <v>0</v>
      </c>
      <c r="H319" s="385">
        <f t="shared" si="112"/>
        <v>12698</v>
      </c>
      <c r="I319" s="371">
        <v>12698</v>
      </c>
      <c r="J319" s="371">
        <v>0</v>
      </c>
      <c r="K319" s="371">
        <v>0</v>
      </c>
      <c r="L319" s="371">
        <v>0</v>
      </c>
      <c r="M319" s="371">
        <v>0</v>
      </c>
      <c r="N319" s="371">
        <v>0</v>
      </c>
      <c r="O319" s="370">
        <v>0</v>
      </c>
      <c r="P319" s="386">
        <f t="shared" si="113"/>
        <v>0</v>
      </c>
      <c r="Q319" s="371">
        <v>0</v>
      </c>
      <c r="R319" s="371">
        <v>0</v>
      </c>
      <c r="S319" s="371">
        <v>0</v>
      </c>
      <c r="T319" s="371">
        <v>0</v>
      </c>
      <c r="U319" s="371">
        <v>0</v>
      </c>
      <c r="V319" s="371">
        <v>0</v>
      </c>
      <c r="W319" s="371">
        <v>0</v>
      </c>
      <c r="X319" s="371">
        <v>0</v>
      </c>
      <c r="Y319" s="371">
        <v>0</v>
      </c>
      <c r="Z319" s="371">
        <v>0</v>
      </c>
      <c r="AA319" s="371">
        <v>0</v>
      </c>
      <c r="AB319" s="371">
        <v>0</v>
      </c>
      <c r="AC319" s="371">
        <v>0</v>
      </c>
      <c r="AD319" s="371">
        <v>0</v>
      </c>
      <c r="AE319" s="371">
        <v>0</v>
      </c>
      <c r="AF319" s="385">
        <f t="shared" si="114"/>
        <v>0</v>
      </c>
      <c r="AG319" s="371">
        <v>0</v>
      </c>
      <c r="AH319" s="371">
        <v>0</v>
      </c>
      <c r="AI319" s="387">
        <f t="shared" si="93"/>
        <v>0</v>
      </c>
    </row>
    <row r="320" spans="1:35" s="393" customFormat="1" ht="37.5" customHeight="1">
      <c r="A320" s="427" t="s">
        <v>906</v>
      </c>
      <c r="B320" s="428" t="s">
        <v>910</v>
      </c>
      <c r="C320" s="395" t="s">
        <v>895</v>
      </c>
      <c r="D320" s="396">
        <v>5</v>
      </c>
      <c r="E320" s="385">
        <f t="shared" si="111"/>
        <v>272000</v>
      </c>
      <c r="F320" s="368">
        <v>272000</v>
      </c>
      <c r="G320" s="368">
        <v>0</v>
      </c>
      <c r="H320" s="385">
        <f t="shared" si="112"/>
        <v>152464</v>
      </c>
      <c r="I320" s="371">
        <v>38234</v>
      </c>
      <c r="J320" s="371">
        <v>20737</v>
      </c>
      <c r="K320" s="371">
        <v>20806</v>
      </c>
      <c r="L320" s="371">
        <v>22792</v>
      </c>
      <c r="M320" s="371">
        <v>12611</v>
      </c>
      <c r="N320" s="371">
        <v>37284</v>
      </c>
      <c r="O320" s="370">
        <v>0</v>
      </c>
      <c r="P320" s="386">
        <f t="shared" si="113"/>
        <v>118303</v>
      </c>
      <c r="Q320" s="371">
        <v>4560</v>
      </c>
      <c r="R320" s="371">
        <v>5269</v>
      </c>
      <c r="S320" s="371">
        <v>9136</v>
      </c>
      <c r="T320" s="371">
        <v>9590</v>
      </c>
      <c r="U320" s="371">
        <v>12367</v>
      </c>
      <c r="V320" s="371">
        <v>7452</v>
      </c>
      <c r="W320" s="371">
        <v>7133</v>
      </c>
      <c r="X320" s="371">
        <v>25798</v>
      </c>
      <c r="Y320" s="371">
        <v>6785</v>
      </c>
      <c r="Z320" s="371">
        <v>11379</v>
      </c>
      <c r="AA320" s="371">
        <v>904</v>
      </c>
      <c r="AB320" s="371">
        <v>12619</v>
      </c>
      <c r="AC320" s="371">
        <v>2377</v>
      </c>
      <c r="AD320" s="371">
        <v>2934</v>
      </c>
      <c r="AE320" s="371">
        <v>0</v>
      </c>
      <c r="AF320" s="385">
        <f t="shared" si="114"/>
        <v>1233</v>
      </c>
      <c r="AG320" s="371">
        <v>903</v>
      </c>
      <c r="AH320" s="371">
        <v>330</v>
      </c>
      <c r="AI320" s="387">
        <f t="shared" si="93"/>
        <v>0</v>
      </c>
    </row>
    <row r="321" spans="1:35" s="393" customFormat="1" ht="39.950000000000003" customHeight="1">
      <c r="A321" s="427" t="s">
        <v>906</v>
      </c>
      <c r="B321" s="428" t="s">
        <v>1111</v>
      </c>
      <c r="C321" s="395" t="s">
        <v>896</v>
      </c>
      <c r="D321" s="396">
        <v>9</v>
      </c>
      <c r="E321" s="385">
        <f t="shared" si="111"/>
        <v>20485</v>
      </c>
      <c r="F321" s="368">
        <v>1190</v>
      </c>
      <c r="G321" s="368">
        <v>19295</v>
      </c>
      <c r="H321" s="385">
        <f t="shared" si="112"/>
        <v>2850</v>
      </c>
      <c r="I321" s="371">
        <v>0</v>
      </c>
      <c r="J321" s="371">
        <v>0</v>
      </c>
      <c r="K321" s="371">
        <v>0</v>
      </c>
      <c r="L321" s="371">
        <v>2850</v>
      </c>
      <c r="M321" s="371">
        <v>0</v>
      </c>
      <c r="N321" s="371">
        <v>0</v>
      </c>
      <c r="O321" s="370">
        <v>0</v>
      </c>
      <c r="P321" s="386">
        <f t="shared" si="113"/>
        <v>17635</v>
      </c>
      <c r="Q321" s="371">
        <v>895</v>
      </c>
      <c r="R321" s="371">
        <v>0</v>
      </c>
      <c r="S321" s="371">
        <v>0</v>
      </c>
      <c r="T321" s="371">
        <v>0</v>
      </c>
      <c r="U321" s="371">
        <v>0</v>
      </c>
      <c r="V321" s="371">
        <v>2850</v>
      </c>
      <c r="W321" s="371">
        <v>0</v>
      </c>
      <c r="X321" s="371">
        <v>0</v>
      </c>
      <c r="Y321" s="371">
        <v>3050</v>
      </c>
      <c r="Z321" s="371">
        <v>0</v>
      </c>
      <c r="AA321" s="371">
        <v>0</v>
      </c>
      <c r="AB321" s="371">
        <v>3280</v>
      </c>
      <c r="AC321" s="371">
        <v>3960</v>
      </c>
      <c r="AD321" s="371">
        <v>3600</v>
      </c>
      <c r="AE321" s="371">
        <v>0</v>
      </c>
      <c r="AF321" s="385">
        <f t="shared" si="114"/>
        <v>0</v>
      </c>
      <c r="AG321" s="371">
        <v>0</v>
      </c>
      <c r="AH321" s="371">
        <v>0</v>
      </c>
      <c r="AI321" s="387">
        <f t="shared" si="93"/>
        <v>0</v>
      </c>
    </row>
    <row r="322" spans="1:35" s="393" customFormat="1" ht="33.6" customHeight="1">
      <c r="A322" s="427" t="s">
        <v>906</v>
      </c>
      <c r="B322" s="428" t="s">
        <v>1112</v>
      </c>
      <c r="C322" s="395" t="s">
        <v>152</v>
      </c>
      <c r="D322" s="396">
        <v>5</v>
      </c>
      <c r="E322" s="385">
        <f t="shared" si="111"/>
        <v>18258</v>
      </c>
      <c r="F322" s="368">
        <v>12182</v>
      </c>
      <c r="G322" s="368">
        <v>6076</v>
      </c>
      <c r="H322" s="385">
        <f t="shared" si="112"/>
        <v>4224</v>
      </c>
      <c r="I322" s="371">
        <v>660</v>
      </c>
      <c r="J322" s="371">
        <v>0</v>
      </c>
      <c r="K322" s="371">
        <v>665</v>
      </c>
      <c r="L322" s="371">
        <v>750</v>
      </c>
      <c r="M322" s="371">
        <v>1281</v>
      </c>
      <c r="N322" s="371">
        <v>868</v>
      </c>
      <c r="O322" s="370">
        <v>0</v>
      </c>
      <c r="P322" s="386">
        <f t="shared" si="113"/>
        <v>13743</v>
      </c>
      <c r="Q322" s="371">
        <v>970</v>
      </c>
      <c r="R322" s="371">
        <v>469</v>
      </c>
      <c r="S322" s="371">
        <v>875</v>
      </c>
      <c r="T322" s="371">
        <v>1145</v>
      </c>
      <c r="U322" s="371">
        <v>550</v>
      </c>
      <c r="V322" s="371">
        <v>1550</v>
      </c>
      <c r="W322" s="371">
        <v>1191</v>
      </c>
      <c r="X322" s="371">
        <v>1343</v>
      </c>
      <c r="Y322" s="371">
        <v>1500</v>
      </c>
      <c r="Z322" s="371">
        <v>1250</v>
      </c>
      <c r="AA322" s="371">
        <v>1520</v>
      </c>
      <c r="AB322" s="371">
        <v>455</v>
      </c>
      <c r="AC322" s="371">
        <v>390</v>
      </c>
      <c r="AD322" s="371">
        <v>535</v>
      </c>
      <c r="AE322" s="371">
        <v>0</v>
      </c>
      <c r="AF322" s="385">
        <f t="shared" si="114"/>
        <v>291</v>
      </c>
      <c r="AG322" s="371">
        <v>47</v>
      </c>
      <c r="AH322" s="371">
        <v>244</v>
      </c>
      <c r="AI322" s="387">
        <f t="shared" si="93"/>
        <v>0</v>
      </c>
    </row>
    <row r="323" spans="1:35" s="393" customFormat="1" ht="36" customHeight="1">
      <c r="A323" s="427" t="s">
        <v>906</v>
      </c>
      <c r="B323" s="428" t="s">
        <v>911</v>
      </c>
      <c r="C323" s="395" t="s">
        <v>897</v>
      </c>
      <c r="D323" s="396">
        <v>5</v>
      </c>
      <c r="E323" s="385">
        <f t="shared" si="111"/>
        <v>44624</v>
      </c>
      <c r="F323" s="368">
        <v>44624</v>
      </c>
      <c r="G323" s="368">
        <v>0</v>
      </c>
      <c r="H323" s="385">
        <f t="shared" si="112"/>
        <v>3598</v>
      </c>
      <c r="I323" s="371">
        <v>510</v>
      </c>
      <c r="J323" s="371">
        <v>0</v>
      </c>
      <c r="K323" s="371">
        <v>821</v>
      </c>
      <c r="L323" s="371">
        <v>900</v>
      </c>
      <c r="M323" s="371">
        <v>0</v>
      </c>
      <c r="N323" s="371">
        <v>1367</v>
      </c>
      <c r="O323" s="370">
        <v>0</v>
      </c>
      <c r="P323" s="386">
        <f t="shared" si="113"/>
        <v>32967</v>
      </c>
      <c r="Q323" s="371">
        <v>1222</v>
      </c>
      <c r="R323" s="371">
        <v>1275</v>
      </c>
      <c r="S323" s="371">
        <v>1071</v>
      </c>
      <c r="T323" s="371">
        <v>0</v>
      </c>
      <c r="U323" s="371">
        <v>2966</v>
      </c>
      <c r="V323" s="371">
        <v>0</v>
      </c>
      <c r="W323" s="371">
        <v>824</v>
      </c>
      <c r="X323" s="371">
        <v>4060</v>
      </c>
      <c r="Y323" s="371">
        <v>9513</v>
      </c>
      <c r="Z323" s="371">
        <v>2384</v>
      </c>
      <c r="AA323" s="371">
        <v>9652</v>
      </c>
      <c r="AB323" s="371">
        <v>0</v>
      </c>
      <c r="AC323" s="371">
        <v>0</v>
      </c>
      <c r="AD323" s="371">
        <v>0</v>
      </c>
      <c r="AE323" s="371">
        <v>0</v>
      </c>
      <c r="AF323" s="385">
        <f t="shared" si="114"/>
        <v>8059</v>
      </c>
      <c r="AG323" s="371">
        <v>6819</v>
      </c>
      <c r="AH323" s="371">
        <v>1240</v>
      </c>
      <c r="AI323" s="387">
        <f t="shared" si="93"/>
        <v>0</v>
      </c>
    </row>
    <row r="324" spans="1:35" s="393" customFormat="1" ht="31.5" customHeight="1">
      <c r="A324" s="427" t="s">
        <v>906</v>
      </c>
      <c r="B324" s="428" t="s">
        <v>911</v>
      </c>
      <c r="C324" s="395" t="s">
        <v>898</v>
      </c>
      <c r="D324" s="396">
        <v>5</v>
      </c>
      <c r="E324" s="385">
        <f t="shared" si="111"/>
        <v>222924</v>
      </c>
      <c r="F324" s="368">
        <v>156394</v>
      </c>
      <c r="G324" s="368">
        <v>66530</v>
      </c>
      <c r="H324" s="385">
        <f t="shared" si="112"/>
        <v>9178</v>
      </c>
      <c r="I324" s="371">
        <v>920</v>
      </c>
      <c r="J324" s="371">
        <v>0</v>
      </c>
      <c r="K324" s="371">
        <v>1138</v>
      </c>
      <c r="L324" s="371">
        <v>2405</v>
      </c>
      <c r="M324" s="371">
        <v>0</v>
      </c>
      <c r="N324" s="371">
        <v>4715</v>
      </c>
      <c r="O324" s="370">
        <v>0</v>
      </c>
      <c r="P324" s="386">
        <f t="shared" si="113"/>
        <v>112607</v>
      </c>
      <c r="Q324" s="371">
        <v>4217</v>
      </c>
      <c r="R324" s="371">
        <v>2058</v>
      </c>
      <c r="S324" s="371">
        <v>3093</v>
      </c>
      <c r="T324" s="371">
        <v>0</v>
      </c>
      <c r="U324" s="371">
        <v>4212</v>
      </c>
      <c r="V324" s="371">
        <v>0</v>
      </c>
      <c r="W324" s="371">
        <v>1960</v>
      </c>
      <c r="X324" s="371">
        <v>19400</v>
      </c>
      <c r="Y324" s="371">
        <v>14521</v>
      </c>
      <c r="Z324" s="371">
        <v>6295</v>
      </c>
      <c r="AA324" s="371">
        <v>56851</v>
      </c>
      <c r="AB324" s="371">
        <v>0</v>
      </c>
      <c r="AC324" s="371">
        <v>0</v>
      </c>
      <c r="AD324" s="371">
        <v>0</v>
      </c>
      <c r="AE324" s="371">
        <v>0</v>
      </c>
      <c r="AF324" s="385">
        <f t="shared" si="114"/>
        <v>101139</v>
      </c>
      <c r="AG324" s="371">
        <v>37681</v>
      </c>
      <c r="AH324" s="371">
        <v>63458</v>
      </c>
      <c r="AI324" s="387">
        <f t="shared" si="93"/>
        <v>0</v>
      </c>
    </row>
    <row r="325" spans="1:35" s="393" customFormat="1" ht="30.6" customHeight="1">
      <c r="A325" s="427" t="s">
        <v>906</v>
      </c>
      <c r="B325" s="428" t="s">
        <v>911</v>
      </c>
      <c r="C325" s="395" t="s">
        <v>899</v>
      </c>
      <c r="D325" s="396">
        <v>5</v>
      </c>
      <c r="E325" s="385">
        <f t="shared" si="111"/>
        <v>354235</v>
      </c>
      <c r="F325" s="368">
        <v>354235</v>
      </c>
      <c r="G325" s="368">
        <v>0</v>
      </c>
      <c r="H325" s="385">
        <f t="shared" si="112"/>
        <v>172511</v>
      </c>
      <c r="I325" s="371">
        <v>27145</v>
      </c>
      <c r="J325" s="371">
        <v>0</v>
      </c>
      <c r="K325" s="371">
        <v>22960</v>
      </c>
      <c r="L325" s="371">
        <v>66225</v>
      </c>
      <c r="M325" s="371">
        <v>27194</v>
      </c>
      <c r="N325" s="371">
        <v>28987</v>
      </c>
      <c r="O325" s="370">
        <v>0</v>
      </c>
      <c r="P325" s="386">
        <f t="shared" si="113"/>
        <v>179702</v>
      </c>
      <c r="Q325" s="371">
        <v>20714</v>
      </c>
      <c r="R325" s="371">
        <v>10643</v>
      </c>
      <c r="S325" s="371">
        <v>17697</v>
      </c>
      <c r="T325" s="371">
        <v>22541</v>
      </c>
      <c r="U325" s="371">
        <v>19322</v>
      </c>
      <c r="V325" s="371">
        <v>11231</v>
      </c>
      <c r="W325" s="371">
        <v>17393</v>
      </c>
      <c r="X325" s="371">
        <v>10802</v>
      </c>
      <c r="Y325" s="371">
        <v>9391</v>
      </c>
      <c r="Z325" s="371">
        <v>15094</v>
      </c>
      <c r="AA325" s="371">
        <v>3268</v>
      </c>
      <c r="AB325" s="371">
        <v>5349</v>
      </c>
      <c r="AC325" s="371">
        <v>5096</v>
      </c>
      <c r="AD325" s="371">
        <v>11161</v>
      </c>
      <c r="AE325" s="371">
        <v>0</v>
      </c>
      <c r="AF325" s="385">
        <f t="shared" si="114"/>
        <v>2022</v>
      </c>
      <c r="AG325" s="371">
        <v>1718</v>
      </c>
      <c r="AH325" s="371">
        <v>304</v>
      </c>
      <c r="AI325" s="387">
        <f t="shared" ref="AI325:AI370" si="115">IF(+F325+G325=E325,0,FALSE)</f>
        <v>0</v>
      </c>
    </row>
    <row r="326" spans="1:35" s="393" customFormat="1" ht="24" customHeight="1">
      <c r="A326" s="427" t="s">
        <v>906</v>
      </c>
      <c r="B326" s="428" t="s">
        <v>912</v>
      </c>
      <c r="C326" s="395" t="s">
        <v>1113</v>
      </c>
      <c r="D326" s="396">
        <v>5</v>
      </c>
      <c r="E326" s="385">
        <f t="shared" si="111"/>
        <v>2423563</v>
      </c>
      <c r="F326" s="368">
        <v>2423563</v>
      </c>
      <c r="G326" s="368">
        <v>0</v>
      </c>
      <c r="H326" s="385">
        <f t="shared" si="112"/>
        <v>2423563</v>
      </c>
      <c r="I326" s="371">
        <v>0</v>
      </c>
      <c r="J326" s="371">
        <v>781200</v>
      </c>
      <c r="K326" s="371">
        <v>0</v>
      </c>
      <c r="L326" s="371">
        <v>0</v>
      </c>
      <c r="M326" s="371">
        <v>0</v>
      </c>
      <c r="N326" s="371">
        <v>1642363</v>
      </c>
      <c r="O326" s="370">
        <v>0</v>
      </c>
      <c r="P326" s="386">
        <f t="shared" si="113"/>
        <v>0</v>
      </c>
      <c r="Q326" s="371">
        <v>0</v>
      </c>
      <c r="R326" s="371">
        <v>0</v>
      </c>
      <c r="S326" s="371">
        <v>0</v>
      </c>
      <c r="T326" s="371">
        <v>0</v>
      </c>
      <c r="U326" s="371">
        <v>0</v>
      </c>
      <c r="V326" s="371">
        <v>0</v>
      </c>
      <c r="W326" s="371">
        <v>0</v>
      </c>
      <c r="X326" s="371">
        <v>0</v>
      </c>
      <c r="Y326" s="371">
        <v>0</v>
      </c>
      <c r="Z326" s="371">
        <v>0</v>
      </c>
      <c r="AA326" s="371">
        <v>0</v>
      </c>
      <c r="AB326" s="371">
        <v>0</v>
      </c>
      <c r="AC326" s="371">
        <v>0</v>
      </c>
      <c r="AD326" s="371">
        <v>0</v>
      </c>
      <c r="AE326" s="371">
        <v>0</v>
      </c>
      <c r="AF326" s="385">
        <f t="shared" si="114"/>
        <v>0</v>
      </c>
      <c r="AG326" s="371">
        <v>0</v>
      </c>
      <c r="AH326" s="371">
        <v>0</v>
      </c>
      <c r="AI326" s="387">
        <f t="shared" si="115"/>
        <v>0</v>
      </c>
    </row>
    <row r="327" spans="1:35" s="410" customFormat="1" ht="30" customHeight="1">
      <c r="A327" s="429" t="s">
        <v>906</v>
      </c>
      <c r="B327" s="430" t="s">
        <v>194</v>
      </c>
      <c r="C327" s="413" t="s">
        <v>195</v>
      </c>
      <c r="D327" s="414">
        <v>5</v>
      </c>
      <c r="E327" s="415">
        <f t="shared" si="111"/>
        <v>125132</v>
      </c>
      <c r="F327" s="415">
        <v>125132</v>
      </c>
      <c r="G327" s="415">
        <v>0</v>
      </c>
      <c r="H327" s="415">
        <f t="shared" si="112"/>
        <v>58903</v>
      </c>
      <c r="I327" s="415">
        <v>11063</v>
      </c>
      <c r="J327" s="415">
        <v>5382</v>
      </c>
      <c r="K327" s="415">
        <v>5382</v>
      </c>
      <c r="L327" s="415">
        <v>11512</v>
      </c>
      <c r="M327" s="415">
        <v>12259</v>
      </c>
      <c r="N327" s="415">
        <v>13305</v>
      </c>
      <c r="O327" s="416">
        <v>0</v>
      </c>
      <c r="P327" s="416">
        <f t="shared" si="113"/>
        <v>63239</v>
      </c>
      <c r="Q327" s="415">
        <v>3738</v>
      </c>
      <c r="R327" s="415">
        <v>4335</v>
      </c>
      <c r="S327" s="415">
        <v>5681</v>
      </c>
      <c r="T327" s="415">
        <v>8073</v>
      </c>
      <c r="U327" s="415">
        <v>4336</v>
      </c>
      <c r="V327" s="415">
        <v>6129</v>
      </c>
      <c r="W327" s="415">
        <v>5532</v>
      </c>
      <c r="X327" s="415">
        <v>10016</v>
      </c>
      <c r="Y327" s="415">
        <v>4934</v>
      </c>
      <c r="Z327" s="415">
        <v>4186</v>
      </c>
      <c r="AA327" s="415">
        <v>1794</v>
      </c>
      <c r="AB327" s="415">
        <v>2392</v>
      </c>
      <c r="AC327" s="415">
        <v>1196</v>
      </c>
      <c r="AD327" s="415">
        <v>897</v>
      </c>
      <c r="AE327" s="415">
        <v>0</v>
      </c>
      <c r="AF327" s="415">
        <f t="shared" si="114"/>
        <v>2990</v>
      </c>
      <c r="AG327" s="415">
        <v>1794</v>
      </c>
      <c r="AH327" s="415">
        <v>1196</v>
      </c>
      <c r="AI327" s="387">
        <f t="shared" si="115"/>
        <v>0</v>
      </c>
    </row>
    <row r="328" spans="1:35" s="410" customFormat="1" ht="26.1" customHeight="1">
      <c r="A328" s="405" t="s">
        <v>1114</v>
      </c>
      <c r="B328" s="406"/>
      <c r="C328" s="407"/>
      <c r="D328" s="408"/>
      <c r="E328" s="409">
        <f t="shared" ref="E328:AH328" si="116">SUM(E329:E341)</f>
        <v>17845355</v>
      </c>
      <c r="F328" s="409">
        <f t="shared" si="116"/>
        <v>17678717</v>
      </c>
      <c r="G328" s="409">
        <f t="shared" si="116"/>
        <v>166638</v>
      </c>
      <c r="H328" s="409">
        <f t="shared" si="116"/>
        <v>11307463</v>
      </c>
      <c r="I328" s="409">
        <f t="shared" si="116"/>
        <v>2524143</v>
      </c>
      <c r="J328" s="409">
        <f t="shared" si="116"/>
        <v>1451533</v>
      </c>
      <c r="K328" s="409">
        <f t="shared" si="116"/>
        <v>1406068</v>
      </c>
      <c r="L328" s="409">
        <f t="shared" si="116"/>
        <v>2141325</v>
      </c>
      <c r="M328" s="409">
        <f t="shared" si="116"/>
        <v>1436871</v>
      </c>
      <c r="N328" s="409">
        <f t="shared" si="116"/>
        <v>2347523</v>
      </c>
      <c r="O328" s="409">
        <f t="shared" si="116"/>
        <v>0</v>
      </c>
      <c r="P328" s="409">
        <f t="shared" si="116"/>
        <v>6435124</v>
      </c>
      <c r="Q328" s="409">
        <f t="shared" si="116"/>
        <v>391053</v>
      </c>
      <c r="R328" s="409">
        <f t="shared" si="116"/>
        <v>385419</v>
      </c>
      <c r="S328" s="409">
        <f t="shared" si="116"/>
        <v>501982</v>
      </c>
      <c r="T328" s="409">
        <f t="shared" si="116"/>
        <v>1096525</v>
      </c>
      <c r="U328" s="409">
        <f t="shared" si="116"/>
        <v>576182</v>
      </c>
      <c r="V328" s="409">
        <f t="shared" si="116"/>
        <v>696819</v>
      </c>
      <c r="W328" s="409">
        <f t="shared" si="116"/>
        <v>484105</v>
      </c>
      <c r="X328" s="409">
        <f t="shared" si="116"/>
        <v>909903</v>
      </c>
      <c r="Y328" s="409">
        <f t="shared" si="116"/>
        <v>267152</v>
      </c>
      <c r="Z328" s="409">
        <f t="shared" si="116"/>
        <v>326209</v>
      </c>
      <c r="AA328" s="409">
        <f t="shared" si="116"/>
        <v>113522</v>
      </c>
      <c r="AB328" s="409">
        <f t="shared" si="116"/>
        <v>237414</v>
      </c>
      <c r="AC328" s="409">
        <f t="shared" si="116"/>
        <v>262366</v>
      </c>
      <c r="AD328" s="409">
        <f t="shared" si="116"/>
        <v>183699</v>
      </c>
      <c r="AE328" s="409">
        <f t="shared" si="116"/>
        <v>2774</v>
      </c>
      <c r="AF328" s="409">
        <f t="shared" si="116"/>
        <v>102768</v>
      </c>
      <c r="AG328" s="409">
        <f t="shared" si="116"/>
        <v>95758</v>
      </c>
      <c r="AH328" s="409">
        <f t="shared" si="116"/>
        <v>7010</v>
      </c>
      <c r="AI328" s="387">
        <f t="shared" si="115"/>
        <v>0</v>
      </c>
    </row>
    <row r="329" spans="1:35" s="393" customFormat="1" ht="24" customHeight="1">
      <c r="A329" s="427" t="s">
        <v>906</v>
      </c>
      <c r="B329" s="428" t="s">
        <v>900</v>
      </c>
      <c r="C329" s="395" t="s">
        <v>699</v>
      </c>
      <c r="D329" s="396">
        <v>5</v>
      </c>
      <c r="E329" s="385">
        <f t="shared" ref="E329:E343" si="117">SUM(H329,P329,AF329)</f>
        <v>7633970</v>
      </c>
      <c r="F329" s="368">
        <v>7476826</v>
      </c>
      <c r="G329" s="368">
        <v>157144</v>
      </c>
      <c r="H329" s="385">
        <f t="shared" ref="H329:H343" si="118">SUM(I329:O329)</f>
        <v>4502632</v>
      </c>
      <c r="I329" s="371">
        <v>806900</v>
      </c>
      <c r="J329" s="371">
        <v>602372</v>
      </c>
      <c r="K329" s="371">
        <v>498539</v>
      </c>
      <c r="L329" s="371">
        <v>774509</v>
      </c>
      <c r="M329" s="371">
        <v>654202</v>
      </c>
      <c r="N329" s="371">
        <v>1166110</v>
      </c>
      <c r="O329" s="370">
        <v>0</v>
      </c>
      <c r="P329" s="386">
        <f t="shared" ref="P329:P343" si="119">SUM(Q329:AE329)</f>
        <v>3086189</v>
      </c>
      <c r="Q329" s="371">
        <v>182747</v>
      </c>
      <c r="R329" s="371">
        <v>158099</v>
      </c>
      <c r="S329" s="371">
        <v>251635</v>
      </c>
      <c r="T329" s="371">
        <v>469112</v>
      </c>
      <c r="U329" s="371">
        <v>304125</v>
      </c>
      <c r="V329" s="371">
        <v>373784</v>
      </c>
      <c r="W329" s="371">
        <v>269300</v>
      </c>
      <c r="X329" s="371">
        <v>507964</v>
      </c>
      <c r="Y329" s="371">
        <v>142227</v>
      </c>
      <c r="Z329" s="371">
        <v>152727</v>
      </c>
      <c r="AA329" s="371">
        <v>51634</v>
      </c>
      <c r="AB329" s="371">
        <v>90101</v>
      </c>
      <c r="AC329" s="371">
        <v>67050</v>
      </c>
      <c r="AD329" s="371">
        <v>65684</v>
      </c>
      <c r="AE329" s="371">
        <v>0</v>
      </c>
      <c r="AF329" s="385">
        <f t="shared" ref="AF329:AF343" si="120">SUM(AG329:AH329)</f>
        <v>45149</v>
      </c>
      <c r="AG329" s="371">
        <v>42250</v>
      </c>
      <c r="AH329" s="371">
        <v>2899</v>
      </c>
      <c r="AI329" s="387">
        <f t="shared" si="115"/>
        <v>0</v>
      </c>
    </row>
    <row r="330" spans="1:35" s="393" customFormat="1" ht="24" customHeight="1">
      <c r="A330" s="427" t="s">
        <v>906</v>
      </c>
      <c r="B330" s="428" t="s">
        <v>900</v>
      </c>
      <c r="C330" s="395" t="s">
        <v>192</v>
      </c>
      <c r="D330" s="396">
        <v>5</v>
      </c>
      <c r="E330" s="385">
        <f t="shared" si="117"/>
        <v>94492</v>
      </c>
      <c r="F330" s="368">
        <v>87772</v>
      </c>
      <c r="G330" s="368">
        <v>6720</v>
      </c>
      <c r="H330" s="385">
        <f t="shared" si="118"/>
        <v>61556</v>
      </c>
      <c r="I330" s="371">
        <v>9140</v>
      </c>
      <c r="J330" s="371">
        <v>595</v>
      </c>
      <c r="K330" s="371">
        <v>10842</v>
      </c>
      <c r="L330" s="371">
        <v>6804</v>
      </c>
      <c r="M330" s="371">
        <v>27498</v>
      </c>
      <c r="N330" s="371">
        <v>6677</v>
      </c>
      <c r="O330" s="370">
        <v>0</v>
      </c>
      <c r="P330" s="386">
        <f t="shared" si="119"/>
        <v>32129</v>
      </c>
      <c r="Q330" s="371">
        <v>2168</v>
      </c>
      <c r="R330" s="371">
        <v>1109</v>
      </c>
      <c r="S330" s="371">
        <v>2420</v>
      </c>
      <c r="T330" s="371">
        <v>3402</v>
      </c>
      <c r="U330" s="371">
        <v>2718</v>
      </c>
      <c r="V330" s="371">
        <v>1764</v>
      </c>
      <c r="W330" s="371">
        <v>2145</v>
      </c>
      <c r="X330" s="371">
        <v>5771</v>
      </c>
      <c r="Y330" s="371">
        <v>1512</v>
      </c>
      <c r="Z330" s="371">
        <v>1134</v>
      </c>
      <c r="AA330" s="371">
        <v>889</v>
      </c>
      <c r="AB330" s="371">
        <v>5486</v>
      </c>
      <c r="AC330" s="371">
        <v>857</v>
      </c>
      <c r="AD330" s="371">
        <v>754</v>
      </c>
      <c r="AE330" s="371">
        <v>0</v>
      </c>
      <c r="AF330" s="385">
        <f t="shared" si="120"/>
        <v>807</v>
      </c>
      <c r="AG330" s="371">
        <v>580</v>
      </c>
      <c r="AH330" s="371">
        <v>227</v>
      </c>
      <c r="AI330" s="387">
        <f t="shared" si="115"/>
        <v>0</v>
      </c>
    </row>
    <row r="331" spans="1:35" s="393" customFormat="1" ht="36.6" customHeight="1">
      <c r="A331" s="427" t="s">
        <v>906</v>
      </c>
      <c r="B331" s="428" t="s">
        <v>900</v>
      </c>
      <c r="C331" s="395" t="s">
        <v>901</v>
      </c>
      <c r="D331" s="396">
        <v>5</v>
      </c>
      <c r="E331" s="385">
        <f t="shared" si="117"/>
        <v>110138</v>
      </c>
      <c r="F331" s="368">
        <v>110138</v>
      </c>
      <c r="G331" s="368">
        <v>0</v>
      </c>
      <c r="H331" s="385">
        <f t="shared" si="118"/>
        <v>71300</v>
      </c>
      <c r="I331" s="371">
        <v>9000</v>
      </c>
      <c r="J331" s="371">
        <v>0</v>
      </c>
      <c r="K331" s="371">
        <v>11200</v>
      </c>
      <c r="L331" s="371">
        <v>11200</v>
      </c>
      <c r="M331" s="371">
        <v>7800</v>
      </c>
      <c r="N331" s="371">
        <v>32100</v>
      </c>
      <c r="O331" s="370">
        <v>0</v>
      </c>
      <c r="P331" s="386">
        <f t="shared" si="119"/>
        <v>38838</v>
      </c>
      <c r="Q331" s="371">
        <v>1160</v>
      </c>
      <c r="R331" s="371">
        <v>1000</v>
      </c>
      <c r="S331" s="371">
        <v>900</v>
      </c>
      <c r="T331" s="371">
        <v>5300</v>
      </c>
      <c r="U331" s="371">
        <v>5178</v>
      </c>
      <c r="V331" s="371">
        <v>4600</v>
      </c>
      <c r="W331" s="371">
        <v>3100</v>
      </c>
      <c r="X331" s="371">
        <v>5100</v>
      </c>
      <c r="Y331" s="371">
        <v>1100</v>
      </c>
      <c r="Z331" s="371">
        <v>1600</v>
      </c>
      <c r="AA331" s="371">
        <v>700</v>
      </c>
      <c r="AB331" s="371">
        <v>5600</v>
      </c>
      <c r="AC331" s="371">
        <v>1400</v>
      </c>
      <c r="AD331" s="371">
        <v>2100</v>
      </c>
      <c r="AE331" s="371">
        <v>0</v>
      </c>
      <c r="AF331" s="385">
        <f t="shared" si="120"/>
        <v>0</v>
      </c>
      <c r="AG331" s="371">
        <v>0</v>
      </c>
      <c r="AH331" s="371">
        <v>0</v>
      </c>
      <c r="AI331" s="387">
        <f t="shared" si="115"/>
        <v>0</v>
      </c>
    </row>
    <row r="332" spans="1:35" s="393" customFormat="1" ht="24" customHeight="1">
      <c r="A332" s="427" t="s">
        <v>906</v>
      </c>
      <c r="B332" s="428" t="s">
        <v>900</v>
      </c>
      <c r="C332" s="395" t="s">
        <v>117</v>
      </c>
      <c r="D332" s="396">
        <v>5</v>
      </c>
      <c r="E332" s="385">
        <f t="shared" si="117"/>
        <v>268200</v>
      </c>
      <c r="F332" s="368">
        <v>268200</v>
      </c>
      <c r="G332" s="368">
        <v>0</v>
      </c>
      <c r="H332" s="385">
        <f t="shared" si="118"/>
        <v>179288</v>
      </c>
      <c r="I332" s="371">
        <v>40039</v>
      </c>
      <c r="J332" s="371">
        <v>22000</v>
      </c>
      <c r="K332" s="371">
        <v>11569</v>
      </c>
      <c r="L332" s="371">
        <v>33259</v>
      </c>
      <c r="M332" s="371">
        <v>20463</v>
      </c>
      <c r="N332" s="371">
        <v>51958</v>
      </c>
      <c r="O332" s="370">
        <v>0</v>
      </c>
      <c r="P332" s="386">
        <f t="shared" si="119"/>
        <v>88725</v>
      </c>
      <c r="Q332" s="371">
        <v>3199</v>
      </c>
      <c r="R332" s="371">
        <v>2224</v>
      </c>
      <c r="S332" s="371">
        <v>4875</v>
      </c>
      <c r="T332" s="371">
        <v>11924</v>
      </c>
      <c r="U332" s="371">
        <v>11088</v>
      </c>
      <c r="V332" s="371">
        <v>10390</v>
      </c>
      <c r="W332" s="371">
        <v>9154</v>
      </c>
      <c r="X332" s="371">
        <v>11311</v>
      </c>
      <c r="Y332" s="371">
        <v>2516</v>
      </c>
      <c r="Z332" s="371">
        <v>3816</v>
      </c>
      <c r="AA332" s="371">
        <v>2376</v>
      </c>
      <c r="AB332" s="371">
        <v>6093</v>
      </c>
      <c r="AC332" s="371">
        <v>4770</v>
      </c>
      <c r="AD332" s="371">
        <v>4989</v>
      </c>
      <c r="AE332" s="371">
        <v>0</v>
      </c>
      <c r="AF332" s="385">
        <f t="shared" si="120"/>
        <v>187</v>
      </c>
      <c r="AG332" s="371">
        <v>100</v>
      </c>
      <c r="AH332" s="371">
        <v>87</v>
      </c>
      <c r="AI332" s="387">
        <f t="shared" si="115"/>
        <v>0</v>
      </c>
    </row>
    <row r="333" spans="1:35" s="393" customFormat="1" ht="33" customHeight="1">
      <c r="A333" s="427" t="s">
        <v>906</v>
      </c>
      <c r="B333" s="428" t="s">
        <v>900</v>
      </c>
      <c r="C333" s="395" t="s">
        <v>700</v>
      </c>
      <c r="D333" s="396">
        <v>5</v>
      </c>
      <c r="E333" s="385">
        <f t="shared" si="117"/>
        <v>1417116</v>
      </c>
      <c r="F333" s="368">
        <v>1417116</v>
      </c>
      <c r="G333" s="368">
        <v>0</v>
      </c>
      <c r="H333" s="385">
        <f t="shared" si="118"/>
        <v>845930</v>
      </c>
      <c r="I333" s="371">
        <v>194000</v>
      </c>
      <c r="J333" s="371">
        <v>75000</v>
      </c>
      <c r="K333" s="371">
        <v>83330</v>
      </c>
      <c r="L333" s="371">
        <v>159000</v>
      </c>
      <c r="M333" s="371">
        <v>134600</v>
      </c>
      <c r="N333" s="371">
        <v>200000</v>
      </c>
      <c r="O333" s="370">
        <v>0</v>
      </c>
      <c r="P333" s="386">
        <f t="shared" si="119"/>
        <v>568000</v>
      </c>
      <c r="Q333" s="371">
        <v>33700</v>
      </c>
      <c r="R333" s="371">
        <v>21500</v>
      </c>
      <c r="S333" s="371">
        <v>41000</v>
      </c>
      <c r="T333" s="371">
        <v>91600</v>
      </c>
      <c r="U333" s="371">
        <v>45400</v>
      </c>
      <c r="V333" s="371">
        <v>66700</v>
      </c>
      <c r="W333" s="371">
        <v>46500</v>
      </c>
      <c r="X333" s="371">
        <v>85000</v>
      </c>
      <c r="Y333" s="371">
        <v>28100</v>
      </c>
      <c r="Z333" s="371">
        <v>35500</v>
      </c>
      <c r="AA333" s="371">
        <v>10000</v>
      </c>
      <c r="AB333" s="371">
        <v>28000</v>
      </c>
      <c r="AC333" s="371">
        <v>17500</v>
      </c>
      <c r="AD333" s="371">
        <v>17500</v>
      </c>
      <c r="AE333" s="371">
        <v>0</v>
      </c>
      <c r="AF333" s="385">
        <f t="shared" si="120"/>
        <v>3186</v>
      </c>
      <c r="AG333" s="371">
        <v>3000</v>
      </c>
      <c r="AH333" s="371">
        <v>186</v>
      </c>
      <c r="AI333" s="387">
        <f t="shared" si="115"/>
        <v>0</v>
      </c>
    </row>
    <row r="334" spans="1:35" s="393" customFormat="1" ht="32.450000000000003" customHeight="1">
      <c r="A334" s="427" t="s">
        <v>906</v>
      </c>
      <c r="B334" s="428" t="s">
        <v>900</v>
      </c>
      <c r="C334" s="395" t="s">
        <v>701</v>
      </c>
      <c r="D334" s="396">
        <v>5</v>
      </c>
      <c r="E334" s="385">
        <f t="shared" si="117"/>
        <v>255000</v>
      </c>
      <c r="F334" s="368">
        <v>255000</v>
      </c>
      <c r="G334" s="368">
        <v>0</v>
      </c>
      <c r="H334" s="385">
        <f t="shared" si="118"/>
        <v>142848</v>
      </c>
      <c r="I334" s="371">
        <v>29100</v>
      </c>
      <c r="J334" s="371">
        <v>9800</v>
      </c>
      <c r="K334" s="371">
        <v>30654</v>
      </c>
      <c r="L334" s="371">
        <v>22703</v>
      </c>
      <c r="M334" s="371">
        <v>16724</v>
      </c>
      <c r="N334" s="371">
        <v>33867</v>
      </c>
      <c r="O334" s="370">
        <v>0</v>
      </c>
      <c r="P334" s="386">
        <f t="shared" si="119"/>
        <v>111322</v>
      </c>
      <c r="Q334" s="371">
        <v>3493</v>
      </c>
      <c r="R334" s="371">
        <v>6300</v>
      </c>
      <c r="S334" s="371">
        <v>9327</v>
      </c>
      <c r="T334" s="371">
        <v>26100</v>
      </c>
      <c r="U334" s="371">
        <v>14900</v>
      </c>
      <c r="V334" s="371">
        <v>10573</v>
      </c>
      <c r="W334" s="371">
        <v>6502</v>
      </c>
      <c r="X334" s="371">
        <v>11500</v>
      </c>
      <c r="Y334" s="371">
        <v>7800</v>
      </c>
      <c r="Z334" s="371">
        <v>5440</v>
      </c>
      <c r="AA334" s="371">
        <v>2500</v>
      </c>
      <c r="AB334" s="371">
        <v>4400</v>
      </c>
      <c r="AC334" s="371">
        <v>680</v>
      </c>
      <c r="AD334" s="371">
        <v>1807</v>
      </c>
      <c r="AE334" s="371">
        <v>0</v>
      </c>
      <c r="AF334" s="385">
        <f t="shared" si="120"/>
        <v>830</v>
      </c>
      <c r="AG334" s="371">
        <v>830</v>
      </c>
      <c r="AH334" s="371">
        <v>0</v>
      </c>
      <c r="AI334" s="387">
        <f t="shared" si="115"/>
        <v>0</v>
      </c>
    </row>
    <row r="335" spans="1:35" s="393" customFormat="1" ht="36.6" customHeight="1">
      <c r="A335" s="427" t="s">
        <v>906</v>
      </c>
      <c r="B335" s="428" t="s">
        <v>900</v>
      </c>
      <c r="C335" s="395" t="s">
        <v>705</v>
      </c>
      <c r="D335" s="396">
        <v>5</v>
      </c>
      <c r="E335" s="385">
        <f t="shared" si="117"/>
        <v>2774</v>
      </c>
      <c r="F335" s="368">
        <v>0</v>
      </c>
      <c r="G335" s="368">
        <v>2774</v>
      </c>
      <c r="H335" s="385">
        <f t="shared" si="118"/>
        <v>0</v>
      </c>
      <c r="I335" s="371">
        <v>0</v>
      </c>
      <c r="J335" s="371">
        <v>0</v>
      </c>
      <c r="K335" s="371">
        <v>0</v>
      </c>
      <c r="L335" s="371">
        <v>0</v>
      </c>
      <c r="M335" s="371">
        <v>0</v>
      </c>
      <c r="N335" s="371">
        <v>0</v>
      </c>
      <c r="O335" s="370">
        <v>0</v>
      </c>
      <c r="P335" s="386">
        <f t="shared" si="119"/>
        <v>2774</v>
      </c>
      <c r="Q335" s="371">
        <v>0</v>
      </c>
      <c r="R335" s="371">
        <v>0</v>
      </c>
      <c r="S335" s="371">
        <v>0</v>
      </c>
      <c r="T335" s="371">
        <v>0</v>
      </c>
      <c r="U335" s="371">
        <v>0</v>
      </c>
      <c r="V335" s="371">
        <v>0</v>
      </c>
      <c r="W335" s="371">
        <v>0</v>
      </c>
      <c r="X335" s="371"/>
      <c r="Y335" s="371">
        <v>0</v>
      </c>
      <c r="Z335" s="371">
        <v>0</v>
      </c>
      <c r="AA335" s="371">
        <v>0</v>
      </c>
      <c r="AB335" s="371">
        <v>0</v>
      </c>
      <c r="AC335" s="371">
        <v>0</v>
      </c>
      <c r="AD335" s="371">
        <v>0</v>
      </c>
      <c r="AE335" s="371">
        <v>2774</v>
      </c>
      <c r="AF335" s="385">
        <f t="shared" si="120"/>
        <v>0</v>
      </c>
      <c r="AG335" s="371">
        <v>0</v>
      </c>
      <c r="AH335" s="371">
        <v>0</v>
      </c>
      <c r="AI335" s="387">
        <f t="shared" si="115"/>
        <v>0</v>
      </c>
    </row>
    <row r="336" spans="1:35" s="393" customFormat="1" ht="24" customHeight="1">
      <c r="A336" s="427" t="s">
        <v>906</v>
      </c>
      <c r="B336" s="428" t="s">
        <v>900</v>
      </c>
      <c r="C336" s="395" t="s">
        <v>902</v>
      </c>
      <c r="D336" s="396">
        <v>5</v>
      </c>
      <c r="E336" s="385">
        <f t="shared" si="117"/>
        <v>70933</v>
      </c>
      <c r="F336" s="368">
        <v>70933</v>
      </c>
      <c r="G336" s="368">
        <v>0</v>
      </c>
      <c r="H336" s="385">
        <f t="shared" si="118"/>
        <v>54435</v>
      </c>
      <c r="I336" s="371">
        <v>23594</v>
      </c>
      <c r="J336" s="371">
        <v>790</v>
      </c>
      <c r="K336" s="371">
        <v>18766</v>
      </c>
      <c r="L336" s="371">
        <v>5855</v>
      </c>
      <c r="M336" s="371">
        <v>4370</v>
      </c>
      <c r="N336" s="371">
        <v>1060</v>
      </c>
      <c r="O336" s="370">
        <v>0</v>
      </c>
      <c r="P336" s="386">
        <f t="shared" si="119"/>
        <v>16498</v>
      </c>
      <c r="Q336" s="371">
        <v>1353</v>
      </c>
      <c r="R336" s="371">
        <v>3391</v>
      </c>
      <c r="S336" s="371">
        <v>1100</v>
      </c>
      <c r="T336" s="371">
        <v>593</v>
      </c>
      <c r="U336" s="371">
        <v>410</v>
      </c>
      <c r="V336" s="371">
        <v>663</v>
      </c>
      <c r="W336" s="371">
        <v>580</v>
      </c>
      <c r="X336" s="371">
        <v>580</v>
      </c>
      <c r="Y336" s="371">
        <v>507</v>
      </c>
      <c r="Z336" s="371">
        <v>580</v>
      </c>
      <c r="AA336" s="371">
        <v>0</v>
      </c>
      <c r="AB336" s="371">
        <v>600</v>
      </c>
      <c r="AC336" s="371">
        <v>6141</v>
      </c>
      <c r="AD336" s="371">
        <v>0</v>
      </c>
      <c r="AE336" s="371">
        <v>0</v>
      </c>
      <c r="AF336" s="385">
        <f t="shared" si="120"/>
        <v>0</v>
      </c>
      <c r="AG336" s="371">
        <v>0</v>
      </c>
      <c r="AH336" s="371">
        <v>0</v>
      </c>
      <c r="AI336" s="387">
        <f t="shared" si="115"/>
        <v>0</v>
      </c>
    </row>
    <row r="337" spans="1:35" s="393" customFormat="1" ht="36.950000000000003" customHeight="1">
      <c r="A337" s="427" t="s">
        <v>906</v>
      </c>
      <c r="B337" s="428" t="s">
        <v>900</v>
      </c>
      <c r="C337" s="395" t="s">
        <v>903</v>
      </c>
      <c r="D337" s="396">
        <v>5</v>
      </c>
      <c r="E337" s="385">
        <f t="shared" si="117"/>
        <v>678848</v>
      </c>
      <c r="F337" s="368">
        <v>678848</v>
      </c>
      <c r="G337" s="368">
        <v>0</v>
      </c>
      <c r="H337" s="385">
        <f t="shared" si="118"/>
        <v>427341</v>
      </c>
      <c r="I337" s="371">
        <v>102492</v>
      </c>
      <c r="J337" s="371">
        <v>26119</v>
      </c>
      <c r="K337" s="371">
        <v>64130</v>
      </c>
      <c r="L337" s="371">
        <v>107039</v>
      </c>
      <c r="M337" s="371">
        <v>43259</v>
      </c>
      <c r="N337" s="371">
        <v>84302</v>
      </c>
      <c r="O337" s="370">
        <v>0</v>
      </c>
      <c r="P337" s="386">
        <f t="shared" si="119"/>
        <v>249525</v>
      </c>
      <c r="Q337" s="371">
        <v>8628</v>
      </c>
      <c r="R337" s="371">
        <v>11077</v>
      </c>
      <c r="S337" s="371">
        <v>17257</v>
      </c>
      <c r="T337" s="371">
        <v>51071</v>
      </c>
      <c r="U337" s="371">
        <v>35913</v>
      </c>
      <c r="V337" s="371">
        <v>15974</v>
      </c>
      <c r="W337" s="371">
        <v>11777</v>
      </c>
      <c r="X337" s="371">
        <v>46407</v>
      </c>
      <c r="Y337" s="371">
        <v>13176</v>
      </c>
      <c r="Z337" s="371">
        <v>13176</v>
      </c>
      <c r="AA337" s="371">
        <v>8396</v>
      </c>
      <c r="AB337" s="371">
        <v>6296</v>
      </c>
      <c r="AC337" s="371">
        <v>6063</v>
      </c>
      <c r="AD337" s="371">
        <v>4314</v>
      </c>
      <c r="AE337" s="371">
        <v>0</v>
      </c>
      <c r="AF337" s="385">
        <f t="shared" si="120"/>
        <v>1982</v>
      </c>
      <c r="AG337" s="371">
        <v>1749</v>
      </c>
      <c r="AH337" s="371">
        <v>233</v>
      </c>
      <c r="AI337" s="387">
        <f t="shared" si="115"/>
        <v>0</v>
      </c>
    </row>
    <row r="338" spans="1:35" s="393" customFormat="1" ht="31.5" customHeight="1">
      <c r="A338" s="427" t="s">
        <v>906</v>
      </c>
      <c r="B338" s="428" t="s">
        <v>900</v>
      </c>
      <c r="C338" s="395" t="s">
        <v>432</v>
      </c>
      <c r="D338" s="396">
        <v>5</v>
      </c>
      <c r="E338" s="385">
        <f t="shared" si="117"/>
        <v>5222902</v>
      </c>
      <c r="F338" s="368">
        <v>5222902</v>
      </c>
      <c r="G338" s="368">
        <v>0</v>
      </c>
      <c r="H338" s="385">
        <f t="shared" si="118"/>
        <v>3469325</v>
      </c>
      <c r="I338" s="371">
        <v>875967</v>
      </c>
      <c r="J338" s="371">
        <v>467688</v>
      </c>
      <c r="K338" s="371">
        <v>494025</v>
      </c>
      <c r="L338" s="371">
        <v>674860</v>
      </c>
      <c r="M338" s="371">
        <v>381940</v>
      </c>
      <c r="N338" s="371">
        <v>574845</v>
      </c>
      <c r="O338" s="370">
        <v>0</v>
      </c>
      <c r="P338" s="386">
        <f t="shared" si="119"/>
        <v>1710581</v>
      </c>
      <c r="Q338" s="371">
        <v>116102</v>
      </c>
      <c r="R338" s="371">
        <v>109544</v>
      </c>
      <c r="S338" s="371">
        <v>124858</v>
      </c>
      <c r="T338" s="371">
        <v>343898</v>
      </c>
      <c r="U338" s="371">
        <v>127247</v>
      </c>
      <c r="V338" s="371">
        <v>175985</v>
      </c>
      <c r="W338" s="371">
        <v>111856</v>
      </c>
      <c r="X338" s="371">
        <v>203683</v>
      </c>
      <c r="Y338" s="371">
        <v>55469</v>
      </c>
      <c r="Z338" s="371">
        <v>91493</v>
      </c>
      <c r="AA338" s="371">
        <v>33282</v>
      </c>
      <c r="AB338" s="371">
        <v>64562</v>
      </c>
      <c r="AC338" s="371">
        <v>88554</v>
      </c>
      <c r="AD338" s="371">
        <v>64048</v>
      </c>
      <c r="AE338" s="371">
        <v>0</v>
      </c>
      <c r="AF338" s="385">
        <f t="shared" si="120"/>
        <v>42996</v>
      </c>
      <c r="AG338" s="371">
        <v>40329</v>
      </c>
      <c r="AH338" s="371">
        <v>2667</v>
      </c>
      <c r="AI338" s="387">
        <f t="shared" si="115"/>
        <v>0</v>
      </c>
    </row>
    <row r="339" spans="1:35" s="393" customFormat="1" ht="24" customHeight="1">
      <c r="A339" s="427" t="s">
        <v>906</v>
      </c>
      <c r="B339" s="428" t="s">
        <v>900</v>
      </c>
      <c r="C339" s="395" t="s">
        <v>904</v>
      </c>
      <c r="D339" s="396">
        <v>5</v>
      </c>
      <c r="E339" s="385">
        <f t="shared" si="117"/>
        <v>1867169</v>
      </c>
      <c r="F339" s="368">
        <v>1867169</v>
      </c>
      <c r="G339" s="368">
        <v>0</v>
      </c>
      <c r="H339" s="385">
        <f t="shared" si="118"/>
        <v>1407466</v>
      </c>
      <c r="I339" s="371">
        <v>400361</v>
      </c>
      <c r="J339" s="371">
        <v>224848</v>
      </c>
      <c r="K339" s="371">
        <v>164027</v>
      </c>
      <c r="L339" s="371">
        <v>317923</v>
      </c>
      <c r="M339" s="371">
        <v>126922</v>
      </c>
      <c r="N339" s="371">
        <v>173385</v>
      </c>
      <c r="O339" s="370">
        <v>0</v>
      </c>
      <c r="P339" s="386">
        <f t="shared" si="119"/>
        <v>453338</v>
      </c>
      <c r="Q339" s="371">
        <v>32673</v>
      </c>
      <c r="R339" s="371">
        <v>64599</v>
      </c>
      <c r="S339" s="371">
        <v>40920</v>
      </c>
      <c r="T339" s="371">
        <v>80075</v>
      </c>
      <c r="U339" s="371">
        <v>24219</v>
      </c>
      <c r="V339" s="371">
        <v>29010</v>
      </c>
      <c r="W339" s="371">
        <v>17591</v>
      </c>
      <c r="X339" s="371">
        <v>23945</v>
      </c>
      <c r="Y339" s="371">
        <v>12260</v>
      </c>
      <c r="Z339" s="371">
        <v>17589</v>
      </c>
      <c r="AA339" s="371">
        <v>2874</v>
      </c>
      <c r="AB339" s="371">
        <v>23237</v>
      </c>
      <c r="AC339" s="371">
        <v>64502</v>
      </c>
      <c r="AD339" s="371">
        <v>19844</v>
      </c>
      <c r="AE339" s="371">
        <v>0</v>
      </c>
      <c r="AF339" s="385">
        <f t="shared" si="120"/>
        <v>6365</v>
      </c>
      <c r="AG339" s="371">
        <v>5823</v>
      </c>
      <c r="AH339" s="371">
        <v>542</v>
      </c>
      <c r="AI339" s="387">
        <f t="shared" si="115"/>
        <v>0</v>
      </c>
    </row>
    <row r="340" spans="1:35" s="393" customFormat="1" ht="24" customHeight="1">
      <c r="A340" s="427" t="s">
        <v>906</v>
      </c>
      <c r="B340" s="428" t="s">
        <v>900</v>
      </c>
      <c r="C340" s="395" t="s">
        <v>703</v>
      </c>
      <c r="D340" s="396">
        <v>5</v>
      </c>
      <c r="E340" s="385">
        <f t="shared" si="117"/>
        <v>50813</v>
      </c>
      <c r="F340" s="368">
        <v>50813</v>
      </c>
      <c r="G340" s="368">
        <v>0</v>
      </c>
      <c r="H340" s="385">
        <f t="shared" si="118"/>
        <v>26114</v>
      </c>
      <c r="I340" s="371">
        <v>4309</v>
      </c>
      <c r="J340" s="371">
        <v>2402</v>
      </c>
      <c r="K340" s="371">
        <v>3479</v>
      </c>
      <c r="L340" s="371">
        <v>7962</v>
      </c>
      <c r="M340" s="371">
        <v>5208</v>
      </c>
      <c r="N340" s="371">
        <v>2754</v>
      </c>
      <c r="O340" s="370">
        <v>0</v>
      </c>
      <c r="P340" s="386">
        <f t="shared" si="119"/>
        <v>24503</v>
      </c>
      <c r="Q340" s="371">
        <v>2456</v>
      </c>
      <c r="R340" s="371">
        <v>2584</v>
      </c>
      <c r="S340" s="371">
        <v>3537</v>
      </c>
      <c r="T340" s="371">
        <v>3957</v>
      </c>
      <c r="U340" s="371">
        <v>1232</v>
      </c>
      <c r="V340" s="371">
        <v>2224</v>
      </c>
      <c r="W340" s="371">
        <v>1772</v>
      </c>
      <c r="X340" s="371">
        <v>2447</v>
      </c>
      <c r="Y340" s="371">
        <v>847</v>
      </c>
      <c r="Z340" s="371">
        <v>709</v>
      </c>
      <c r="AA340" s="371">
        <v>118</v>
      </c>
      <c r="AB340" s="371">
        <v>299</v>
      </c>
      <c r="AC340" s="371">
        <v>1653</v>
      </c>
      <c r="AD340" s="371">
        <v>668</v>
      </c>
      <c r="AE340" s="371">
        <v>0</v>
      </c>
      <c r="AF340" s="385">
        <f t="shared" si="120"/>
        <v>196</v>
      </c>
      <c r="AG340" s="371">
        <v>119</v>
      </c>
      <c r="AH340" s="371">
        <v>77</v>
      </c>
      <c r="AI340" s="387">
        <f t="shared" si="115"/>
        <v>0</v>
      </c>
    </row>
    <row r="341" spans="1:35" s="393" customFormat="1" ht="24" customHeight="1">
      <c r="A341" s="427" t="s">
        <v>906</v>
      </c>
      <c r="B341" s="428" t="s">
        <v>900</v>
      </c>
      <c r="C341" s="395" t="s">
        <v>704</v>
      </c>
      <c r="D341" s="396">
        <v>5</v>
      </c>
      <c r="E341" s="385">
        <f t="shared" si="117"/>
        <v>173000</v>
      </c>
      <c r="F341" s="368">
        <v>173000</v>
      </c>
      <c r="G341" s="368">
        <v>0</v>
      </c>
      <c r="H341" s="385">
        <f t="shared" si="118"/>
        <v>119228</v>
      </c>
      <c r="I341" s="371">
        <v>29241</v>
      </c>
      <c r="J341" s="371">
        <v>19919</v>
      </c>
      <c r="K341" s="371">
        <v>15507</v>
      </c>
      <c r="L341" s="371">
        <v>20211</v>
      </c>
      <c r="M341" s="371">
        <v>13885</v>
      </c>
      <c r="N341" s="371">
        <v>20465</v>
      </c>
      <c r="O341" s="370">
        <v>0</v>
      </c>
      <c r="P341" s="386">
        <f t="shared" si="119"/>
        <v>52702</v>
      </c>
      <c r="Q341" s="371">
        <v>3374</v>
      </c>
      <c r="R341" s="371">
        <v>3992</v>
      </c>
      <c r="S341" s="371">
        <v>4153</v>
      </c>
      <c r="T341" s="371">
        <v>9493</v>
      </c>
      <c r="U341" s="371">
        <v>3752</v>
      </c>
      <c r="V341" s="371">
        <v>5152</v>
      </c>
      <c r="W341" s="371">
        <v>3828</v>
      </c>
      <c r="X341" s="371">
        <v>6195</v>
      </c>
      <c r="Y341" s="371">
        <v>1638</v>
      </c>
      <c r="Z341" s="371">
        <v>2445</v>
      </c>
      <c r="AA341" s="371">
        <v>753</v>
      </c>
      <c r="AB341" s="371">
        <v>2740</v>
      </c>
      <c r="AC341" s="371">
        <v>3196</v>
      </c>
      <c r="AD341" s="371">
        <v>1991</v>
      </c>
      <c r="AE341" s="371">
        <v>0</v>
      </c>
      <c r="AF341" s="385">
        <f t="shared" si="120"/>
        <v>1070</v>
      </c>
      <c r="AG341" s="371">
        <v>978</v>
      </c>
      <c r="AH341" s="371">
        <v>92</v>
      </c>
      <c r="AI341" s="387">
        <f t="shared" si="115"/>
        <v>0</v>
      </c>
    </row>
    <row r="342" spans="1:35" s="410" customFormat="1" ht="27.95" customHeight="1">
      <c r="A342" s="429" t="s">
        <v>906</v>
      </c>
      <c r="B342" s="430" t="s">
        <v>196</v>
      </c>
      <c r="C342" s="413" t="s">
        <v>706</v>
      </c>
      <c r="D342" s="414">
        <v>5</v>
      </c>
      <c r="E342" s="415">
        <f t="shared" si="117"/>
        <v>8000</v>
      </c>
      <c r="F342" s="415">
        <v>8000</v>
      </c>
      <c r="G342" s="415">
        <v>0</v>
      </c>
      <c r="H342" s="415">
        <f t="shared" si="118"/>
        <v>2188</v>
      </c>
      <c r="I342" s="415">
        <v>0</v>
      </c>
      <c r="J342" s="415">
        <v>495</v>
      </c>
      <c r="K342" s="415">
        <v>438</v>
      </c>
      <c r="L342" s="415">
        <v>408</v>
      </c>
      <c r="M342" s="415">
        <v>381</v>
      </c>
      <c r="N342" s="415">
        <v>466</v>
      </c>
      <c r="O342" s="416">
        <v>0</v>
      </c>
      <c r="P342" s="416">
        <f t="shared" si="119"/>
        <v>5235</v>
      </c>
      <c r="Q342" s="415">
        <v>401</v>
      </c>
      <c r="R342" s="415">
        <v>320</v>
      </c>
      <c r="S342" s="415">
        <v>333</v>
      </c>
      <c r="T342" s="415">
        <v>432</v>
      </c>
      <c r="U342" s="415">
        <v>395</v>
      </c>
      <c r="V342" s="415">
        <v>458</v>
      </c>
      <c r="W342" s="415">
        <v>384</v>
      </c>
      <c r="X342" s="415">
        <v>357</v>
      </c>
      <c r="Y342" s="415">
        <v>405</v>
      </c>
      <c r="Z342" s="415">
        <v>309</v>
      </c>
      <c r="AA342" s="415">
        <v>286</v>
      </c>
      <c r="AB342" s="415">
        <v>343</v>
      </c>
      <c r="AC342" s="415">
        <v>349</v>
      </c>
      <c r="AD342" s="415">
        <v>463</v>
      </c>
      <c r="AE342" s="415">
        <v>0</v>
      </c>
      <c r="AF342" s="415">
        <f t="shared" si="120"/>
        <v>577</v>
      </c>
      <c r="AG342" s="415">
        <v>315</v>
      </c>
      <c r="AH342" s="415">
        <v>262</v>
      </c>
      <c r="AI342" s="387">
        <f t="shared" si="115"/>
        <v>0</v>
      </c>
    </row>
    <row r="343" spans="1:35" s="410" customFormat="1" ht="24" customHeight="1">
      <c r="A343" s="429" t="s">
        <v>906</v>
      </c>
      <c r="B343" s="430" t="s">
        <v>587</v>
      </c>
      <c r="C343" s="413" t="s">
        <v>905</v>
      </c>
      <c r="D343" s="414">
        <v>9</v>
      </c>
      <c r="E343" s="415">
        <f t="shared" si="117"/>
        <v>78673</v>
      </c>
      <c r="F343" s="415">
        <v>78673</v>
      </c>
      <c r="G343" s="415">
        <v>0</v>
      </c>
      <c r="H343" s="415">
        <f t="shared" si="118"/>
        <v>40415</v>
      </c>
      <c r="I343" s="415">
        <v>0</v>
      </c>
      <c r="J343" s="415">
        <v>4795</v>
      </c>
      <c r="K343" s="415">
        <v>4411</v>
      </c>
      <c r="L343" s="415">
        <v>4643</v>
      </c>
      <c r="M343" s="415">
        <v>12309</v>
      </c>
      <c r="N343" s="415">
        <v>14257</v>
      </c>
      <c r="O343" s="416">
        <v>0</v>
      </c>
      <c r="P343" s="416">
        <f t="shared" si="119"/>
        <v>37645</v>
      </c>
      <c r="Q343" s="415">
        <v>2836</v>
      </c>
      <c r="R343" s="415">
        <v>1861</v>
      </c>
      <c r="S343" s="415">
        <v>2580</v>
      </c>
      <c r="T343" s="415">
        <v>3162</v>
      </c>
      <c r="U343" s="415">
        <v>2325</v>
      </c>
      <c r="V343" s="415">
        <v>2809</v>
      </c>
      <c r="W343" s="415">
        <v>3417</v>
      </c>
      <c r="X343" s="415">
        <v>8669</v>
      </c>
      <c r="Y343" s="415">
        <v>1785</v>
      </c>
      <c r="Z343" s="415">
        <v>1532</v>
      </c>
      <c r="AA343" s="415">
        <v>1411</v>
      </c>
      <c r="AB343" s="415">
        <v>1755</v>
      </c>
      <c r="AC343" s="415">
        <v>1501</v>
      </c>
      <c r="AD343" s="415">
        <v>2002</v>
      </c>
      <c r="AE343" s="415">
        <v>0</v>
      </c>
      <c r="AF343" s="415">
        <f t="shared" si="120"/>
        <v>613</v>
      </c>
      <c r="AG343" s="415">
        <v>265</v>
      </c>
      <c r="AH343" s="415">
        <v>348</v>
      </c>
      <c r="AI343" s="387">
        <f t="shared" si="115"/>
        <v>0</v>
      </c>
    </row>
    <row r="344" spans="1:35" s="404" customFormat="1" ht="24" customHeight="1">
      <c r="A344" s="398" t="s">
        <v>891</v>
      </c>
      <c r="B344" s="399"/>
      <c r="C344" s="400"/>
      <c r="D344" s="401"/>
      <c r="E344" s="402">
        <f t="shared" ref="E344:AH344" si="121">SUM(E345:E347)</f>
        <v>2018202</v>
      </c>
      <c r="F344" s="402">
        <f t="shared" si="121"/>
        <v>536798</v>
      </c>
      <c r="G344" s="402">
        <f t="shared" si="121"/>
        <v>1481404</v>
      </c>
      <c r="H344" s="402">
        <f t="shared" si="121"/>
        <v>890923</v>
      </c>
      <c r="I344" s="402">
        <f t="shared" si="121"/>
        <v>50538</v>
      </c>
      <c r="J344" s="402">
        <f t="shared" si="121"/>
        <v>0</v>
      </c>
      <c r="K344" s="402">
        <f t="shared" si="121"/>
        <v>216571</v>
      </c>
      <c r="L344" s="402">
        <f t="shared" si="121"/>
        <v>275053</v>
      </c>
      <c r="M344" s="402">
        <f t="shared" si="121"/>
        <v>201306</v>
      </c>
      <c r="N344" s="402">
        <f t="shared" si="121"/>
        <v>139284</v>
      </c>
      <c r="O344" s="402">
        <f t="shared" si="121"/>
        <v>8171</v>
      </c>
      <c r="P344" s="402">
        <f t="shared" si="121"/>
        <v>962187</v>
      </c>
      <c r="Q344" s="402">
        <f t="shared" si="121"/>
        <v>9423</v>
      </c>
      <c r="R344" s="402">
        <f t="shared" si="121"/>
        <v>35943</v>
      </c>
      <c r="S344" s="402">
        <f t="shared" si="121"/>
        <v>183436</v>
      </c>
      <c r="T344" s="402">
        <f t="shared" si="121"/>
        <v>33484</v>
      </c>
      <c r="U344" s="402">
        <f t="shared" si="121"/>
        <v>71298</v>
      </c>
      <c r="V344" s="402">
        <f t="shared" si="121"/>
        <v>99846</v>
      </c>
      <c r="W344" s="402">
        <f t="shared" si="121"/>
        <v>30777</v>
      </c>
      <c r="X344" s="402">
        <f t="shared" si="121"/>
        <v>42467</v>
      </c>
      <c r="Y344" s="402">
        <f t="shared" si="121"/>
        <v>108596</v>
      </c>
      <c r="Z344" s="402">
        <f t="shared" si="121"/>
        <v>71060</v>
      </c>
      <c r="AA344" s="402">
        <f t="shared" si="121"/>
        <v>154858</v>
      </c>
      <c r="AB344" s="402">
        <f t="shared" si="121"/>
        <v>8539</v>
      </c>
      <c r="AC344" s="402">
        <f t="shared" si="121"/>
        <v>24969</v>
      </c>
      <c r="AD344" s="402">
        <f t="shared" si="121"/>
        <v>1148</v>
      </c>
      <c r="AE344" s="402">
        <f t="shared" si="121"/>
        <v>86343</v>
      </c>
      <c r="AF344" s="402">
        <f t="shared" si="121"/>
        <v>165092</v>
      </c>
      <c r="AG344" s="402">
        <f t="shared" si="121"/>
        <v>104358</v>
      </c>
      <c r="AH344" s="402">
        <f t="shared" si="121"/>
        <v>60734</v>
      </c>
      <c r="AI344" s="387">
        <f t="shared" si="115"/>
        <v>0</v>
      </c>
    </row>
    <row r="345" spans="1:35" s="393" customFormat="1" ht="30" customHeight="1">
      <c r="A345" s="397" t="s">
        <v>890</v>
      </c>
      <c r="B345" s="394" t="s">
        <v>479</v>
      </c>
      <c r="C345" s="395" t="s">
        <v>480</v>
      </c>
      <c r="D345" s="396">
        <v>6</v>
      </c>
      <c r="E345" s="385">
        <f>SUM(H345,P345,AF345)</f>
        <v>465500</v>
      </c>
      <c r="F345" s="368">
        <v>58100</v>
      </c>
      <c r="G345" s="368">
        <v>407400</v>
      </c>
      <c r="H345" s="385">
        <f>SUM(I345:O345)</f>
        <v>327308</v>
      </c>
      <c r="I345" s="371">
        <v>6740</v>
      </c>
      <c r="J345" s="371">
        <v>0</v>
      </c>
      <c r="K345" s="371">
        <v>55767</v>
      </c>
      <c r="L345" s="371">
        <v>86719</v>
      </c>
      <c r="M345" s="371">
        <v>131000</v>
      </c>
      <c r="N345" s="371">
        <v>45311</v>
      </c>
      <c r="O345" s="370">
        <v>1771</v>
      </c>
      <c r="P345" s="386">
        <f>SUM(Q345:AE345)</f>
        <v>126724</v>
      </c>
      <c r="Q345" s="371">
        <v>2115</v>
      </c>
      <c r="R345" s="371">
        <v>3862</v>
      </c>
      <c r="S345" s="371">
        <v>627</v>
      </c>
      <c r="T345" s="371">
        <v>5890</v>
      </c>
      <c r="U345" s="371">
        <v>507</v>
      </c>
      <c r="V345" s="371">
        <v>66965</v>
      </c>
      <c r="W345" s="371">
        <v>4723</v>
      </c>
      <c r="X345" s="371">
        <v>17502</v>
      </c>
      <c r="Y345" s="371">
        <v>4314</v>
      </c>
      <c r="Z345" s="371">
        <v>4886</v>
      </c>
      <c r="AA345" s="371">
        <v>1600</v>
      </c>
      <c r="AB345" s="371">
        <v>1082</v>
      </c>
      <c r="AC345" s="371">
        <v>8409</v>
      </c>
      <c r="AD345" s="371">
        <v>108</v>
      </c>
      <c r="AE345" s="371">
        <v>4134</v>
      </c>
      <c r="AF345" s="385">
        <f>SUM(AG345:AH345)</f>
        <v>11468</v>
      </c>
      <c r="AG345" s="371">
        <v>7468</v>
      </c>
      <c r="AH345" s="371">
        <v>4000</v>
      </c>
      <c r="AI345" s="387">
        <f t="shared" si="115"/>
        <v>0</v>
      </c>
    </row>
    <row r="346" spans="1:35" s="393" customFormat="1" ht="33.950000000000003" customHeight="1">
      <c r="A346" s="397" t="s">
        <v>890</v>
      </c>
      <c r="B346" s="394" t="s">
        <v>479</v>
      </c>
      <c r="C346" s="395" t="s">
        <v>481</v>
      </c>
      <c r="D346" s="396">
        <v>6</v>
      </c>
      <c r="E346" s="385">
        <f>SUM(H346,P346,AF346)</f>
        <v>1347102</v>
      </c>
      <c r="F346" s="368">
        <v>458098</v>
      </c>
      <c r="G346" s="368">
        <v>889004</v>
      </c>
      <c r="H346" s="385">
        <f>SUM(I346:O346)</f>
        <v>486615</v>
      </c>
      <c r="I346" s="371">
        <v>23598</v>
      </c>
      <c r="J346" s="371">
        <v>0</v>
      </c>
      <c r="K346" s="371">
        <v>155804</v>
      </c>
      <c r="L346" s="371">
        <v>168334</v>
      </c>
      <c r="M346" s="371">
        <v>50106</v>
      </c>
      <c r="N346" s="371">
        <v>88773</v>
      </c>
      <c r="O346" s="370">
        <v>0</v>
      </c>
      <c r="P346" s="386">
        <f>SUM(Q346:AE346)</f>
        <v>710863</v>
      </c>
      <c r="Q346" s="371">
        <v>5308</v>
      </c>
      <c r="R346" s="371">
        <v>26881</v>
      </c>
      <c r="S346" s="371">
        <v>178809</v>
      </c>
      <c r="T346" s="371">
        <v>19594</v>
      </c>
      <c r="U346" s="371">
        <v>64791</v>
      </c>
      <c r="V346" s="371">
        <v>4681</v>
      </c>
      <c r="W346" s="371">
        <v>15054</v>
      </c>
      <c r="X346" s="371">
        <v>15965</v>
      </c>
      <c r="Y346" s="371">
        <v>78282</v>
      </c>
      <c r="Z346" s="371">
        <v>62174</v>
      </c>
      <c r="AA346" s="371">
        <v>151258</v>
      </c>
      <c r="AB346" s="371">
        <v>2457</v>
      </c>
      <c r="AC346" s="371">
        <v>11560</v>
      </c>
      <c r="AD346" s="371">
        <v>1040</v>
      </c>
      <c r="AE346" s="371">
        <v>73009</v>
      </c>
      <c r="AF346" s="385">
        <f>SUM(AG346:AH346)</f>
        <v>149624</v>
      </c>
      <c r="AG346" s="371">
        <v>96890</v>
      </c>
      <c r="AH346" s="371">
        <v>52734</v>
      </c>
      <c r="AI346" s="387">
        <f t="shared" si="115"/>
        <v>0</v>
      </c>
    </row>
    <row r="347" spans="1:35" s="393" customFormat="1" ht="31.5" customHeight="1">
      <c r="A347" s="397" t="s">
        <v>890</v>
      </c>
      <c r="B347" s="394" t="s">
        <v>479</v>
      </c>
      <c r="C347" s="395" t="s">
        <v>707</v>
      </c>
      <c r="D347" s="396">
        <v>6</v>
      </c>
      <c r="E347" s="385">
        <f>SUM(H347,P347,AF347)</f>
        <v>205600</v>
      </c>
      <c r="F347" s="368">
        <v>20600</v>
      </c>
      <c r="G347" s="368">
        <v>185000</v>
      </c>
      <c r="H347" s="385">
        <f>SUM(I347:O347)</f>
        <v>77000</v>
      </c>
      <c r="I347" s="371">
        <v>20200</v>
      </c>
      <c r="J347" s="371">
        <v>0</v>
      </c>
      <c r="K347" s="371">
        <v>5000</v>
      </c>
      <c r="L347" s="371">
        <v>20000</v>
      </c>
      <c r="M347" s="371">
        <v>20200</v>
      </c>
      <c r="N347" s="371">
        <v>5200</v>
      </c>
      <c r="O347" s="370">
        <v>6400</v>
      </c>
      <c r="P347" s="386">
        <f>SUM(Q347:AE347)</f>
        <v>124600</v>
      </c>
      <c r="Q347" s="371">
        <v>2000</v>
      </c>
      <c r="R347" s="371">
        <v>5200</v>
      </c>
      <c r="S347" s="371">
        <v>4000</v>
      </c>
      <c r="T347" s="371">
        <v>8000</v>
      </c>
      <c r="U347" s="371">
        <v>6000</v>
      </c>
      <c r="V347" s="371">
        <v>28200</v>
      </c>
      <c r="W347" s="371">
        <v>11000</v>
      </c>
      <c r="X347" s="371">
        <v>9000</v>
      </c>
      <c r="Y347" s="371">
        <v>26000</v>
      </c>
      <c r="Z347" s="371">
        <v>4000</v>
      </c>
      <c r="AA347" s="371">
        <v>2000</v>
      </c>
      <c r="AB347" s="371">
        <v>5000</v>
      </c>
      <c r="AC347" s="371">
        <v>5000</v>
      </c>
      <c r="AD347" s="371">
        <v>0</v>
      </c>
      <c r="AE347" s="371">
        <v>9200</v>
      </c>
      <c r="AF347" s="385">
        <f>SUM(AG347:AH347)</f>
        <v>4000</v>
      </c>
      <c r="AG347" s="371">
        <v>0</v>
      </c>
      <c r="AH347" s="371">
        <v>4000</v>
      </c>
      <c r="AI347" s="387">
        <f t="shared" si="115"/>
        <v>0</v>
      </c>
    </row>
    <row r="348" spans="1:35" s="404" customFormat="1" ht="24" customHeight="1">
      <c r="A348" s="398" t="s">
        <v>887</v>
      </c>
      <c r="B348" s="399"/>
      <c r="C348" s="400"/>
      <c r="D348" s="401"/>
      <c r="E348" s="402">
        <f t="shared" ref="E348:AH348" si="122">E349+E365</f>
        <v>2275187</v>
      </c>
      <c r="F348" s="402">
        <f t="shared" si="122"/>
        <v>877463</v>
      </c>
      <c r="G348" s="402">
        <f t="shared" si="122"/>
        <v>1397724</v>
      </c>
      <c r="H348" s="402">
        <f t="shared" si="122"/>
        <v>1067905</v>
      </c>
      <c r="I348" s="402">
        <f t="shared" si="122"/>
        <v>75126</v>
      </c>
      <c r="J348" s="402">
        <f t="shared" si="122"/>
        <v>46629</v>
      </c>
      <c r="K348" s="402">
        <f t="shared" si="122"/>
        <v>55348</v>
      </c>
      <c r="L348" s="402">
        <f t="shared" si="122"/>
        <v>134427</v>
      </c>
      <c r="M348" s="402">
        <f t="shared" si="122"/>
        <v>572692</v>
      </c>
      <c r="N348" s="402">
        <f t="shared" si="122"/>
        <v>91613</v>
      </c>
      <c r="O348" s="402">
        <f t="shared" si="122"/>
        <v>92070</v>
      </c>
      <c r="P348" s="402">
        <f t="shared" si="122"/>
        <v>1116502</v>
      </c>
      <c r="Q348" s="402">
        <f t="shared" si="122"/>
        <v>66409</v>
      </c>
      <c r="R348" s="402">
        <f t="shared" si="122"/>
        <v>59043</v>
      </c>
      <c r="S348" s="402">
        <f t="shared" si="122"/>
        <v>59287</v>
      </c>
      <c r="T348" s="402">
        <f t="shared" si="122"/>
        <v>68680</v>
      </c>
      <c r="U348" s="402">
        <f t="shared" si="122"/>
        <v>60277</v>
      </c>
      <c r="V348" s="402">
        <f t="shared" si="122"/>
        <v>67308</v>
      </c>
      <c r="W348" s="402">
        <f t="shared" si="122"/>
        <v>80229</v>
      </c>
      <c r="X348" s="402">
        <f t="shared" si="122"/>
        <v>60998</v>
      </c>
      <c r="Y348" s="402">
        <f t="shared" si="122"/>
        <v>71231</v>
      </c>
      <c r="Z348" s="402">
        <f t="shared" si="122"/>
        <v>72233</v>
      </c>
      <c r="AA348" s="402">
        <f t="shared" si="122"/>
        <v>60387</v>
      </c>
      <c r="AB348" s="402">
        <f t="shared" si="122"/>
        <v>56216</v>
      </c>
      <c r="AC348" s="402">
        <f t="shared" si="122"/>
        <v>41710</v>
      </c>
      <c r="AD348" s="402">
        <f t="shared" si="122"/>
        <v>56110</v>
      </c>
      <c r="AE348" s="402">
        <f t="shared" si="122"/>
        <v>236384</v>
      </c>
      <c r="AF348" s="402">
        <f t="shared" si="122"/>
        <v>90780</v>
      </c>
      <c r="AG348" s="402">
        <f t="shared" si="122"/>
        <v>48650</v>
      </c>
      <c r="AH348" s="402">
        <f t="shared" si="122"/>
        <v>42130</v>
      </c>
      <c r="AI348" s="387">
        <f t="shared" si="115"/>
        <v>0</v>
      </c>
    </row>
    <row r="349" spans="1:35" s="410" customFormat="1" ht="22.5" customHeight="1">
      <c r="A349" s="405" t="s">
        <v>888</v>
      </c>
      <c r="B349" s="406"/>
      <c r="C349" s="407"/>
      <c r="D349" s="408"/>
      <c r="E349" s="409">
        <f t="shared" ref="E349:AH349" si="123">SUM(E350:E364)</f>
        <v>1324813</v>
      </c>
      <c r="F349" s="409">
        <f t="shared" si="123"/>
        <v>629013</v>
      </c>
      <c r="G349" s="409">
        <f t="shared" si="123"/>
        <v>695800</v>
      </c>
      <c r="H349" s="409">
        <f t="shared" si="123"/>
        <v>688987</v>
      </c>
      <c r="I349" s="409">
        <f t="shared" si="123"/>
        <v>33088</v>
      </c>
      <c r="J349" s="409">
        <f t="shared" si="123"/>
        <v>21989</v>
      </c>
      <c r="K349" s="409">
        <f t="shared" si="123"/>
        <v>27090</v>
      </c>
      <c r="L349" s="409">
        <f t="shared" si="123"/>
        <v>39520</v>
      </c>
      <c r="M349" s="409">
        <f t="shared" si="123"/>
        <v>432330</v>
      </c>
      <c r="N349" s="409">
        <f t="shared" si="123"/>
        <v>44020</v>
      </c>
      <c r="O349" s="409">
        <f t="shared" si="123"/>
        <v>90950</v>
      </c>
      <c r="P349" s="409">
        <f t="shared" si="123"/>
        <v>593346</v>
      </c>
      <c r="Q349" s="409">
        <f t="shared" si="123"/>
        <v>31680</v>
      </c>
      <c r="R349" s="409">
        <f t="shared" si="123"/>
        <v>34750</v>
      </c>
      <c r="S349" s="409">
        <f t="shared" si="123"/>
        <v>25658</v>
      </c>
      <c r="T349" s="409">
        <f t="shared" si="123"/>
        <v>20845</v>
      </c>
      <c r="U349" s="409">
        <f t="shared" si="123"/>
        <v>28966</v>
      </c>
      <c r="V349" s="409">
        <f t="shared" si="123"/>
        <v>29576</v>
      </c>
      <c r="W349" s="409">
        <f t="shared" si="123"/>
        <v>30627</v>
      </c>
      <c r="X349" s="409">
        <f t="shared" si="123"/>
        <v>27700</v>
      </c>
      <c r="Y349" s="409">
        <f t="shared" si="123"/>
        <v>22720</v>
      </c>
      <c r="Z349" s="409">
        <f t="shared" si="123"/>
        <v>24453</v>
      </c>
      <c r="AA349" s="409">
        <f t="shared" si="123"/>
        <v>22195</v>
      </c>
      <c r="AB349" s="409">
        <f t="shared" si="123"/>
        <v>14956</v>
      </c>
      <c r="AC349" s="409">
        <f t="shared" si="123"/>
        <v>18820</v>
      </c>
      <c r="AD349" s="409">
        <f t="shared" si="123"/>
        <v>26150</v>
      </c>
      <c r="AE349" s="409">
        <f t="shared" si="123"/>
        <v>234250</v>
      </c>
      <c r="AF349" s="409">
        <f t="shared" si="123"/>
        <v>42480</v>
      </c>
      <c r="AG349" s="409">
        <f t="shared" si="123"/>
        <v>20000</v>
      </c>
      <c r="AH349" s="409">
        <f t="shared" si="123"/>
        <v>22480</v>
      </c>
      <c r="AI349" s="387">
        <f t="shared" si="115"/>
        <v>0</v>
      </c>
    </row>
    <row r="350" spans="1:35" s="393" customFormat="1" ht="24" customHeight="1">
      <c r="A350" s="397" t="s">
        <v>494</v>
      </c>
      <c r="B350" s="394" t="s">
        <v>272</v>
      </c>
      <c r="C350" s="395" t="s">
        <v>1000</v>
      </c>
      <c r="D350" s="396">
        <v>3</v>
      </c>
      <c r="E350" s="385">
        <f t="shared" ref="E350:E364" si="124">SUM(H350,P350,AF350)</f>
        <v>1400</v>
      </c>
      <c r="F350" s="368">
        <v>1400</v>
      </c>
      <c r="G350" s="368">
        <v>0</v>
      </c>
      <c r="H350" s="385">
        <f t="shared" ref="H350:H364" si="125">SUM(I350:O350)</f>
        <v>400</v>
      </c>
      <c r="I350" s="371">
        <v>0</v>
      </c>
      <c r="J350" s="371">
        <v>0</v>
      </c>
      <c r="K350" s="371">
        <v>0</v>
      </c>
      <c r="L350" s="371">
        <v>0</v>
      </c>
      <c r="M350" s="371">
        <v>0</v>
      </c>
      <c r="N350" s="371">
        <v>0</v>
      </c>
      <c r="O350" s="370">
        <v>400</v>
      </c>
      <c r="P350" s="386">
        <f t="shared" ref="P350:P364" si="126">SUM(Q350:AE350)</f>
        <v>500</v>
      </c>
      <c r="Q350" s="371">
        <v>0</v>
      </c>
      <c r="R350" s="371">
        <v>0</v>
      </c>
      <c r="S350" s="371">
        <v>0</v>
      </c>
      <c r="T350" s="371">
        <v>0</v>
      </c>
      <c r="U350" s="371">
        <v>0</v>
      </c>
      <c r="V350" s="371">
        <v>0</v>
      </c>
      <c r="W350" s="371">
        <v>0</v>
      </c>
      <c r="X350" s="371">
        <v>0</v>
      </c>
      <c r="Y350" s="371">
        <v>0</v>
      </c>
      <c r="Z350" s="371">
        <v>0</v>
      </c>
      <c r="AA350" s="371">
        <v>0</v>
      </c>
      <c r="AB350" s="371">
        <v>0</v>
      </c>
      <c r="AC350" s="371">
        <v>0</v>
      </c>
      <c r="AD350" s="371">
        <v>0</v>
      </c>
      <c r="AE350" s="371">
        <v>500</v>
      </c>
      <c r="AF350" s="385">
        <f t="shared" ref="AF350:AF364" si="127">SUM(AG350:AH350)</f>
        <v>500</v>
      </c>
      <c r="AG350" s="371">
        <v>70</v>
      </c>
      <c r="AH350" s="371">
        <v>430</v>
      </c>
      <c r="AI350" s="387">
        <f t="shared" si="115"/>
        <v>0</v>
      </c>
    </row>
    <row r="351" spans="1:35" s="393" customFormat="1" ht="24" customHeight="1">
      <c r="A351" s="397" t="s">
        <v>494</v>
      </c>
      <c r="B351" s="394" t="s">
        <v>272</v>
      </c>
      <c r="C351" s="395" t="s">
        <v>1001</v>
      </c>
      <c r="D351" s="396">
        <v>3</v>
      </c>
      <c r="E351" s="385">
        <f t="shared" si="124"/>
        <v>400000</v>
      </c>
      <c r="F351" s="368">
        <v>0</v>
      </c>
      <c r="G351" s="368">
        <v>400000</v>
      </c>
      <c r="H351" s="385">
        <f t="shared" si="125"/>
        <v>400000</v>
      </c>
      <c r="I351" s="371">
        <v>0</v>
      </c>
      <c r="J351" s="371">
        <v>0</v>
      </c>
      <c r="K351" s="371">
        <v>0</v>
      </c>
      <c r="L351" s="371">
        <v>0</v>
      </c>
      <c r="M351" s="371">
        <v>400000</v>
      </c>
      <c r="N351" s="371">
        <v>0</v>
      </c>
      <c r="O351" s="370">
        <v>0</v>
      </c>
      <c r="P351" s="386">
        <f t="shared" si="126"/>
        <v>0</v>
      </c>
      <c r="Q351" s="371">
        <v>0</v>
      </c>
      <c r="R351" s="371">
        <v>0</v>
      </c>
      <c r="S351" s="371">
        <v>0</v>
      </c>
      <c r="T351" s="371">
        <v>0</v>
      </c>
      <c r="U351" s="371">
        <v>0</v>
      </c>
      <c r="V351" s="371">
        <v>0</v>
      </c>
      <c r="W351" s="371">
        <v>0</v>
      </c>
      <c r="X351" s="371">
        <v>0</v>
      </c>
      <c r="Y351" s="371">
        <v>0</v>
      </c>
      <c r="Z351" s="371">
        <v>0</v>
      </c>
      <c r="AA351" s="371">
        <v>0</v>
      </c>
      <c r="AB351" s="371">
        <v>0</v>
      </c>
      <c r="AC351" s="371">
        <v>0</v>
      </c>
      <c r="AD351" s="371">
        <v>0</v>
      </c>
      <c r="AE351" s="371">
        <v>0</v>
      </c>
      <c r="AF351" s="385">
        <f t="shared" si="127"/>
        <v>0</v>
      </c>
      <c r="AG351" s="371">
        <v>0</v>
      </c>
      <c r="AH351" s="371">
        <v>0</v>
      </c>
      <c r="AI351" s="387">
        <f t="shared" si="115"/>
        <v>0</v>
      </c>
    </row>
    <row r="352" spans="1:35" s="393" customFormat="1" ht="24" customHeight="1">
      <c r="A352" s="397" t="s">
        <v>494</v>
      </c>
      <c r="B352" s="394" t="s">
        <v>272</v>
      </c>
      <c r="C352" s="395" t="s">
        <v>1002</v>
      </c>
      <c r="D352" s="396">
        <v>3</v>
      </c>
      <c r="E352" s="385">
        <f t="shared" si="124"/>
        <v>170913</v>
      </c>
      <c r="F352" s="368">
        <v>170913</v>
      </c>
      <c r="G352" s="368">
        <v>0</v>
      </c>
      <c r="H352" s="385">
        <f t="shared" si="125"/>
        <v>57767</v>
      </c>
      <c r="I352" s="371">
        <v>12658</v>
      </c>
      <c r="J352" s="371">
        <v>1529</v>
      </c>
      <c r="K352" s="371">
        <v>9790</v>
      </c>
      <c r="L352" s="371">
        <v>12320</v>
      </c>
      <c r="M352" s="371">
        <v>11600</v>
      </c>
      <c r="N352" s="371">
        <v>9870</v>
      </c>
      <c r="O352" s="370">
        <v>0</v>
      </c>
      <c r="P352" s="386">
        <f t="shared" si="126"/>
        <v>104096</v>
      </c>
      <c r="Q352" s="371">
        <v>8880</v>
      </c>
      <c r="R352" s="371">
        <v>9750</v>
      </c>
      <c r="S352" s="371">
        <v>7758</v>
      </c>
      <c r="T352" s="371">
        <v>5525</v>
      </c>
      <c r="U352" s="371">
        <v>7966</v>
      </c>
      <c r="V352" s="371">
        <v>14056</v>
      </c>
      <c r="W352" s="371">
        <v>6167</v>
      </c>
      <c r="X352" s="371">
        <v>9600</v>
      </c>
      <c r="Y352" s="371">
        <v>4620</v>
      </c>
      <c r="Z352" s="371">
        <v>6553</v>
      </c>
      <c r="AA352" s="371">
        <v>4095</v>
      </c>
      <c r="AB352" s="371">
        <v>7376</v>
      </c>
      <c r="AC352" s="371">
        <v>3500</v>
      </c>
      <c r="AD352" s="371">
        <v>8250</v>
      </c>
      <c r="AE352" s="371">
        <v>0</v>
      </c>
      <c r="AF352" s="385">
        <f t="shared" si="127"/>
        <v>9050</v>
      </c>
      <c r="AG352" s="371">
        <v>3850</v>
      </c>
      <c r="AH352" s="371">
        <v>5200</v>
      </c>
      <c r="AI352" s="387">
        <f t="shared" si="115"/>
        <v>0</v>
      </c>
    </row>
    <row r="353" spans="1:35" s="393" customFormat="1" ht="24" customHeight="1">
      <c r="A353" s="397" t="s">
        <v>494</v>
      </c>
      <c r="B353" s="394" t="s">
        <v>272</v>
      </c>
      <c r="C353" s="395" t="s">
        <v>1003</v>
      </c>
      <c r="D353" s="396">
        <v>3</v>
      </c>
      <c r="E353" s="385">
        <f t="shared" si="124"/>
        <v>445500</v>
      </c>
      <c r="F353" s="368">
        <v>209700</v>
      </c>
      <c r="G353" s="368">
        <v>235800</v>
      </c>
      <c r="H353" s="385">
        <f t="shared" si="125"/>
        <v>143270</v>
      </c>
      <c r="I353" s="371">
        <v>20430</v>
      </c>
      <c r="J353" s="371">
        <v>20460</v>
      </c>
      <c r="K353" s="371">
        <v>16400</v>
      </c>
      <c r="L353" s="371">
        <v>26300</v>
      </c>
      <c r="M353" s="371">
        <v>20430</v>
      </c>
      <c r="N353" s="371">
        <v>33250</v>
      </c>
      <c r="O353" s="370">
        <v>6000</v>
      </c>
      <c r="P353" s="386">
        <f t="shared" si="126"/>
        <v>278000</v>
      </c>
      <c r="Q353" s="371">
        <v>22800</v>
      </c>
      <c r="R353" s="371">
        <v>25000</v>
      </c>
      <c r="S353" s="371">
        <v>17900</v>
      </c>
      <c r="T353" s="371">
        <v>15320</v>
      </c>
      <c r="U353" s="371">
        <v>21000</v>
      </c>
      <c r="V353" s="371">
        <v>15320</v>
      </c>
      <c r="W353" s="371">
        <v>24460</v>
      </c>
      <c r="X353" s="371">
        <v>17900</v>
      </c>
      <c r="Y353" s="371">
        <v>17900</v>
      </c>
      <c r="Z353" s="371">
        <v>17900</v>
      </c>
      <c r="AA353" s="371">
        <v>17900</v>
      </c>
      <c r="AB353" s="371">
        <v>7380</v>
      </c>
      <c r="AC353" s="371">
        <v>15320</v>
      </c>
      <c r="AD353" s="371">
        <v>17900</v>
      </c>
      <c r="AE353" s="371">
        <v>24000</v>
      </c>
      <c r="AF353" s="385">
        <f t="shared" si="127"/>
        <v>24230</v>
      </c>
      <c r="AG353" s="371">
        <v>10980</v>
      </c>
      <c r="AH353" s="371">
        <v>13250</v>
      </c>
      <c r="AI353" s="387">
        <f t="shared" si="115"/>
        <v>0</v>
      </c>
    </row>
    <row r="354" spans="1:35" s="393" customFormat="1" ht="24" customHeight="1">
      <c r="A354" s="397" t="s">
        <v>494</v>
      </c>
      <c r="B354" s="394" t="s">
        <v>272</v>
      </c>
      <c r="C354" s="395" t="s">
        <v>1004</v>
      </c>
      <c r="D354" s="396">
        <v>3</v>
      </c>
      <c r="E354" s="385">
        <f t="shared" si="124"/>
        <v>35000</v>
      </c>
      <c r="F354" s="368">
        <v>35000</v>
      </c>
      <c r="G354" s="368">
        <v>0</v>
      </c>
      <c r="H354" s="385">
        <f t="shared" si="125"/>
        <v>12000</v>
      </c>
      <c r="I354" s="371">
        <v>0</v>
      </c>
      <c r="J354" s="371">
        <v>0</v>
      </c>
      <c r="K354" s="371">
        <v>0</v>
      </c>
      <c r="L354" s="371">
        <v>0</v>
      </c>
      <c r="M354" s="371">
        <v>0</v>
      </c>
      <c r="N354" s="371">
        <v>0</v>
      </c>
      <c r="O354" s="370">
        <v>12000</v>
      </c>
      <c r="P354" s="386">
        <f t="shared" si="126"/>
        <v>20000</v>
      </c>
      <c r="Q354" s="371">
        <v>0</v>
      </c>
      <c r="R354" s="371">
        <v>0</v>
      </c>
      <c r="S354" s="371">
        <v>0</v>
      </c>
      <c r="T354" s="371">
        <v>0</v>
      </c>
      <c r="U354" s="371">
        <v>0</v>
      </c>
      <c r="V354" s="371">
        <v>0</v>
      </c>
      <c r="W354" s="371">
        <v>0</v>
      </c>
      <c r="X354" s="371">
        <v>0</v>
      </c>
      <c r="Y354" s="371">
        <v>0</v>
      </c>
      <c r="Z354" s="371">
        <v>0</v>
      </c>
      <c r="AA354" s="371">
        <v>0</v>
      </c>
      <c r="AB354" s="371">
        <v>0</v>
      </c>
      <c r="AC354" s="371">
        <v>0</v>
      </c>
      <c r="AD354" s="371">
        <v>0</v>
      </c>
      <c r="AE354" s="371">
        <v>20000</v>
      </c>
      <c r="AF354" s="385">
        <f t="shared" si="127"/>
        <v>3000</v>
      </c>
      <c r="AG354" s="371">
        <v>1500</v>
      </c>
      <c r="AH354" s="371">
        <v>1500</v>
      </c>
      <c r="AI354" s="387">
        <f t="shared" si="115"/>
        <v>0</v>
      </c>
    </row>
    <row r="355" spans="1:35" s="393" customFormat="1" ht="24" customHeight="1">
      <c r="A355" s="397" t="s">
        <v>494</v>
      </c>
      <c r="B355" s="394" t="s">
        <v>272</v>
      </c>
      <c r="C355" s="395" t="s">
        <v>1005</v>
      </c>
      <c r="D355" s="396">
        <v>3</v>
      </c>
      <c r="E355" s="385">
        <f t="shared" si="124"/>
        <v>10000</v>
      </c>
      <c r="F355" s="368">
        <v>10000</v>
      </c>
      <c r="G355" s="368">
        <v>0</v>
      </c>
      <c r="H355" s="385">
        <f t="shared" si="125"/>
        <v>4000</v>
      </c>
      <c r="I355" s="371">
        <v>0</v>
      </c>
      <c r="J355" s="371">
        <v>0</v>
      </c>
      <c r="K355" s="371">
        <v>0</v>
      </c>
      <c r="L355" s="371">
        <v>0</v>
      </c>
      <c r="M355" s="371">
        <v>0</v>
      </c>
      <c r="N355" s="371">
        <v>0</v>
      </c>
      <c r="O355" s="370">
        <v>4000</v>
      </c>
      <c r="P355" s="386">
        <f t="shared" si="126"/>
        <v>4000</v>
      </c>
      <c r="Q355" s="371">
        <v>0</v>
      </c>
      <c r="R355" s="371">
        <v>0</v>
      </c>
      <c r="S355" s="371">
        <v>0</v>
      </c>
      <c r="T355" s="371">
        <v>0</v>
      </c>
      <c r="U355" s="371">
        <v>0</v>
      </c>
      <c r="V355" s="371">
        <v>0</v>
      </c>
      <c r="W355" s="371">
        <v>0</v>
      </c>
      <c r="X355" s="371">
        <v>0</v>
      </c>
      <c r="Y355" s="371">
        <v>0</v>
      </c>
      <c r="Z355" s="371">
        <v>0</v>
      </c>
      <c r="AA355" s="371">
        <v>0</v>
      </c>
      <c r="AB355" s="371">
        <v>0</v>
      </c>
      <c r="AC355" s="371">
        <v>0</v>
      </c>
      <c r="AD355" s="371">
        <v>0</v>
      </c>
      <c r="AE355" s="371">
        <v>4000</v>
      </c>
      <c r="AF355" s="385">
        <f t="shared" si="127"/>
        <v>2000</v>
      </c>
      <c r="AG355" s="371">
        <v>1000</v>
      </c>
      <c r="AH355" s="371">
        <v>1000</v>
      </c>
      <c r="AI355" s="387">
        <f t="shared" si="115"/>
        <v>0</v>
      </c>
    </row>
    <row r="356" spans="1:35" s="393" customFormat="1" ht="24" customHeight="1">
      <c r="A356" s="397" t="s">
        <v>494</v>
      </c>
      <c r="B356" s="394" t="s">
        <v>272</v>
      </c>
      <c r="C356" s="395" t="s">
        <v>1006</v>
      </c>
      <c r="D356" s="396">
        <v>3</v>
      </c>
      <c r="E356" s="385">
        <f t="shared" si="124"/>
        <v>28000</v>
      </c>
      <c r="F356" s="368">
        <v>18000</v>
      </c>
      <c r="G356" s="368">
        <v>10000</v>
      </c>
      <c r="H356" s="385">
        <f t="shared" si="125"/>
        <v>7750</v>
      </c>
      <c r="I356" s="371">
        <v>0</v>
      </c>
      <c r="J356" s="371">
        <v>0</v>
      </c>
      <c r="K356" s="371">
        <v>0</v>
      </c>
      <c r="L356" s="371">
        <v>0</v>
      </c>
      <c r="M356" s="371">
        <v>0</v>
      </c>
      <c r="N356" s="371">
        <v>0</v>
      </c>
      <c r="O356" s="370">
        <v>7750</v>
      </c>
      <c r="P356" s="386">
        <f t="shared" si="126"/>
        <v>17750</v>
      </c>
      <c r="Q356" s="371">
        <v>0</v>
      </c>
      <c r="R356" s="371">
        <v>0</v>
      </c>
      <c r="S356" s="371">
        <v>0</v>
      </c>
      <c r="T356" s="371">
        <v>0</v>
      </c>
      <c r="U356" s="371">
        <v>0</v>
      </c>
      <c r="V356" s="371">
        <v>0</v>
      </c>
      <c r="W356" s="371">
        <v>0</v>
      </c>
      <c r="X356" s="371">
        <v>0</v>
      </c>
      <c r="Y356" s="371">
        <v>0</v>
      </c>
      <c r="Z356" s="371">
        <v>0</v>
      </c>
      <c r="AA356" s="371">
        <v>0</v>
      </c>
      <c r="AB356" s="371">
        <v>0</v>
      </c>
      <c r="AC356" s="371">
        <v>0</v>
      </c>
      <c r="AD356" s="371">
        <v>0</v>
      </c>
      <c r="AE356" s="371">
        <v>17750</v>
      </c>
      <c r="AF356" s="385">
        <f t="shared" si="127"/>
        <v>2500</v>
      </c>
      <c r="AG356" s="371">
        <v>2000</v>
      </c>
      <c r="AH356" s="371">
        <v>500</v>
      </c>
      <c r="AI356" s="387">
        <f t="shared" si="115"/>
        <v>0</v>
      </c>
    </row>
    <row r="357" spans="1:35" s="393" customFormat="1" ht="24" customHeight="1">
      <c r="A357" s="397" t="s">
        <v>494</v>
      </c>
      <c r="B357" s="394" t="s">
        <v>272</v>
      </c>
      <c r="C357" s="395" t="s">
        <v>1007</v>
      </c>
      <c r="D357" s="396">
        <v>3</v>
      </c>
      <c r="E357" s="385">
        <f t="shared" si="124"/>
        <v>3000</v>
      </c>
      <c r="F357" s="368">
        <v>3000</v>
      </c>
      <c r="G357" s="368">
        <v>0</v>
      </c>
      <c r="H357" s="385">
        <f t="shared" si="125"/>
        <v>800</v>
      </c>
      <c r="I357" s="371">
        <v>0</v>
      </c>
      <c r="J357" s="371">
        <v>0</v>
      </c>
      <c r="K357" s="371">
        <v>0</v>
      </c>
      <c r="L357" s="371">
        <v>0</v>
      </c>
      <c r="M357" s="371">
        <v>0</v>
      </c>
      <c r="N357" s="371">
        <v>0</v>
      </c>
      <c r="O357" s="370">
        <v>800</v>
      </c>
      <c r="P357" s="386">
        <f t="shared" si="126"/>
        <v>1000</v>
      </c>
      <c r="Q357" s="371">
        <v>0</v>
      </c>
      <c r="R357" s="371">
        <v>0</v>
      </c>
      <c r="S357" s="371">
        <v>0</v>
      </c>
      <c r="T357" s="371">
        <v>0</v>
      </c>
      <c r="U357" s="371">
        <v>0</v>
      </c>
      <c r="V357" s="371">
        <v>0</v>
      </c>
      <c r="W357" s="371">
        <v>0</v>
      </c>
      <c r="X357" s="371">
        <v>0</v>
      </c>
      <c r="Y357" s="371">
        <v>0</v>
      </c>
      <c r="Z357" s="371">
        <v>0</v>
      </c>
      <c r="AA357" s="371">
        <v>0</v>
      </c>
      <c r="AB357" s="371">
        <v>0</v>
      </c>
      <c r="AC357" s="371">
        <v>0</v>
      </c>
      <c r="AD357" s="371">
        <v>0</v>
      </c>
      <c r="AE357" s="371">
        <v>1000</v>
      </c>
      <c r="AF357" s="385">
        <f t="shared" si="127"/>
        <v>1200</v>
      </c>
      <c r="AG357" s="371">
        <v>600</v>
      </c>
      <c r="AH357" s="371">
        <v>600</v>
      </c>
      <c r="AI357" s="387">
        <f t="shared" si="115"/>
        <v>0</v>
      </c>
    </row>
    <row r="358" spans="1:35" s="393" customFormat="1" ht="24" customHeight="1">
      <c r="A358" s="397" t="s">
        <v>494</v>
      </c>
      <c r="B358" s="394" t="s">
        <v>272</v>
      </c>
      <c r="C358" s="395" t="s">
        <v>1008</v>
      </c>
      <c r="D358" s="396">
        <v>3</v>
      </c>
      <c r="E358" s="385">
        <f t="shared" si="124"/>
        <v>11000</v>
      </c>
      <c r="F358" s="368">
        <v>11000</v>
      </c>
      <c r="G358" s="368">
        <v>0</v>
      </c>
      <c r="H358" s="385">
        <f t="shared" si="125"/>
        <v>0</v>
      </c>
      <c r="I358" s="371">
        <v>0</v>
      </c>
      <c r="J358" s="371">
        <v>0</v>
      </c>
      <c r="K358" s="371">
        <v>0</v>
      </c>
      <c r="L358" s="371">
        <v>0</v>
      </c>
      <c r="M358" s="371">
        <v>0</v>
      </c>
      <c r="N358" s="371">
        <v>0</v>
      </c>
      <c r="O358" s="370">
        <v>0</v>
      </c>
      <c r="P358" s="386">
        <f t="shared" si="126"/>
        <v>11000</v>
      </c>
      <c r="Q358" s="371">
        <v>0</v>
      </c>
      <c r="R358" s="371">
        <v>0</v>
      </c>
      <c r="S358" s="371">
        <v>0</v>
      </c>
      <c r="T358" s="371">
        <v>0</v>
      </c>
      <c r="U358" s="371">
        <v>0</v>
      </c>
      <c r="V358" s="371">
        <v>0</v>
      </c>
      <c r="W358" s="371">
        <v>0</v>
      </c>
      <c r="X358" s="371">
        <v>0</v>
      </c>
      <c r="Y358" s="371">
        <v>0</v>
      </c>
      <c r="Z358" s="371">
        <v>0</v>
      </c>
      <c r="AA358" s="371">
        <v>0</v>
      </c>
      <c r="AB358" s="371">
        <v>0</v>
      </c>
      <c r="AC358" s="371">
        <v>0</v>
      </c>
      <c r="AD358" s="371">
        <v>0</v>
      </c>
      <c r="AE358" s="371">
        <v>11000</v>
      </c>
      <c r="AF358" s="385">
        <f t="shared" si="127"/>
        <v>0</v>
      </c>
      <c r="AG358" s="371">
        <v>0</v>
      </c>
      <c r="AH358" s="371">
        <v>0</v>
      </c>
      <c r="AI358" s="387">
        <f t="shared" si="115"/>
        <v>0</v>
      </c>
    </row>
    <row r="359" spans="1:35" s="393" customFormat="1" ht="24" customHeight="1">
      <c r="A359" s="397" t="s">
        <v>494</v>
      </c>
      <c r="B359" s="394" t="s">
        <v>272</v>
      </c>
      <c r="C359" s="395" t="s">
        <v>1009</v>
      </c>
      <c r="D359" s="396">
        <v>3</v>
      </c>
      <c r="E359" s="385">
        <f t="shared" si="124"/>
        <v>18500</v>
      </c>
      <c r="F359" s="368">
        <v>18500</v>
      </c>
      <c r="G359" s="368">
        <v>0</v>
      </c>
      <c r="H359" s="385">
        <f t="shared" si="125"/>
        <v>3500</v>
      </c>
      <c r="I359" s="371">
        <v>0</v>
      </c>
      <c r="J359" s="371">
        <v>0</v>
      </c>
      <c r="K359" s="371">
        <v>0</v>
      </c>
      <c r="L359" s="371">
        <v>0</v>
      </c>
      <c r="M359" s="371">
        <v>0</v>
      </c>
      <c r="N359" s="371">
        <v>0</v>
      </c>
      <c r="O359" s="370">
        <v>3500</v>
      </c>
      <c r="P359" s="386">
        <f t="shared" si="126"/>
        <v>15000</v>
      </c>
      <c r="Q359" s="371">
        <v>0</v>
      </c>
      <c r="R359" s="371">
        <v>0</v>
      </c>
      <c r="S359" s="371">
        <v>0</v>
      </c>
      <c r="T359" s="371">
        <v>0</v>
      </c>
      <c r="U359" s="371">
        <v>0</v>
      </c>
      <c r="V359" s="371">
        <v>0</v>
      </c>
      <c r="W359" s="371">
        <v>0</v>
      </c>
      <c r="X359" s="371">
        <v>0</v>
      </c>
      <c r="Y359" s="371">
        <v>0</v>
      </c>
      <c r="Z359" s="371">
        <v>0</v>
      </c>
      <c r="AA359" s="371">
        <v>0</v>
      </c>
      <c r="AB359" s="371">
        <v>0</v>
      </c>
      <c r="AC359" s="371">
        <v>0</v>
      </c>
      <c r="AD359" s="371">
        <v>0</v>
      </c>
      <c r="AE359" s="371">
        <v>15000</v>
      </c>
      <c r="AF359" s="385">
        <f t="shared" si="127"/>
        <v>0</v>
      </c>
      <c r="AG359" s="371">
        <v>0</v>
      </c>
      <c r="AH359" s="371">
        <v>0</v>
      </c>
      <c r="AI359" s="387">
        <f t="shared" si="115"/>
        <v>0</v>
      </c>
    </row>
    <row r="360" spans="1:35" s="393" customFormat="1" ht="24" customHeight="1">
      <c r="A360" s="397" t="s">
        <v>494</v>
      </c>
      <c r="B360" s="394" t="s">
        <v>272</v>
      </c>
      <c r="C360" s="395" t="s">
        <v>627</v>
      </c>
      <c r="D360" s="396">
        <v>3</v>
      </c>
      <c r="E360" s="385">
        <f t="shared" si="124"/>
        <v>4000</v>
      </c>
      <c r="F360" s="368">
        <v>4000</v>
      </c>
      <c r="G360" s="368">
        <v>0</v>
      </c>
      <c r="H360" s="385">
        <f t="shared" si="125"/>
        <v>1000</v>
      </c>
      <c r="I360" s="371">
        <v>0</v>
      </c>
      <c r="J360" s="371">
        <v>0</v>
      </c>
      <c r="K360" s="371">
        <v>0</v>
      </c>
      <c r="L360" s="371">
        <v>0</v>
      </c>
      <c r="M360" s="371">
        <v>0</v>
      </c>
      <c r="N360" s="371">
        <v>0</v>
      </c>
      <c r="O360" s="370">
        <v>1000</v>
      </c>
      <c r="P360" s="386">
        <f t="shared" si="126"/>
        <v>3000</v>
      </c>
      <c r="Q360" s="371">
        <v>0</v>
      </c>
      <c r="R360" s="371">
        <v>0</v>
      </c>
      <c r="S360" s="371">
        <v>0</v>
      </c>
      <c r="T360" s="371">
        <v>0</v>
      </c>
      <c r="U360" s="371">
        <v>0</v>
      </c>
      <c r="V360" s="371">
        <v>0</v>
      </c>
      <c r="W360" s="371">
        <v>0</v>
      </c>
      <c r="X360" s="371">
        <v>0</v>
      </c>
      <c r="Y360" s="371">
        <v>0</v>
      </c>
      <c r="Z360" s="371">
        <v>0</v>
      </c>
      <c r="AA360" s="371">
        <v>0</v>
      </c>
      <c r="AB360" s="371">
        <v>0</v>
      </c>
      <c r="AC360" s="371">
        <v>0</v>
      </c>
      <c r="AD360" s="371">
        <v>0</v>
      </c>
      <c r="AE360" s="371">
        <v>3000</v>
      </c>
      <c r="AF360" s="385">
        <f t="shared" si="127"/>
        <v>0</v>
      </c>
      <c r="AG360" s="371">
        <v>0</v>
      </c>
      <c r="AH360" s="371">
        <v>0</v>
      </c>
      <c r="AI360" s="387">
        <f t="shared" si="115"/>
        <v>0</v>
      </c>
    </row>
    <row r="361" spans="1:35" s="393" customFormat="1" ht="29.45" customHeight="1">
      <c r="A361" s="397" t="s">
        <v>494</v>
      </c>
      <c r="B361" s="394" t="s">
        <v>272</v>
      </c>
      <c r="C361" s="395" t="s">
        <v>1010</v>
      </c>
      <c r="D361" s="396">
        <v>3</v>
      </c>
      <c r="E361" s="385">
        <f t="shared" si="124"/>
        <v>3000</v>
      </c>
      <c r="F361" s="368">
        <v>3000</v>
      </c>
      <c r="G361" s="368">
        <v>0</v>
      </c>
      <c r="H361" s="385">
        <f t="shared" si="125"/>
        <v>3000</v>
      </c>
      <c r="I361" s="371">
        <v>0</v>
      </c>
      <c r="J361" s="371">
        <v>0</v>
      </c>
      <c r="K361" s="371">
        <v>0</v>
      </c>
      <c r="L361" s="371">
        <v>0</v>
      </c>
      <c r="M361" s="371">
        <v>0</v>
      </c>
      <c r="N361" s="371">
        <v>0</v>
      </c>
      <c r="O361" s="370">
        <v>3000</v>
      </c>
      <c r="P361" s="386">
        <f t="shared" si="126"/>
        <v>0</v>
      </c>
      <c r="Q361" s="371">
        <v>0</v>
      </c>
      <c r="R361" s="371">
        <v>0</v>
      </c>
      <c r="S361" s="371">
        <v>0</v>
      </c>
      <c r="T361" s="371">
        <v>0</v>
      </c>
      <c r="U361" s="371">
        <v>0</v>
      </c>
      <c r="V361" s="371">
        <v>0</v>
      </c>
      <c r="W361" s="371">
        <v>0</v>
      </c>
      <c r="X361" s="371">
        <v>0</v>
      </c>
      <c r="Y361" s="371">
        <v>0</v>
      </c>
      <c r="Z361" s="371">
        <v>0</v>
      </c>
      <c r="AA361" s="371">
        <v>0</v>
      </c>
      <c r="AB361" s="371">
        <v>0</v>
      </c>
      <c r="AC361" s="371">
        <v>0</v>
      </c>
      <c r="AD361" s="371">
        <v>0</v>
      </c>
      <c r="AE361" s="371">
        <v>0</v>
      </c>
      <c r="AF361" s="385">
        <f t="shared" si="127"/>
        <v>0</v>
      </c>
      <c r="AG361" s="371">
        <v>0</v>
      </c>
      <c r="AH361" s="371">
        <v>0</v>
      </c>
      <c r="AI361" s="387">
        <f t="shared" si="115"/>
        <v>0</v>
      </c>
    </row>
    <row r="362" spans="1:35" s="393" customFormat="1" ht="24" customHeight="1">
      <c r="A362" s="397" t="s">
        <v>494</v>
      </c>
      <c r="B362" s="394" t="s">
        <v>272</v>
      </c>
      <c r="C362" s="395" t="s">
        <v>1011</v>
      </c>
      <c r="D362" s="396">
        <v>3</v>
      </c>
      <c r="E362" s="385">
        <f t="shared" si="124"/>
        <v>188500</v>
      </c>
      <c r="F362" s="368">
        <v>138500</v>
      </c>
      <c r="G362" s="368">
        <v>50000</v>
      </c>
      <c r="H362" s="385">
        <f t="shared" si="125"/>
        <v>51500</v>
      </c>
      <c r="I362" s="371">
        <v>0</v>
      </c>
      <c r="J362" s="371">
        <v>0</v>
      </c>
      <c r="K362" s="371">
        <v>0</v>
      </c>
      <c r="L362" s="371">
        <v>0</v>
      </c>
      <c r="M362" s="371">
        <v>0</v>
      </c>
      <c r="N362" s="371">
        <v>0</v>
      </c>
      <c r="O362" s="370">
        <v>51500</v>
      </c>
      <c r="P362" s="386">
        <f t="shared" si="126"/>
        <v>137000</v>
      </c>
      <c r="Q362" s="371">
        <v>0</v>
      </c>
      <c r="R362" s="371">
        <v>0</v>
      </c>
      <c r="S362" s="371">
        <v>0</v>
      </c>
      <c r="T362" s="371">
        <v>0</v>
      </c>
      <c r="U362" s="371">
        <v>0</v>
      </c>
      <c r="V362" s="371">
        <v>0</v>
      </c>
      <c r="W362" s="371">
        <v>0</v>
      </c>
      <c r="X362" s="371">
        <v>0</v>
      </c>
      <c r="Y362" s="371">
        <v>0</v>
      </c>
      <c r="Z362" s="371">
        <v>0</v>
      </c>
      <c r="AA362" s="371">
        <v>0</v>
      </c>
      <c r="AB362" s="371">
        <v>0</v>
      </c>
      <c r="AC362" s="371">
        <v>0</v>
      </c>
      <c r="AD362" s="371">
        <v>0</v>
      </c>
      <c r="AE362" s="371">
        <v>137000</v>
      </c>
      <c r="AF362" s="385">
        <f t="shared" si="127"/>
        <v>0</v>
      </c>
      <c r="AG362" s="371">
        <v>0</v>
      </c>
      <c r="AH362" s="371">
        <v>0</v>
      </c>
      <c r="AI362" s="387">
        <f t="shared" si="115"/>
        <v>0</v>
      </c>
    </row>
    <row r="363" spans="1:35" s="393" customFormat="1" ht="24" customHeight="1">
      <c r="A363" s="397" t="s">
        <v>494</v>
      </c>
      <c r="B363" s="394" t="s">
        <v>272</v>
      </c>
      <c r="C363" s="395" t="s">
        <v>1012</v>
      </c>
      <c r="D363" s="396">
        <v>3</v>
      </c>
      <c r="E363" s="385">
        <f t="shared" si="124"/>
        <v>2000</v>
      </c>
      <c r="F363" s="368">
        <v>2000</v>
      </c>
      <c r="G363" s="368">
        <v>0</v>
      </c>
      <c r="H363" s="385">
        <f t="shared" si="125"/>
        <v>1000</v>
      </c>
      <c r="I363" s="371">
        <v>0</v>
      </c>
      <c r="J363" s="371">
        <v>0</v>
      </c>
      <c r="K363" s="371">
        <v>0</v>
      </c>
      <c r="L363" s="371">
        <v>0</v>
      </c>
      <c r="M363" s="371">
        <v>0</v>
      </c>
      <c r="N363" s="371">
        <v>0</v>
      </c>
      <c r="O363" s="370">
        <v>1000</v>
      </c>
      <c r="P363" s="386">
        <f t="shared" si="126"/>
        <v>1000</v>
      </c>
      <c r="Q363" s="371">
        <v>0</v>
      </c>
      <c r="R363" s="371">
        <v>0</v>
      </c>
      <c r="S363" s="371">
        <v>0</v>
      </c>
      <c r="T363" s="371">
        <v>0</v>
      </c>
      <c r="U363" s="371">
        <v>0</v>
      </c>
      <c r="V363" s="371">
        <v>0</v>
      </c>
      <c r="W363" s="371">
        <v>0</v>
      </c>
      <c r="X363" s="371">
        <v>0</v>
      </c>
      <c r="Y363" s="371">
        <v>0</v>
      </c>
      <c r="Z363" s="371">
        <v>0</v>
      </c>
      <c r="AA363" s="371">
        <v>0</v>
      </c>
      <c r="AB363" s="371">
        <v>0</v>
      </c>
      <c r="AC363" s="371">
        <v>0</v>
      </c>
      <c r="AD363" s="371">
        <v>0</v>
      </c>
      <c r="AE363" s="371">
        <v>1000</v>
      </c>
      <c r="AF363" s="385">
        <f t="shared" si="127"/>
        <v>0</v>
      </c>
      <c r="AG363" s="371">
        <v>0</v>
      </c>
      <c r="AH363" s="371">
        <v>0</v>
      </c>
      <c r="AI363" s="387">
        <f t="shared" si="115"/>
        <v>0</v>
      </c>
    </row>
    <row r="364" spans="1:35" s="393" customFormat="1" ht="24" customHeight="1">
      <c r="A364" s="397" t="s">
        <v>494</v>
      </c>
      <c r="B364" s="394" t="s">
        <v>273</v>
      </c>
      <c r="C364" s="395" t="s">
        <v>1013</v>
      </c>
      <c r="D364" s="396">
        <v>3</v>
      </c>
      <c r="E364" s="385">
        <f t="shared" si="124"/>
        <v>4000</v>
      </c>
      <c r="F364" s="368">
        <v>4000</v>
      </c>
      <c r="G364" s="368">
        <v>0</v>
      </c>
      <c r="H364" s="385">
        <f t="shared" si="125"/>
        <v>3000</v>
      </c>
      <c r="I364" s="371">
        <v>0</v>
      </c>
      <c r="J364" s="371">
        <v>0</v>
      </c>
      <c r="K364" s="371">
        <v>900</v>
      </c>
      <c r="L364" s="371">
        <v>900</v>
      </c>
      <c r="M364" s="371">
        <v>300</v>
      </c>
      <c r="N364" s="371">
        <v>900</v>
      </c>
      <c r="O364" s="370">
        <v>0</v>
      </c>
      <c r="P364" s="386">
        <f t="shared" si="126"/>
        <v>1000</v>
      </c>
      <c r="Q364" s="371">
        <v>0</v>
      </c>
      <c r="R364" s="371">
        <v>0</v>
      </c>
      <c r="S364" s="371">
        <v>0</v>
      </c>
      <c r="T364" s="371">
        <v>0</v>
      </c>
      <c r="U364" s="371">
        <v>0</v>
      </c>
      <c r="V364" s="371">
        <v>200</v>
      </c>
      <c r="W364" s="371">
        <v>0</v>
      </c>
      <c r="X364" s="371">
        <v>200</v>
      </c>
      <c r="Y364" s="371">
        <v>200</v>
      </c>
      <c r="Z364" s="371">
        <v>0</v>
      </c>
      <c r="AA364" s="371">
        <v>200</v>
      </c>
      <c r="AB364" s="371">
        <v>200</v>
      </c>
      <c r="AC364" s="371">
        <v>0</v>
      </c>
      <c r="AD364" s="371">
        <v>0</v>
      </c>
      <c r="AE364" s="371">
        <v>0</v>
      </c>
      <c r="AF364" s="385">
        <f t="shared" si="127"/>
        <v>0</v>
      </c>
      <c r="AG364" s="371">
        <v>0</v>
      </c>
      <c r="AH364" s="371">
        <v>0</v>
      </c>
      <c r="AI364" s="387">
        <f t="shared" si="115"/>
        <v>0</v>
      </c>
    </row>
    <row r="365" spans="1:35" s="410" customFormat="1" ht="22.5" customHeight="1">
      <c r="A365" s="405" t="s">
        <v>889</v>
      </c>
      <c r="B365" s="406"/>
      <c r="C365" s="407"/>
      <c r="D365" s="408"/>
      <c r="E365" s="409">
        <f t="shared" ref="E365:AH365" si="128">SUM(E366:E369)</f>
        <v>950374</v>
      </c>
      <c r="F365" s="409">
        <f t="shared" si="128"/>
        <v>248450</v>
      </c>
      <c r="G365" s="409">
        <f t="shared" si="128"/>
        <v>701924</v>
      </c>
      <c r="H365" s="409">
        <f t="shared" si="128"/>
        <v>378918</v>
      </c>
      <c r="I365" s="409">
        <f t="shared" si="128"/>
        <v>42038</v>
      </c>
      <c r="J365" s="409">
        <f t="shared" si="128"/>
        <v>24640</v>
      </c>
      <c r="K365" s="409">
        <f t="shared" si="128"/>
        <v>28258</v>
      </c>
      <c r="L365" s="409">
        <f t="shared" si="128"/>
        <v>94907</v>
      </c>
      <c r="M365" s="409">
        <f t="shared" si="128"/>
        <v>140362</v>
      </c>
      <c r="N365" s="409">
        <f t="shared" si="128"/>
        <v>47593</v>
      </c>
      <c r="O365" s="409">
        <f t="shared" si="128"/>
        <v>1120</v>
      </c>
      <c r="P365" s="409">
        <f t="shared" si="128"/>
        <v>523156</v>
      </c>
      <c r="Q365" s="409">
        <f t="shared" si="128"/>
        <v>34729</v>
      </c>
      <c r="R365" s="409">
        <f t="shared" si="128"/>
        <v>24293</v>
      </c>
      <c r="S365" s="409">
        <f t="shared" si="128"/>
        <v>33629</v>
      </c>
      <c r="T365" s="409">
        <f t="shared" si="128"/>
        <v>47835</v>
      </c>
      <c r="U365" s="409">
        <f t="shared" si="128"/>
        <v>31311</v>
      </c>
      <c r="V365" s="409">
        <f t="shared" si="128"/>
        <v>37732</v>
      </c>
      <c r="W365" s="409">
        <f t="shared" si="128"/>
        <v>49602</v>
      </c>
      <c r="X365" s="409">
        <f t="shared" si="128"/>
        <v>33298</v>
      </c>
      <c r="Y365" s="409">
        <f t="shared" si="128"/>
        <v>48511</v>
      </c>
      <c r="Z365" s="409">
        <f t="shared" si="128"/>
        <v>47780</v>
      </c>
      <c r="AA365" s="409">
        <f t="shared" si="128"/>
        <v>38192</v>
      </c>
      <c r="AB365" s="409">
        <f t="shared" si="128"/>
        <v>41260</v>
      </c>
      <c r="AC365" s="409">
        <f t="shared" si="128"/>
        <v>22890</v>
      </c>
      <c r="AD365" s="409">
        <f t="shared" si="128"/>
        <v>29960</v>
      </c>
      <c r="AE365" s="409">
        <f t="shared" si="128"/>
        <v>2134</v>
      </c>
      <c r="AF365" s="409">
        <f t="shared" si="128"/>
        <v>48300</v>
      </c>
      <c r="AG365" s="409">
        <f t="shared" si="128"/>
        <v>28650</v>
      </c>
      <c r="AH365" s="409">
        <f t="shared" si="128"/>
        <v>19650</v>
      </c>
      <c r="AI365" s="387">
        <f t="shared" si="115"/>
        <v>0</v>
      </c>
    </row>
    <row r="366" spans="1:35" s="393" customFormat="1" ht="24" customHeight="1">
      <c r="A366" s="397" t="s">
        <v>494</v>
      </c>
      <c r="B366" s="394" t="s">
        <v>629</v>
      </c>
      <c r="C366" s="395" t="s">
        <v>883</v>
      </c>
      <c r="D366" s="396">
        <v>3</v>
      </c>
      <c r="E366" s="385">
        <f>SUM(H366,P366,AF366)</f>
        <v>53624</v>
      </c>
      <c r="F366" s="368">
        <v>34400</v>
      </c>
      <c r="G366" s="368">
        <v>19224</v>
      </c>
      <c r="H366" s="385">
        <f>SUM(I366:O366)</f>
        <v>16800</v>
      </c>
      <c r="I366" s="371">
        <v>1500</v>
      </c>
      <c r="J366" s="371">
        <v>1550</v>
      </c>
      <c r="K366" s="371">
        <v>800</v>
      </c>
      <c r="L366" s="371">
        <v>5210</v>
      </c>
      <c r="M366" s="371">
        <v>5685</v>
      </c>
      <c r="N366" s="371">
        <v>2055</v>
      </c>
      <c r="O366" s="370">
        <v>0</v>
      </c>
      <c r="P366" s="386">
        <f>SUM(Q366:AE366)</f>
        <v>28724</v>
      </c>
      <c r="Q366" s="371">
        <v>1390</v>
      </c>
      <c r="R366" s="371">
        <v>1993</v>
      </c>
      <c r="S366" s="371">
        <v>2990</v>
      </c>
      <c r="T366" s="371">
        <v>2260</v>
      </c>
      <c r="U366" s="371">
        <v>1490</v>
      </c>
      <c r="V366" s="371">
        <v>1645</v>
      </c>
      <c r="W366" s="371">
        <v>1755</v>
      </c>
      <c r="X366" s="371">
        <v>2795</v>
      </c>
      <c r="Y366" s="371">
        <v>3156</v>
      </c>
      <c r="Z366" s="371">
        <v>3265</v>
      </c>
      <c r="AA366" s="371">
        <v>2625</v>
      </c>
      <c r="AB366" s="371">
        <v>1415</v>
      </c>
      <c r="AC366" s="371">
        <v>760</v>
      </c>
      <c r="AD366" s="371">
        <v>1105</v>
      </c>
      <c r="AE366" s="371">
        <v>80</v>
      </c>
      <c r="AF366" s="385">
        <f>SUM(AG366:AH366)</f>
        <v>8100</v>
      </c>
      <c r="AG366" s="371">
        <v>6750</v>
      </c>
      <c r="AH366" s="371">
        <v>1350</v>
      </c>
      <c r="AI366" s="387">
        <f t="shared" si="115"/>
        <v>0</v>
      </c>
    </row>
    <row r="367" spans="1:35" s="393" customFormat="1" ht="24" customHeight="1">
      <c r="A367" s="397" t="s">
        <v>494</v>
      </c>
      <c r="B367" s="394" t="s">
        <v>629</v>
      </c>
      <c r="C367" s="395" t="s">
        <v>884</v>
      </c>
      <c r="D367" s="396">
        <v>3</v>
      </c>
      <c r="E367" s="385">
        <f>SUM(H367,P367,AF367)</f>
        <v>502950</v>
      </c>
      <c r="F367" s="368">
        <v>124800</v>
      </c>
      <c r="G367" s="368">
        <v>378150</v>
      </c>
      <c r="H367" s="385">
        <f>SUM(I367:O367)</f>
        <v>277218</v>
      </c>
      <c r="I367" s="371">
        <v>26205</v>
      </c>
      <c r="J367" s="371">
        <v>11990</v>
      </c>
      <c r="K367" s="371">
        <v>15578</v>
      </c>
      <c r="L367" s="371">
        <v>76670</v>
      </c>
      <c r="M367" s="371">
        <v>111847</v>
      </c>
      <c r="N367" s="371">
        <v>33808</v>
      </c>
      <c r="O367" s="370">
        <v>1120</v>
      </c>
      <c r="P367" s="386">
        <f>SUM(Q367:AE367)</f>
        <v>210932</v>
      </c>
      <c r="Q367" s="371">
        <v>14339</v>
      </c>
      <c r="R367" s="371">
        <v>6100</v>
      </c>
      <c r="S367" s="371">
        <v>8273</v>
      </c>
      <c r="T367" s="371">
        <v>28275</v>
      </c>
      <c r="U367" s="371">
        <v>5871</v>
      </c>
      <c r="V367" s="371">
        <v>18318</v>
      </c>
      <c r="W367" s="371">
        <v>27120</v>
      </c>
      <c r="X367" s="371">
        <v>11603</v>
      </c>
      <c r="Y367" s="371">
        <v>25155</v>
      </c>
      <c r="Z367" s="371">
        <v>6315</v>
      </c>
      <c r="AA367" s="371">
        <v>18747</v>
      </c>
      <c r="AB367" s="371">
        <v>22449</v>
      </c>
      <c r="AC367" s="371">
        <v>5230</v>
      </c>
      <c r="AD367" s="371">
        <v>11083</v>
      </c>
      <c r="AE367" s="371">
        <v>2054</v>
      </c>
      <c r="AF367" s="385">
        <f>SUM(AG367:AH367)</f>
        <v>14800</v>
      </c>
      <c r="AG367" s="371">
        <v>9950</v>
      </c>
      <c r="AH367" s="371">
        <v>4850</v>
      </c>
      <c r="AI367" s="387">
        <f t="shared" si="115"/>
        <v>0</v>
      </c>
    </row>
    <row r="368" spans="1:35" s="393" customFormat="1" ht="24" customHeight="1">
      <c r="A368" s="397" t="s">
        <v>494</v>
      </c>
      <c r="B368" s="394" t="s">
        <v>629</v>
      </c>
      <c r="C368" s="395" t="s">
        <v>885</v>
      </c>
      <c r="D368" s="396">
        <v>3</v>
      </c>
      <c r="E368" s="385">
        <f>SUM(H368,P368,AF368)</f>
        <v>69700</v>
      </c>
      <c r="F368" s="368">
        <v>18050</v>
      </c>
      <c r="G368" s="368">
        <v>51650</v>
      </c>
      <c r="H368" s="385">
        <f>SUM(I368:O368)</f>
        <v>17400</v>
      </c>
      <c r="I368" s="371">
        <v>3153</v>
      </c>
      <c r="J368" s="371">
        <v>0</v>
      </c>
      <c r="K368" s="371">
        <v>700</v>
      </c>
      <c r="L368" s="371">
        <v>1847</v>
      </c>
      <c r="M368" s="371">
        <v>11400</v>
      </c>
      <c r="N368" s="371">
        <v>300</v>
      </c>
      <c r="O368" s="370">
        <v>0</v>
      </c>
      <c r="P368" s="386">
        <f>SUM(Q368:AE368)</f>
        <v>47300</v>
      </c>
      <c r="Q368" s="371">
        <v>2200</v>
      </c>
      <c r="R368" s="371">
        <v>200</v>
      </c>
      <c r="S368" s="371">
        <v>5566</v>
      </c>
      <c r="T368" s="371">
        <v>500</v>
      </c>
      <c r="U368" s="371">
        <v>8050</v>
      </c>
      <c r="V368" s="371">
        <v>969</v>
      </c>
      <c r="W368" s="371">
        <v>2827</v>
      </c>
      <c r="X368" s="371">
        <v>900</v>
      </c>
      <c r="Y368" s="371">
        <v>2300</v>
      </c>
      <c r="Z368" s="371">
        <v>21300</v>
      </c>
      <c r="AA368" s="371">
        <v>920</v>
      </c>
      <c r="AB368" s="371">
        <v>596</v>
      </c>
      <c r="AC368" s="371">
        <v>100</v>
      </c>
      <c r="AD368" s="371">
        <v>872</v>
      </c>
      <c r="AE368" s="371">
        <v>0</v>
      </c>
      <c r="AF368" s="385">
        <f>SUM(AG368:AH368)</f>
        <v>5000</v>
      </c>
      <c r="AG368" s="371">
        <v>1750</v>
      </c>
      <c r="AH368" s="371">
        <v>3250</v>
      </c>
      <c r="AI368" s="387">
        <f t="shared" si="115"/>
        <v>0</v>
      </c>
    </row>
    <row r="369" spans="1:35" s="393" customFormat="1" ht="24" customHeight="1">
      <c r="A369" s="397" t="s">
        <v>494</v>
      </c>
      <c r="B369" s="394" t="s">
        <v>629</v>
      </c>
      <c r="C369" s="395" t="s">
        <v>886</v>
      </c>
      <c r="D369" s="396">
        <v>3</v>
      </c>
      <c r="E369" s="385">
        <f>SUM(H369,P369,AF369)</f>
        <v>324100</v>
      </c>
      <c r="F369" s="368">
        <v>71200</v>
      </c>
      <c r="G369" s="368">
        <v>252900</v>
      </c>
      <c r="H369" s="385">
        <f>SUM(I369:O369)</f>
        <v>67500</v>
      </c>
      <c r="I369" s="371">
        <v>11180</v>
      </c>
      <c r="J369" s="371">
        <v>11100</v>
      </c>
      <c r="K369" s="371">
        <v>11180</v>
      </c>
      <c r="L369" s="371">
        <v>11180</v>
      </c>
      <c r="M369" s="371">
        <v>11430</v>
      </c>
      <c r="N369" s="371">
        <v>11430</v>
      </c>
      <c r="O369" s="370">
        <v>0</v>
      </c>
      <c r="P369" s="386">
        <f>SUM(Q369:AE369)</f>
        <v>236200</v>
      </c>
      <c r="Q369" s="371">
        <v>16800</v>
      </c>
      <c r="R369" s="371">
        <v>16000</v>
      </c>
      <c r="S369" s="371">
        <v>16800</v>
      </c>
      <c r="T369" s="371">
        <v>16800</v>
      </c>
      <c r="U369" s="371">
        <v>15900</v>
      </c>
      <c r="V369" s="371">
        <v>16800</v>
      </c>
      <c r="W369" s="371">
        <v>17900</v>
      </c>
      <c r="X369" s="371">
        <v>18000</v>
      </c>
      <c r="Y369" s="371">
        <v>17900</v>
      </c>
      <c r="Z369" s="371">
        <v>16900</v>
      </c>
      <c r="AA369" s="371">
        <v>15900</v>
      </c>
      <c r="AB369" s="371">
        <v>16800</v>
      </c>
      <c r="AC369" s="371">
        <v>16800</v>
      </c>
      <c r="AD369" s="371">
        <v>16900</v>
      </c>
      <c r="AE369" s="371">
        <v>0</v>
      </c>
      <c r="AF369" s="385">
        <f>SUM(AG369:AH369)</f>
        <v>20400</v>
      </c>
      <c r="AG369" s="371">
        <v>10200</v>
      </c>
      <c r="AH369" s="371">
        <v>10200</v>
      </c>
      <c r="AI369" s="387">
        <f t="shared" si="115"/>
        <v>0</v>
      </c>
    </row>
    <row r="370" spans="1:35" s="404" customFormat="1" ht="33.950000000000003" customHeight="1">
      <c r="A370" s="423" t="s">
        <v>199</v>
      </c>
      <c r="B370" s="423" t="s">
        <v>199</v>
      </c>
      <c r="C370" s="491" t="s">
        <v>1166</v>
      </c>
      <c r="D370" s="424">
        <v>1</v>
      </c>
      <c r="E370" s="425">
        <f>SUM(H370,P370,AF370)</f>
        <v>5000</v>
      </c>
      <c r="F370" s="425">
        <v>5000</v>
      </c>
      <c r="G370" s="425"/>
      <c r="H370" s="425">
        <f>SUM(I370:O370)</f>
        <v>0</v>
      </c>
      <c r="I370" s="425"/>
      <c r="J370" s="425"/>
      <c r="K370" s="425"/>
      <c r="L370" s="425"/>
      <c r="M370" s="425"/>
      <c r="N370" s="425"/>
      <c r="O370" s="426"/>
      <c r="P370" s="426">
        <f>SUM(Q370:AE370)</f>
        <v>0</v>
      </c>
      <c r="Q370" s="425"/>
      <c r="R370" s="425"/>
      <c r="S370" s="425"/>
      <c r="T370" s="425"/>
      <c r="U370" s="425"/>
      <c r="V370" s="425"/>
      <c r="W370" s="425"/>
      <c r="X370" s="425"/>
      <c r="Y370" s="425"/>
      <c r="Z370" s="425"/>
      <c r="AA370" s="425"/>
      <c r="AB370" s="425"/>
      <c r="AC370" s="425"/>
      <c r="AD370" s="425"/>
      <c r="AE370" s="425"/>
      <c r="AF370" s="425">
        <f>SUM(AG370:AH370)</f>
        <v>5000</v>
      </c>
      <c r="AG370" s="425">
        <v>3500</v>
      </c>
      <c r="AH370" s="425">
        <v>1500</v>
      </c>
      <c r="AI370" s="387">
        <f t="shared" si="115"/>
        <v>0</v>
      </c>
    </row>
    <row r="371" spans="1:35" s="382" customFormat="1" ht="26.1" customHeight="1">
      <c r="A371" s="374" t="s">
        <v>490</v>
      </c>
      <c r="B371" s="375"/>
      <c r="C371" s="376"/>
      <c r="D371" s="376"/>
      <c r="E371" s="377"/>
      <c r="F371" s="377"/>
      <c r="G371" s="377"/>
      <c r="H371" s="377"/>
      <c r="I371" s="377"/>
      <c r="J371" s="377"/>
      <c r="K371" s="377"/>
      <c r="L371" s="377"/>
      <c r="M371" s="377"/>
      <c r="N371" s="377"/>
      <c r="O371" s="378"/>
      <c r="P371" s="379"/>
      <c r="Q371" s="377"/>
      <c r="R371" s="377"/>
      <c r="S371" s="377"/>
      <c r="T371" s="377"/>
      <c r="U371" s="377"/>
      <c r="V371" s="377"/>
      <c r="W371" s="377"/>
      <c r="X371" s="377"/>
      <c r="Y371" s="377"/>
      <c r="Z371" s="377"/>
      <c r="AA371" s="377"/>
      <c r="AB371" s="377"/>
      <c r="AC371" s="377"/>
      <c r="AD371" s="377"/>
      <c r="AE371" s="377"/>
      <c r="AF371" s="380"/>
      <c r="AG371" s="377"/>
      <c r="AH371" s="377"/>
      <c r="AI371" s="381"/>
    </row>
    <row r="373" spans="1:35">
      <c r="E373" s="439">
        <f t="shared" ref="E373:AH373" si="129">E5-E6-E107</f>
        <v>0</v>
      </c>
      <c r="F373" s="439">
        <f t="shared" si="129"/>
        <v>0</v>
      </c>
      <c r="G373" s="439">
        <f t="shared" si="129"/>
        <v>0</v>
      </c>
      <c r="H373" s="439">
        <f t="shared" si="129"/>
        <v>0</v>
      </c>
      <c r="I373" s="439">
        <f t="shared" si="129"/>
        <v>0</v>
      </c>
      <c r="J373" s="439">
        <f t="shared" si="129"/>
        <v>0</v>
      </c>
      <c r="K373" s="439">
        <f t="shared" si="129"/>
        <v>0</v>
      </c>
      <c r="L373" s="439">
        <f t="shared" si="129"/>
        <v>0</v>
      </c>
      <c r="M373" s="439">
        <f t="shared" si="129"/>
        <v>0</v>
      </c>
      <c r="N373" s="439">
        <f t="shared" si="129"/>
        <v>0</v>
      </c>
      <c r="O373" s="439">
        <f t="shared" si="129"/>
        <v>0</v>
      </c>
      <c r="P373" s="439">
        <f t="shared" si="129"/>
        <v>0</v>
      </c>
      <c r="Q373" s="439">
        <f t="shared" si="129"/>
        <v>0</v>
      </c>
      <c r="R373" s="439">
        <f t="shared" si="129"/>
        <v>0</v>
      </c>
      <c r="S373" s="439">
        <f t="shared" si="129"/>
        <v>0</v>
      </c>
      <c r="T373" s="439">
        <f t="shared" si="129"/>
        <v>0</v>
      </c>
      <c r="U373" s="439">
        <f t="shared" si="129"/>
        <v>0</v>
      </c>
      <c r="V373" s="439">
        <f t="shared" si="129"/>
        <v>0</v>
      </c>
      <c r="W373" s="439">
        <f t="shared" si="129"/>
        <v>0</v>
      </c>
      <c r="X373" s="439">
        <f t="shared" si="129"/>
        <v>0</v>
      </c>
      <c r="Y373" s="439">
        <f t="shared" si="129"/>
        <v>0</v>
      </c>
      <c r="Z373" s="439">
        <f t="shared" si="129"/>
        <v>0</v>
      </c>
      <c r="AA373" s="439">
        <f t="shared" si="129"/>
        <v>0</v>
      </c>
      <c r="AB373" s="439">
        <f t="shared" si="129"/>
        <v>0</v>
      </c>
      <c r="AC373" s="439">
        <f t="shared" si="129"/>
        <v>0</v>
      </c>
      <c r="AD373" s="439">
        <f t="shared" si="129"/>
        <v>0</v>
      </c>
      <c r="AE373" s="439">
        <f t="shared" si="129"/>
        <v>0</v>
      </c>
      <c r="AF373" s="439">
        <f t="shared" si="129"/>
        <v>0</v>
      </c>
      <c r="AG373" s="439">
        <f t="shared" si="129"/>
        <v>0</v>
      </c>
      <c r="AH373" s="439">
        <f t="shared" si="129"/>
        <v>0</v>
      </c>
    </row>
    <row r="374" spans="1:35">
      <c r="E374" s="492">
        <f>SUBTOTAL(9,E5:E370)</f>
        <v>715811798</v>
      </c>
    </row>
  </sheetData>
  <autoFilter ref="A4:AI371" xr:uid="{00000000-0009-0000-0000-000016000000}"/>
  <mergeCells count="10">
    <mergeCell ref="A3:A4"/>
    <mergeCell ref="B3:B4"/>
    <mergeCell ref="C3:C4"/>
    <mergeCell ref="D3:D4"/>
    <mergeCell ref="D1:R1"/>
    <mergeCell ref="S1:AH1"/>
    <mergeCell ref="S3:AE3"/>
    <mergeCell ref="P3:R3"/>
    <mergeCell ref="H3:O3"/>
    <mergeCell ref="AF3:AH3"/>
  </mergeCells>
  <phoneticPr fontId="19" type="noConversion"/>
  <printOptions horizontalCentered="1"/>
  <pageMargins left="0.39370078740157483" right="0.39370078740157483" top="0.39370078740157483" bottom="0.39370078740157483" header="0.19685039370078741" footer="0.43307086614173229"/>
  <pageSetup paperSize="9" scale="60" orientation="landscape" r:id="rId1"/>
  <headerFooter alignWithMargins="0"/>
  <colBreaks count="1" manualBreakCount="1">
    <brk id="18" max="16"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2" tint="-0.249977111117893"/>
    <pageSetUpPr fitToPage="1"/>
  </sheetPr>
  <dimension ref="A1:R60"/>
  <sheetViews>
    <sheetView view="pageBreakPreview" zoomScale="75" zoomScaleNormal="75"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0.375" style="445" customWidth="1"/>
    <col min="2" max="2" width="13.25" style="445" customWidth="1"/>
    <col min="3" max="3" width="12.5" style="447" customWidth="1"/>
    <col min="4" max="4" width="10.875" style="443" customWidth="1"/>
    <col min="5" max="5" width="10" style="443" customWidth="1"/>
    <col min="6" max="6" width="15.25" style="443" customWidth="1"/>
    <col min="7" max="7" width="12.5" style="443" customWidth="1"/>
    <col min="8" max="8" width="11.75" style="443" customWidth="1"/>
    <col min="9" max="9" width="14.5" style="443" customWidth="1"/>
    <col min="10" max="10" width="11" style="445" customWidth="1"/>
    <col min="11" max="11" width="10.875" style="445" customWidth="1"/>
    <col min="12" max="12" width="12.125" style="445" bestFit="1" customWidth="1"/>
    <col min="13" max="17" width="9.75" style="445" customWidth="1"/>
    <col min="18" max="18" width="12.125" style="445" bestFit="1" customWidth="1"/>
    <col min="19" max="16384" width="9.75" style="445"/>
  </cols>
  <sheetData>
    <row r="1" spans="1:18" ht="32.1" customHeight="1">
      <c r="A1" s="1052" t="s">
        <v>1048</v>
      </c>
      <c r="B1" s="1052"/>
      <c r="C1" s="1052"/>
      <c r="D1" s="1052"/>
      <c r="E1" s="1052"/>
      <c r="F1" s="1052"/>
      <c r="G1" s="444"/>
      <c r="I1" s="454" t="s">
        <v>14</v>
      </c>
      <c r="J1" s="462" t="s">
        <v>1077</v>
      </c>
    </row>
    <row r="2" spans="1:18" ht="9.6" customHeight="1">
      <c r="C2" s="446"/>
      <c r="D2" s="446"/>
      <c r="G2" s="446"/>
    </row>
    <row r="3" spans="1:18" ht="49.5">
      <c r="A3" s="7" t="s">
        <v>12</v>
      </c>
      <c r="B3" s="193" t="s">
        <v>21</v>
      </c>
      <c r="C3" s="468" t="s">
        <v>1049</v>
      </c>
      <c r="D3" s="468" t="s">
        <v>1050</v>
      </c>
      <c r="E3" s="193" t="s">
        <v>1076</v>
      </c>
      <c r="F3" s="193" t="s">
        <v>857</v>
      </c>
      <c r="G3" s="193" t="s">
        <v>75</v>
      </c>
      <c r="H3" s="193" t="s">
        <v>82</v>
      </c>
      <c r="I3" s="193" t="s">
        <v>1083</v>
      </c>
    </row>
    <row r="4" spans="1:18" s="459" customFormat="1" ht="22.9" customHeight="1">
      <c r="A4" s="457" t="s">
        <v>1072</v>
      </c>
      <c r="B4" s="458">
        <f>SUM(B5:B9)</f>
        <v>1826506.5420000001</v>
      </c>
      <c r="C4" s="458">
        <f t="shared" ref="C4:I4" si="0">SUM(C5:C9)</f>
        <v>1822377.5420000001</v>
      </c>
      <c r="D4" s="458">
        <f t="shared" si="0"/>
        <v>4129</v>
      </c>
      <c r="E4" s="458">
        <f t="shared" si="0"/>
        <v>0</v>
      </c>
      <c r="F4" s="458">
        <f t="shared" si="0"/>
        <v>0</v>
      </c>
      <c r="G4" s="458">
        <f t="shared" si="0"/>
        <v>0</v>
      </c>
      <c r="H4" s="458">
        <f t="shared" si="0"/>
        <v>0</v>
      </c>
      <c r="I4" s="458">
        <f t="shared" si="0"/>
        <v>0</v>
      </c>
      <c r="K4" s="463" t="s">
        <v>1073</v>
      </c>
    </row>
    <row r="5" spans="1:18" ht="22.9" customHeight="1">
      <c r="A5" s="10" t="s">
        <v>1051</v>
      </c>
      <c r="B5" s="455">
        <f>SUM(C5:I5)</f>
        <v>1444138</v>
      </c>
      <c r="C5" s="456">
        <f>[19]Sheet1!$G$2/1000</f>
        <v>1440009</v>
      </c>
      <c r="D5" s="451">
        <v>4129</v>
      </c>
      <c r="E5" s="451"/>
      <c r="F5" s="451"/>
      <c r="G5" s="451"/>
      <c r="H5" s="451"/>
      <c r="I5" s="451"/>
      <c r="K5" s="47">
        <f>C5-[20]中央105!C5</f>
        <v>0</v>
      </c>
      <c r="L5" s="508">
        <v>1440009</v>
      </c>
      <c r="M5" s="508">
        <v>238245</v>
      </c>
      <c r="N5" s="509" t="s">
        <v>145</v>
      </c>
      <c r="O5" s="508">
        <v>79066</v>
      </c>
      <c r="P5" s="508">
        <v>51881</v>
      </c>
      <c r="Q5" s="508">
        <v>13177</v>
      </c>
      <c r="R5" s="508">
        <v>1822378</v>
      </c>
    </row>
    <row r="6" spans="1:18" ht="22.9" customHeight="1">
      <c r="A6" s="9" t="s">
        <v>1052</v>
      </c>
      <c r="B6" s="455">
        <f>SUM(C6:I6)</f>
        <v>238245.00899999999</v>
      </c>
      <c r="C6" s="456">
        <f>[19]Sheet1!$G$6/1000</f>
        <v>238245.00899999999</v>
      </c>
      <c r="D6" s="451"/>
      <c r="E6" s="451"/>
      <c r="F6" s="451"/>
      <c r="G6" s="451"/>
      <c r="H6" s="451"/>
      <c r="I6" s="451"/>
      <c r="K6" s="47">
        <f>C6-[20]中央105!C6</f>
        <v>-24.99100000000908</v>
      </c>
    </row>
    <row r="7" spans="1:18" ht="22.9" customHeight="1">
      <c r="A7" s="10" t="s">
        <v>1044</v>
      </c>
      <c r="B7" s="455">
        <f>SUM(C7:I7)</f>
        <v>79066</v>
      </c>
      <c r="C7" s="456">
        <v>79066</v>
      </c>
      <c r="D7" s="451"/>
      <c r="E7" s="451"/>
      <c r="F7" s="451"/>
      <c r="G7" s="451"/>
      <c r="H7" s="451"/>
      <c r="I7" s="451"/>
      <c r="K7" s="47">
        <f>C7-[20]中央105!C7</f>
        <v>525</v>
      </c>
    </row>
    <row r="8" spans="1:18" ht="22.9" customHeight="1">
      <c r="A8" s="10" t="s">
        <v>1045</v>
      </c>
      <c r="B8" s="455">
        <f>SUM(C8:I8)</f>
        <v>51880.533000000003</v>
      </c>
      <c r="C8" s="456">
        <f>[19]Sheet1!$G$5/1000</f>
        <v>51880.533000000003</v>
      </c>
      <c r="D8" s="451"/>
      <c r="E8" s="451"/>
      <c r="F8" s="451"/>
      <c r="G8" s="451"/>
      <c r="H8" s="451"/>
      <c r="I8" s="451"/>
      <c r="K8" s="47">
        <f>C8-[20]中央105!C8</f>
        <v>-22754.466999999997</v>
      </c>
    </row>
    <row r="9" spans="1:18" ht="22.9" customHeight="1">
      <c r="A9" s="9" t="s">
        <v>1046</v>
      </c>
      <c r="B9" s="455">
        <f>SUM(C9:I9)</f>
        <v>13177</v>
      </c>
      <c r="C9" s="456">
        <v>13177</v>
      </c>
      <c r="D9" s="451"/>
      <c r="E9" s="451"/>
      <c r="F9" s="451"/>
      <c r="G9" s="451"/>
      <c r="H9" s="451"/>
      <c r="I9" s="451"/>
      <c r="K9" s="47">
        <f>C9-[20]中央105!C9</f>
        <v>8</v>
      </c>
    </row>
    <row r="10" spans="1:18" s="459" customFormat="1" ht="22.9" customHeight="1">
      <c r="A10" s="457" t="s">
        <v>1074</v>
      </c>
      <c r="B10" s="458">
        <f t="shared" ref="B10:I10" si="1">SUM(B11:B19)</f>
        <v>1684497</v>
      </c>
      <c r="C10" s="458">
        <f t="shared" si="1"/>
        <v>1975866</v>
      </c>
      <c r="D10" s="458">
        <f t="shared" si="1"/>
        <v>14099</v>
      </c>
      <c r="E10" s="458">
        <f t="shared" si="1"/>
        <v>-162261</v>
      </c>
      <c r="F10" s="458">
        <f t="shared" si="1"/>
        <v>0</v>
      </c>
      <c r="G10" s="458">
        <f t="shared" si="1"/>
        <v>-138697</v>
      </c>
      <c r="H10" s="458">
        <f t="shared" si="1"/>
        <v>0</v>
      </c>
      <c r="I10" s="458">
        <f t="shared" si="1"/>
        <v>-4510</v>
      </c>
      <c r="J10" s="123">
        <f t="shared" ref="J10:J19" si="2">SUM(D10:I10)</f>
        <v>-291369</v>
      </c>
      <c r="K10" s="123"/>
      <c r="L10" s="459">
        <v>1975866</v>
      </c>
    </row>
    <row r="11" spans="1:18" ht="22.9" customHeight="1">
      <c r="A11" s="11" t="s">
        <v>1047</v>
      </c>
      <c r="B11" s="455">
        <f t="shared" ref="B11:B19" si="3">SUM(C11:I11)</f>
        <v>183667</v>
      </c>
      <c r="C11" s="456">
        <v>186995</v>
      </c>
      <c r="D11" s="451"/>
      <c r="E11" s="451"/>
      <c r="F11" s="451"/>
      <c r="G11" s="451">
        <v>-3328</v>
      </c>
      <c r="H11" s="451"/>
      <c r="I11" s="451"/>
      <c r="J11" s="47">
        <f t="shared" si="2"/>
        <v>-3328</v>
      </c>
      <c r="K11" s="47">
        <f>C11-[20]中央105!C11</f>
        <v>-3529</v>
      </c>
    </row>
    <row r="12" spans="1:18" ht="22.9" customHeight="1">
      <c r="A12" s="12" t="s">
        <v>1053</v>
      </c>
      <c r="B12" s="455">
        <f t="shared" si="3"/>
        <v>309805</v>
      </c>
      <c r="C12" s="456">
        <v>309805</v>
      </c>
      <c r="D12" s="451"/>
      <c r="E12" s="451"/>
      <c r="F12" s="451"/>
      <c r="G12" s="451"/>
      <c r="H12" s="451"/>
      <c r="I12" s="451"/>
      <c r="J12" s="47">
        <f t="shared" si="2"/>
        <v>0</v>
      </c>
      <c r="K12" s="47">
        <f>C12-[20]中央105!C12</f>
        <v>-1362</v>
      </c>
    </row>
    <row r="13" spans="1:18" ht="22.9" customHeight="1">
      <c r="A13" s="12" t="s">
        <v>1054</v>
      </c>
      <c r="B13" s="455">
        <f t="shared" si="3"/>
        <v>295800</v>
      </c>
      <c r="C13" s="456">
        <v>387840</v>
      </c>
      <c r="D13" s="451"/>
      <c r="E13" s="451">
        <v>-49990</v>
      </c>
      <c r="F13" s="451"/>
      <c r="G13" s="451">
        <v>-42050</v>
      </c>
      <c r="H13" s="451"/>
      <c r="I13" s="451"/>
      <c r="J13" s="47">
        <f t="shared" si="2"/>
        <v>-92040</v>
      </c>
      <c r="K13" s="47">
        <f>C13-[20]中央105!C13</f>
        <v>-2285</v>
      </c>
    </row>
    <row r="14" spans="1:18" ht="22.9" customHeight="1">
      <c r="A14" s="12" t="s">
        <v>1055</v>
      </c>
      <c r="B14" s="455">
        <f>SUM(C14:I14)</f>
        <v>197295</v>
      </c>
      <c r="C14" s="456">
        <v>267254</v>
      </c>
      <c r="D14" s="451">
        <v>12714</v>
      </c>
      <c r="E14" s="451">
        <v>-34500</v>
      </c>
      <c r="F14" s="451"/>
      <c r="G14" s="451">
        <v>-44203</v>
      </c>
      <c r="H14" s="451"/>
      <c r="I14" s="451">
        <v>-3970</v>
      </c>
      <c r="J14" s="47">
        <f t="shared" si="2"/>
        <v>-69959</v>
      </c>
      <c r="K14" s="47">
        <f>C14-[20]中央105!C14</f>
        <v>-6859</v>
      </c>
    </row>
    <row r="15" spans="1:18" ht="22.9" customHeight="1">
      <c r="A15" s="12" t="s">
        <v>1056</v>
      </c>
      <c r="B15" s="455">
        <f t="shared" si="3"/>
        <v>410207</v>
      </c>
      <c r="C15" s="456">
        <v>460610</v>
      </c>
      <c r="D15" s="451"/>
      <c r="E15" s="451">
        <v>-34361</v>
      </c>
      <c r="F15" s="451"/>
      <c r="G15" s="451">
        <v>-16042</v>
      </c>
      <c r="H15" s="451"/>
      <c r="I15" s="451"/>
      <c r="J15" s="47">
        <f t="shared" si="2"/>
        <v>-50403</v>
      </c>
      <c r="K15" s="47">
        <f>C15-[20]中央105!C15</f>
        <v>-6455</v>
      </c>
    </row>
    <row r="16" spans="1:18" ht="22.9" customHeight="1">
      <c r="A16" s="12" t="s">
        <v>1057</v>
      </c>
      <c r="B16" s="455">
        <f t="shared" si="3"/>
        <v>4324</v>
      </c>
      <c r="C16" s="456">
        <v>17976</v>
      </c>
      <c r="D16" s="451">
        <v>1385</v>
      </c>
      <c r="E16" s="451"/>
      <c r="F16" s="451"/>
      <c r="G16" s="451">
        <v>-14497</v>
      </c>
      <c r="H16" s="451"/>
      <c r="I16" s="451">
        <v>-540</v>
      </c>
      <c r="J16" s="47">
        <f t="shared" si="2"/>
        <v>-13652</v>
      </c>
      <c r="K16" s="47">
        <f>C16-[20]中央105!C16</f>
        <v>-652</v>
      </c>
    </row>
    <row r="17" spans="1:11" ht="22.9" customHeight="1">
      <c r="A17" s="12" t="s">
        <v>1058</v>
      </c>
      <c r="B17" s="455">
        <f t="shared" si="3"/>
        <v>147210</v>
      </c>
      <c r="C17" s="456">
        <v>147210</v>
      </c>
      <c r="D17" s="451"/>
      <c r="E17" s="451"/>
      <c r="F17" s="451"/>
      <c r="G17" s="451"/>
      <c r="H17" s="451"/>
      <c r="I17" s="451"/>
      <c r="J17" s="47">
        <f t="shared" si="2"/>
        <v>0</v>
      </c>
      <c r="K17" s="47">
        <f>C17-[20]中央105!C17</f>
        <v>-2</v>
      </c>
    </row>
    <row r="18" spans="1:11" ht="22.9" customHeight="1">
      <c r="A18" s="12" t="s">
        <v>1059</v>
      </c>
      <c r="B18" s="455">
        <f t="shared" si="3"/>
        <v>123311</v>
      </c>
      <c r="C18" s="456">
        <v>123311</v>
      </c>
      <c r="D18" s="451"/>
      <c r="E18" s="451"/>
      <c r="F18" s="451"/>
      <c r="G18" s="451"/>
      <c r="H18" s="451"/>
      <c r="I18" s="451"/>
      <c r="J18" s="47">
        <f t="shared" si="2"/>
        <v>0</v>
      </c>
      <c r="K18" s="47">
        <f>C18-[20]中央105!C18</f>
        <v>-200</v>
      </c>
    </row>
    <row r="19" spans="1:11" ht="22.9" customHeight="1">
      <c r="A19" s="12" t="s">
        <v>1060</v>
      </c>
      <c r="B19" s="455">
        <f t="shared" si="3"/>
        <v>12878</v>
      </c>
      <c r="C19" s="456">
        <v>74865</v>
      </c>
      <c r="D19" s="451"/>
      <c r="E19" s="451">
        <v>-43410</v>
      </c>
      <c r="F19" s="451"/>
      <c r="G19" s="451">
        <v>-18577</v>
      </c>
      <c r="H19" s="451"/>
      <c r="I19" s="451"/>
      <c r="J19" s="47">
        <f t="shared" si="2"/>
        <v>-61987</v>
      </c>
      <c r="K19" s="47">
        <f>C19-[20]中央105!C19</f>
        <v>-982</v>
      </c>
    </row>
    <row r="20" spans="1:11" s="459" customFormat="1" ht="22.9" customHeight="1">
      <c r="A20" s="460" t="s">
        <v>1075</v>
      </c>
      <c r="B20" s="458">
        <f>B4-B10</f>
        <v>142009.54200000013</v>
      </c>
      <c r="C20" s="458">
        <f t="shared" ref="C20:I20" si="4">C4-C10</f>
        <v>-153488.45799999987</v>
      </c>
      <c r="D20" s="458">
        <f t="shared" si="4"/>
        <v>-9970</v>
      </c>
      <c r="E20" s="458">
        <f t="shared" si="4"/>
        <v>162261</v>
      </c>
      <c r="F20" s="458">
        <f t="shared" si="4"/>
        <v>0</v>
      </c>
      <c r="G20" s="458">
        <f t="shared" si="4"/>
        <v>138697</v>
      </c>
      <c r="H20" s="458">
        <f t="shared" si="4"/>
        <v>0</v>
      </c>
      <c r="I20" s="458">
        <f t="shared" si="4"/>
        <v>4510</v>
      </c>
    </row>
    <row r="21" spans="1:11" s="459" customFormat="1" ht="39.950000000000003" customHeight="1">
      <c r="A21" s="461"/>
      <c r="B21" s="493" t="s">
        <v>1167</v>
      </c>
      <c r="C21" s="493" t="s">
        <v>1167</v>
      </c>
      <c r="D21" s="493" t="s">
        <v>1167</v>
      </c>
      <c r="E21" s="493" t="s">
        <v>1167</v>
      </c>
      <c r="F21" s="493" t="s">
        <v>1167</v>
      </c>
      <c r="G21" s="493" t="s">
        <v>1167</v>
      </c>
      <c r="H21" s="493" t="s">
        <v>1167</v>
      </c>
      <c r="I21" s="493" t="s">
        <v>1167</v>
      </c>
    </row>
    <row r="22" spans="1:11" s="459" customFormat="1" ht="39.950000000000003" customHeight="1">
      <c r="A22" s="461"/>
      <c r="B22" s="493"/>
      <c r="C22" s="493"/>
      <c r="D22" s="493"/>
      <c r="E22" s="493"/>
      <c r="F22" s="493"/>
      <c r="G22" s="493"/>
      <c r="H22" s="493"/>
      <c r="I22" s="493"/>
    </row>
    <row r="23" spans="1:11" s="459" customFormat="1" ht="39.950000000000003" customHeight="1">
      <c r="A23" s="461"/>
      <c r="B23" s="493"/>
      <c r="C23" s="493"/>
      <c r="D23" s="493"/>
      <c r="E23" s="493"/>
      <c r="F23" s="493"/>
      <c r="G23" s="493"/>
      <c r="H23" s="493"/>
      <c r="I23" s="493"/>
    </row>
    <row r="24" spans="1:11" ht="22.9" customHeight="1">
      <c r="C24" s="4">
        <f>C20/C10*100</f>
        <v>-7.7681613024364955</v>
      </c>
      <c r="E24" s="448"/>
    </row>
    <row r="25" spans="1:11" ht="22.9" customHeight="1">
      <c r="A25" s="12" t="s">
        <v>1061</v>
      </c>
      <c r="B25" s="449">
        <f>C11-[20]中央105!C11</f>
        <v>-3529</v>
      </c>
      <c r="C25" s="12" t="s">
        <v>1062</v>
      </c>
      <c r="D25" s="450"/>
      <c r="E25" s="451">
        <f>C5-[20]中央105!C5</f>
        <v>0</v>
      </c>
      <c r="F25" s="452"/>
      <c r="H25" s="452"/>
    </row>
    <row r="26" spans="1:11" ht="22.9" customHeight="1">
      <c r="A26" s="12" t="s">
        <v>1063</v>
      </c>
      <c r="B26" s="449">
        <f>C12-[20]中央105!C12</f>
        <v>-1362</v>
      </c>
      <c r="C26" s="12" t="s">
        <v>1064</v>
      </c>
      <c r="D26" s="450"/>
      <c r="E26" s="451">
        <f>C6-[20]中央105!C6</f>
        <v>-24.99100000000908</v>
      </c>
      <c r="F26" s="452"/>
      <c r="H26" s="452"/>
    </row>
    <row r="27" spans="1:11" ht="22.9" customHeight="1">
      <c r="A27" s="12" t="s">
        <v>1065</v>
      </c>
      <c r="B27" s="449">
        <f>C13-[20]中央105!C13</f>
        <v>-2285</v>
      </c>
      <c r="C27" s="12" t="s">
        <v>1044</v>
      </c>
      <c r="D27" s="450"/>
      <c r="E27" s="451">
        <f>C7-[20]中央105!C7</f>
        <v>525</v>
      </c>
      <c r="F27" s="452"/>
      <c r="H27" s="452"/>
    </row>
    <row r="28" spans="1:11" ht="22.9" customHeight="1">
      <c r="A28" s="12" t="s">
        <v>1066</v>
      </c>
      <c r="B28" s="449">
        <f>C14-[20]中央105!C14</f>
        <v>-6859</v>
      </c>
      <c r="C28" s="12" t="s">
        <v>1045</v>
      </c>
      <c r="D28" s="450"/>
      <c r="E28" s="451">
        <f>C8-[20]中央105!C8</f>
        <v>-22754.466999999997</v>
      </c>
      <c r="F28" s="452"/>
      <c r="H28" s="452"/>
    </row>
    <row r="29" spans="1:11" ht="22.9" customHeight="1">
      <c r="A29" s="12" t="s">
        <v>1067</v>
      </c>
      <c r="B29" s="449">
        <f>C15-[20]中央105!C15</f>
        <v>-6455</v>
      </c>
      <c r="C29" s="12" t="s">
        <v>1046</v>
      </c>
      <c r="D29" s="450"/>
      <c r="E29" s="451">
        <f>C9-[20]中央105!C9</f>
        <v>8</v>
      </c>
      <c r="F29" s="452"/>
      <c r="H29" s="452"/>
    </row>
    <row r="30" spans="1:11" ht="22.9" customHeight="1">
      <c r="A30" s="12" t="s">
        <v>1068</v>
      </c>
      <c r="B30" s="449">
        <f>C16-[20]中央105!C16</f>
        <v>-652</v>
      </c>
      <c r="C30" s="453"/>
      <c r="D30" s="450"/>
      <c r="E30" s="450"/>
      <c r="H30" s="452"/>
    </row>
    <row r="31" spans="1:11" ht="22.9" customHeight="1">
      <c r="A31" s="12" t="s">
        <v>1069</v>
      </c>
      <c r="B31" s="449">
        <f>C17-[20]中央105!C17</f>
        <v>-2</v>
      </c>
      <c r="C31" s="453"/>
      <c r="D31" s="450"/>
      <c r="E31" s="450"/>
      <c r="H31" s="452"/>
    </row>
    <row r="32" spans="1:11" ht="22.9" customHeight="1">
      <c r="A32" s="12" t="s">
        <v>1070</v>
      </c>
      <c r="B32" s="449">
        <f>C18-[20]中央105!C18</f>
        <v>-200</v>
      </c>
      <c r="C32" s="453"/>
      <c r="D32" s="450"/>
      <c r="E32" s="450"/>
      <c r="H32" s="452"/>
    </row>
    <row r="33" spans="1:8" ht="22.9" customHeight="1">
      <c r="A33" s="12" t="s">
        <v>1071</v>
      </c>
      <c r="B33" s="449">
        <f>C19-[20]中央105!C19</f>
        <v>-982</v>
      </c>
      <c r="C33" s="453"/>
      <c r="D33" s="450"/>
      <c r="E33" s="450"/>
      <c r="H33" s="452"/>
    </row>
    <row r="34" spans="1:8" ht="22.9" customHeight="1">
      <c r="A34" s="12"/>
      <c r="B34" s="12"/>
      <c r="C34" s="453"/>
      <c r="D34" s="450"/>
      <c r="E34" s="450"/>
    </row>
    <row r="35" spans="1:8" ht="22.9" customHeight="1">
      <c r="A35" s="12" t="s">
        <v>1061</v>
      </c>
      <c r="B35" s="449">
        <f>B11-[20]中央105!B11</f>
        <v>-3436</v>
      </c>
      <c r="C35" s="12" t="s">
        <v>1062</v>
      </c>
      <c r="D35" s="450"/>
      <c r="E35" s="451">
        <f>B5-[20]中央105!B5</f>
        <v>0</v>
      </c>
      <c r="F35" s="452"/>
      <c r="H35" s="452"/>
    </row>
    <row r="36" spans="1:8" ht="22.9" customHeight="1">
      <c r="A36" s="12" t="s">
        <v>1063</v>
      </c>
      <c r="B36" s="449">
        <f>B12-[20]中央105!B12</f>
        <v>-1362</v>
      </c>
      <c r="C36" s="12" t="s">
        <v>1064</v>
      </c>
      <c r="D36" s="450"/>
      <c r="E36" s="451">
        <f>B6-[20]中央105!B6</f>
        <v>-24.99100000000908</v>
      </c>
      <c r="F36" s="452"/>
      <c r="H36" s="452"/>
    </row>
    <row r="37" spans="1:8" ht="22.9" customHeight="1">
      <c r="A37" s="12" t="s">
        <v>1065</v>
      </c>
      <c r="B37" s="449">
        <f>B13-[20]中央105!B13</f>
        <v>-2136</v>
      </c>
      <c r="C37" s="12" t="s">
        <v>1044</v>
      </c>
      <c r="D37" s="450"/>
      <c r="E37" s="451">
        <f>B7-[20]中央105!B7</f>
        <v>525</v>
      </c>
      <c r="F37" s="452"/>
      <c r="H37" s="452"/>
    </row>
    <row r="38" spans="1:8" ht="22.9" customHeight="1">
      <c r="A38" s="12" t="s">
        <v>1066</v>
      </c>
      <c r="B38" s="449">
        <f>B14-[20]中央105!B14</f>
        <v>-5388</v>
      </c>
      <c r="C38" s="12" t="s">
        <v>1045</v>
      </c>
      <c r="D38" s="450"/>
      <c r="E38" s="451">
        <f>B8-[20]中央105!B8</f>
        <v>-22754.466999999997</v>
      </c>
      <c r="F38" s="452"/>
      <c r="H38" s="452"/>
    </row>
    <row r="39" spans="1:8" ht="22.9" customHeight="1">
      <c r="A39" s="12" t="s">
        <v>1067</v>
      </c>
      <c r="B39" s="449">
        <f>B15-[20]中央105!B15</f>
        <v>-6431</v>
      </c>
      <c r="C39" s="12" t="s">
        <v>1046</v>
      </c>
      <c r="D39" s="450"/>
      <c r="E39" s="451">
        <f>B9-[20]中央105!B9</f>
        <v>8</v>
      </c>
      <c r="F39" s="452"/>
      <c r="H39" s="452"/>
    </row>
    <row r="40" spans="1:8" ht="22.9" customHeight="1">
      <c r="A40" s="12" t="s">
        <v>1068</v>
      </c>
      <c r="B40" s="449">
        <f>B16-[20]中央105!B16</f>
        <v>-27</v>
      </c>
      <c r="C40" s="453"/>
      <c r="D40" s="450"/>
      <c r="E40" s="450"/>
      <c r="H40" s="452"/>
    </row>
    <row r="41" spans="1:8" ht="22.9" customHeight="1">
      <c r="A41" s="12" t="s">
        <v>1069</v>
      </c>
      <c r="B41" s="449">
        <f>B17-[20]中央105!B17</f>
        <v>-2</v>
      </c>
      <c r="C41" s="453"/>
      <c r="D41" s="450"/>
      <c r="E41" s="450"/>
      <c r="H41" s="452"/>
    </row>
    <row r="42" spans="1:8" ht="22.9" customHeight="1">
      <c r="A42" s="12" t="s">
        <v>1070</v>
      </c>
      <c r="B42" s="449">
        <f>B18-[20]中央105!B18</f>
        <v>-200</v>
      </c>
      <c r="C42" s="453"/>
      <c r="D42" s="450"/>
      <c r="E42" s="450"/>
      <c r="H42" s="452"/>
    </row>
    <row r="43" spans="1:8" ht="22.9" customHeight="1">
      <c r="A43" s="12" t="s">
        <v>1071</v>
      </c>
      <c r="B43" s="449">
        <f>B19-[20]中央105!B19</f>
        <v>-100</v>
      </c>
      <c r="C43" s="453"/>
      <c r="D43" s="450"/>
      <c r="E43" s="450"/>
      <c r="H43" s="452"/>
    </row>
    <row r="44" spans="1:8" ht="22.9" customHeight="1"/>
    <row r="45" spans="1:8" ht="22.9" customHeight="1"/>
    <row r="46" spans="1:8" ht="22.9" customHeight="1"/>
    <row r="47" spans="1:8" ht="22.9" customHeight="1"/>
    <row r="48" spans="1:8" ht="22.9" customHeight="1"/>
    <row r="49" ht="22.9" customHeight="1"/>
    <row r="50" ht="22.9" customHeight="1"/>
    <row r="51" ht="22.9" customHeight="1"/>
    <row r="52" ht="22.9" customHeight="1"/>
    <row r="53" ht="22.9" customHeight="1"/>
    <row r="54" ht="22.9" customHeight="1"/>
    <row r="55" ht="22.9" customHeight="1"/>
    <row r="56" ht="22.9" customHeight="1"/>
    <row r="57" ht="22.9" customHeight="1"/>
    <row r="58" ht="22.9" customHeight="1"/>
    <row r="59" ht="22.9" customHeight="1"/>
    <row r="60" ht="22.9" customHeight="1"/>
  </sheetData>
  <mergeCells count="1">
    <mergeCell ref="A1:F1"/>
  </mergeCells>
  <phoneticPr fontId="5" type="noConversion"/>
  <printOptions horizontalCentered="1"/>
  <pageMargins left="0.39370078740157483" right="0.39370078740157483" top="0.39370078740157483" bottom="0.39370078740157483" header="0.43307086614173229" footer="0.19685039370078741"/>
  <pageSetup paperSize="9" orientation="landscape" blackAndWhite="1"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indexed="19"/>
    <pageSetUpPr fitToPage="1"/>
  </sheetPr>
  <dimension ref="A1:K34"/>
  <sheetViews>
    <sheetView view="pageBreakPreview" zoomScale="85" zoomScaleNormal="85" zoomScaleSheetLayoutView="85"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1.5" style="4" customWidth="1"/>
    <col min="2" max="2" width="14.125" style="4" customWidth="1"/>
    <col min="3" max="3" width="15.125" style="45" customWidth="1"/>
    <col min="4" max="4" width="11.875" style="45" customWidth="1"/>
    <col min="5" max="5" width="11.5" style="45" customWidth="1"/>
    <col min="6" max="6" width="12.125" style="45" customWidth="1"/>
    <col min="7" max="7" width="14.875" style="44" customWidth="1"/>
    <col min="8" max="8" width="12.125" style="44" customWidth="1"/>
    <col min="9" max="9" width="19.875" style="44" customWidth="1"/>
    <col min="10" max="10" width="11.5" style="4" customWidth="1"/>
    <col min="11" max="11" width="11.375" style="4" customWidth="1"/>
    <col min="12" max="16384" width="9.75" style="4"/>
  </cols>
  <sheetData>
    <row r="1" spans="1:11" ht="32.1" customHeight="1">
      <c r="A1" s="1052" t="s">
        <v>1161</v>
      </c>
      <c r="B1" s="1052"/>
      <c r="C1" s="1052"/>
      <c r="D1" s="1052"/>
      <c r="E1" s="1052"/>
      <c r="F1" s="1052"/>
      <c r="I1" s="454" t="s">
        <v>14</v>
      </c>
      <c r="J1" s="462" t="s">
        <v>1077</v>
      </c>
    </row>
    <row r="2" spans="1:11" ht="16.5">
      <c r="A2" s="465"/>
      <c r="B2" s="465"/>
      <c r="C2" s="466"/>
      <c r="D2" s="464"/>
      <c r="E2" s="466"/>
      <c r="F2" s="467"/>
      <c r="G2" s="464"/>
      <c r="H2" s="466"/>
      <c r="I2" s="466"/>
    </row>
    <row r="3" spans="1:11" ht="42" customHeight="1">
      <c r="A3" s="7" t="s">
        <v>1078</v>
      </c>
      <c r="B3" s="49" t="s">
        <v>1079</v>
      </c>
      <c r="C3" s="49" t="s">
        <v>1082</v>
      </c>
      <c r="D3" s="469" t="s">
        <v>1088</v>
      </c>
      <c r="E3" s="193" t="s">
        <v>1084</v>
      </c>
      <c r="F3" s="193" t="s">
        <v>1085</v>
      </c>
      <c r="G3" s="193" t="s">
        <v>1086</v>
      </c>
      <c r="H3" s="193" t="s">
        <v>1087</v>
      </c>
      <c r="I3" s="193" t="s">
        <v>1083</v>
      </c>
      <c r="J3" s="169" t="s">
        <v>859</v>
      </c>
      <c r="K3" s="4" t="s">
        <v>554</v>
      </c>
    </row>
    <row r="4" spans="1:11" s="485" customFormat="1" ht="23.1" customHeight="1">
      <c r="A4" s="457" t="s">
        <v>25</v>
      </c>
      <c r="B4" s="458">
        <f t="shared" ref="B4:I4" si="0">SUM(B5:B9)</f>
        <v>540202.82999999996</v>
      </c>
      <c r="C4" s="458">
        <f t="shared" si="0"/>
        <v>690913.83</v>
      </c>
      <c r="D4" s="483">
        <f t="shared" si="0"/>
        <v>0</v>
      </c>
      <c r="E4" s="458">
        <f t="shared" si="0"/>
        <v>-60129</v>
      </c>
      <c r="F4" s="458">
        <f t="shared" si="0"/>
        <v>0</v>
      </c>
      <c r="G4" s="458">
        <f t="shared" si="0"/>
        <v>0</v>
      </c>
      <c r="H4" s="458">
        <f t="shared" si="0"/>
        <v>-88740</v>
      </c>
      <c r="I4" s="458">
        <f t="shared" si="0"/>
        <v>-1842</v>
      </c>
      <c r="J4" s="484">
        <f>B4-[20]直轄市104!B4</f>
        <v>22827.829999999958</v>
      </c>
      <c r="K4" s="226">
        <f>C4+D4</f>
        <v>690913.83</v>
      </c>
    </row>
    <row r="5" spans="1:11" ht="23.1" customHeight="1">
      <c r="A5" s="10" t="s">
        <v>1080</v>
      </c>
      <c r="B5" s="455">
        <f>SUM(C5:I5)</f>
        <v>436560.98</v>
      </c>
      <c r="C5" s="456">
        <f>'[21]直轄市105(法)'!C5</f>
        <v>436560.98</v>
      </c>
      <c r="D5" s="470"/>
      <c r="E5" s="456"/>
      <c r="F5" s="456"/>
      <c r="G5" s="456"/>
      <c r="H5" s="456"/>
      <c r="I5" s="456"/>
      <c r="J5" s="225">
        <f>B5-[20]直轄市104!B5</f>
        <v>21798.979999999981</v>
      </c>
      <c r="K5" s="225">
        <f t="shared" ref="K5:K20" si="1">C5+D5</f>
        <v>436560.98</v>
      </c>
    </row>
    <row r="6" spans="1:11" ht="23.1" customHeight="1">
      <c r="A6" s="9" t="s">
        <v>1081</v>
      </c>
      <c r="B6" s="455">
        <f>SUM(C6:I6)</f>
        <v>21957.458999999999</v>
      </c>
      <c r="C6" s="456">
        <f>'[21]直轄市105(法)'!C6</f>
        <v>21957.458999999999</v>
      </c>
      <c r="D6" s="470"/>
      <c r="E6" s="456"/>
      <c r="F6" s="456"/>
      <c r="G6" s="456"/>
      <c r="H6" s="456"/>
      <c r="I6" s="456"/>
      <c r="J6" s="225">
        <f>B6-[20]直轄市104!B6</f>
        <v>5053.4589999999989</v>
      </c>
      <c r="K6" s="225">
        <f t="shared" si="1"/>
        <v>21957.458999999999</v>
      </c>
    </row>
    <row r="7" spans="1:11" ht="23.1" customHeight="1">
      <c r="A7" s="10" t="s">
        <v>1044</v>
      </c>
      <c r="B7" s="455">
        <f>SUM(C7:I7)</f>
        <v>41606.436000000002</v>
      </c>
      <c r="C7" s="456">
        <f>'[21]直轄市105(法)'!C7</f>
        <v>41606.436000000002</v>
      </c>
      <c r="D7" s="470"/>
      <c r="E7" s="456"/>
      <c r="F7" s="456"/>
      <c r="G7" s="456"/>
      <c r="H7" s="456"/>
      <c r="I7" s="456"/>
      <c r="J7" s="225">
        <f>B7-[20]直轄市104!B7</f>
        <v>2236.4360000000015</v>
      </c>
      <c r="K7" s="225">
        <f t="shared" si="1"/>
        <v>41606.436000000002</v>
      </c>
    </row>
    <row r="8" spans="1:11" ht="23.1" customHeight="1">
      <c r="A8" s="10" t="s">
        <v>1045</v>
      </c>
      <c r="B8" s="455">
        <f>SUM(C8:I8)</f>
        <v>24566.148000000001</v>
      </c>
      <c r="C8" s="456">
        <f>'[21]直轄市105(法)'!C8</f>
        <v>24566.148000000001</v>
      </c>
      <c r="D8" s="470"/>
      <c r="E8" s="456"/>
      <c r="F8" s="456"/>
      <c r="G8" s="456"/>
      <c r="H8" s="456"/>
      <c r="I8" s="456"/>
      <c r="J8" s="225">
        <f>B8-[20]直轄市104!B8</f>
        <v>-9617.851999999999</v>
      </c>
      <c r="K8" s="225">
        <f t="shared" si="1"/>
        <v>24566.148000000001</v>
      </c>
    </row>
    <row r="9" spans="1:11" ht="23.1" customHeight="1">
      <c r="A9" s="9" t="s">
        <v>1046</v>
      </c>
      <c r="B9" s="455">
        <f>SUM(C9:I9)</f>
        <v>15511.807000000001</v>
      </c>
      <c r="C9" s="456">
        <f>'[21]直轄市105(法)'!C9</f>
        <v>166222.807</v>
      </c>
      <c r="D9" s="470"/>
      <c r="E9" s="456">
        <v>-60129</v>
      </c>
      <c r="F9" s="456"/>
      <c r="G9" s="456"/>
      <c r="H9" s="456">
        <v>-88740</v>
      </c>
      <c r="I9" s="456">
        <v>-1842</v>
      </c>
      <c r="J9" s="225">
        <f>B9-[20]直轄市104!B9</f>
        <v>3356.8070000000007</v>
      </c>
      <c r="K9" s="225">
        <f t="shared" si="1"/>
        <v>166222.807</v>
      </c>
    </row>
    <row r="10" spans="1:11" s="485" customFormat="1" ht="23.1" customHeight="1">
      <c r="A10" s="457" t="s">
        <v>19</v>
      </c>
      <c r="B10" s="458">
        <f>SUM(B11:B19)</f>
        <v>758543.48300000001</v>
      </c>
      <c r="C10" s="458">
        <f t="shared" ref="C10:I10" si="2">SUM(C11:C19)</f>
        <v>758543.48300000001</v>
      </c>
      <c r="D10" s="483">
        <f t="shared" si="2"/>
        <v>0</v>
      </c>
      <c r="E10" s="458">
        <f t="shared" si="2"/>
        <v>0</v>
      </c>
      <c r="F10" s="458">
        <f t="shared" si="2"/>
        <v>0</v>
      </c>
      <c r="G10" s="458">
        <f t="shared" si="2"/>
        <v>0</v>
      </c>
      <c r="H10" s="458">
        <f t="shared" si="2"/>
        <v>0</v>
      </c>
      <c r="I10" s="458">
        <f t="shared" si="2"/>
        <v>0</v>
      </c>
      <c r="J10" s="484"/>
      <c r="K10" s="226">
        <f t="shared" si="1"/>
        <v>758543.48300000001</v>
      </c>
    </row>
    <row r="11" spans="1:11" ht="23.1" customHeight="1">
      <c r="A11" s="11" t="s">
        <v>1047</v>
      </c>
      <c r="B11" s="455">
        <f t="shared" ref="B11:B19" si="3">SUM(C11:I11)</f>
        <v>136574.046</v>
      </c>
      <c r="C11" s="456">
        <f>'[21]直轄市105(法)'!C11</f>
        <v>136574.046</v>
      </c>
      <c r="D11" s="470"/>
      <c r="E11" s="456"/>
      <c r="F11" s="456"/>
      <c r="G11" s="456"/>
      <c r="H11" s="456"/>
      <c r="I11" s="456"/>
      <c r="J11" s="225">
        <f>B11-[20]直轄市104!B11</f>
        <v>24.046000000002095</v>
      </c>
      <c r="K11" s="225">
        <f t="shared" si="1"/>
        <v>136574.046</v>
      </c>
    </row>
    <row r="12" spans="1:11" ht="23.1" customHeight="1">
      <c r="A12" s="12" t="s">
        <v>1053</v>
      </c>
      <c r="B12" s="455">
        <f t="shared" si="3"/>
        <v>0</v>
      </c>
      <c r="C12" s="456">
        <f>'[21]直轄市105(法)'!C12</f>
        <v>0</v>
      </c>
      <c r="D12" s="470"/>
      <c r="E12" s="456"/>
      <c r="F12" s="456"/>
      <c r="G12" s="456"/>
      <c r="H12" s="456"/>
      <c r="I12" s="456"/>
      <c r="J12" s="225">
        <f>B12-[20]直轄市104!B12</f>
        <v>0</v>
      </c>
      <c r="K12" s="225">
        <f t="shared" si="1"/>
        <v>0</v>
      </c>
    </row>
    <row r="13" spans="1:11" ht="23.1" customHeight="1">
      <c r="A13" s="12" t="s">
        <v>1054</v>
      </c>
      <c r="B13" s="455">
        <f t="shared" si="3"/>
        <v>273310.66200000001</v>
      </c>
      <c r="C13" s="456">
        <f>'[21]直轄市105(法)'!C13</f>
        <v>273310.66200000001</v>
      </c>
      <c r="D13" s="470"/>
      <c r="E13" s="456"/>
      <c r="F13" s="456"/>
      <c r="G13" s="456"/>
      <c r="H13" s="456"/>
      <c r="I13" s="456"/>
      <c r="J13" s="225">
        <f>B13-[20]直轄市104!B13</f>
        <v>20314.662000000011</v>
      </c>
      <c r="K13" s="225">
        <f t="shared" si="1"/>
        <v>273310.66200000001</v>
      </c>
    </row>
    <row r="14" spans="1:11" ht="23.1" customHeight="1">
      <c r="A14" s="12" t="s">
        <v>1055</v>
      </c>
      <c r="B14" s="455">
        <f t="shared" si="3"/>
        <v>140011.802</v>
      </c>
      <c r="C14" s="456">
        <f>'[21]直轄市105(法)'!C14</f>
        <v>140011.802</v>
      </c>
      <c r="D14" s="470"/>
      <c r="E14" s="456"/>
      <c r="F14" s="456"/>
      <c r="G14" s="456"/>
      <c r="H14" s="456"/>
      <c r="I14" s="456"/>
      <c r="J14" s="225">
        <f>B14-[20]直轄市104!B14</f>
        <v>15533.801999999996</v>
      </c>
      <c r="K14" s="225">
        <f t="shared" si="1"/>
        <v>140011.802</v>
      </c>
    </row>
    <row r="15" spans="1:11" ht="23.1" customHeight="1">
      <c r="A15" s="12" t="s">
        <v>1056</v>
      </c>
      <c r="B15" s="455">
        <f t="shared" si="3"/>
        <v>107863.588</v>
      </c>
      <c r="C15" s="456">
        <f>'[21]直轄市105(法)'!C15</f>
        <v>107863.588</v>
      </c>
      <c r="D15" s="470"/>
      <c r="E15" s="456"/>
      <c r="F15" s="456"/>
      <c r="G15" s="456"/>
      <c r="H15" s="456"/>
      <c r="I15" s="456"/>
      <c r="J15" s="225">
        <f>B15-[20]直轄市104!B15</f>
        <v>-2006.4119999999966</v>
      </c>
      <c r="K15" s="225">
        <f t="shared" si="1"/>
        <v>107863.588</v>
      </c>
    </row>
    <row r="16" spans="1:11" ht="23.1" customHeight="1">
      <c r="A16" s="12" t="s">
        <v>1057</v>
      </c>
      <c r="B16" s="455">
        <f t="shared" si="3"/>
        <v>56027.298000000003</v>
      </c>
      <c r="C16" s="456">
        <f>'[21]直轄市105(法)'!C16</f>
        <v>56027.298000000003</v>
      </c>
      <c r="D16" s="470"/>
      <c r="E16" s="456"/>
      <c r="F16" s="456"/>
      <c r="G16" s="456"/>
      <c r="H16" s="456"/>
      <c r="I16" s="456"/>
      <c r="J16" s="225">
        <f>B16-[20]直轄市104!B16</f>
        <v>5134.2980000000025</v>
      </c>
      <c r="K16" s="225">
        <f t="shared" si="1"/>
        <v>56027.298000000003</v>
      </c>
    </row>
    <row r="17" spans="1:11" ht="23.1" customHeight="1">
      <c r="A17" s="12" t="s">
        <v>1058</v>
      </c>
      <c r="B17" s="455">
        <f t="shared" si="3"/>
        <v>22556.816999999999</v>
      </c>
      <c r="C17" s="456">
        <f>'[21]直轄市105(法)'!C17</f>
        <v>22556.816999999999</v>
      </c>
      <c r="D17" s="470"/>
      <c r="E17" s="456"/>
      <c r="F17" s="456"/>
      <c r="G17" s="456"/>
      <c r="H17" s="456"/>
      <c r="I17" s="456"/>
      <c r="J17" s="225">
        <f>B17-[20]直轄市104!B17</f>
        <v>-21240.183000000001</v>
      </c>
      <c r="K17" s="225">
        <f t="shared" si="1"/>
        <v>22556.816999999999</v>
      </c>
    </row>
    <row r="18" spans="1:11" ht="23.1" customHeight="1">
      <c r="A18" s="12" t="s">
        <v>1059</v>
      </c>
      <c r="B18" s="455">
        <f t="shared" si="3"/>
        <v>7680</v>
      </c>
      <c r="C18" s="456">
        <f>'[21]直轄市105(法)'!C18</f>
        <v>7680</v>
      </c>
      <c r="D18" s="470"/>
      <c r="E18" s="456"/>
      <c r="F18" s="456"/>
      <c r="G18" s="456"/>
      <c r="H18" s="456"/>
      <c r="I18" s="456"/>
      <c r="J18" s="225">
        <f>B18-[20]直轄市104!B18</f>
        <v>127</v>
      </c>
      <c r="K18" s="225">
        <f t="shared" si="1"/>
        <v>7680</v>
      </c>
    </row>
    <row r="19" spans="1:11" ht="23.1" customHeight="1">
      <c r="A19" s="12" t="s">
        <v>1060</v>
      </c>
      <c r="B19" s="455">
        <f t="shared" si="3"/>
        <v>14519.27</v>
      </c>
      <c r="C19" s="456">
        <f>'[21]直轄市105(法)'!C19</f>
        <v>14519.27</v>
      </c>
      <c r="D19" s="471"/>
      <c r="E19" s="456"/>
      <c r="F19" s="456"/>
      <c r="G19" s="456"/>
      <c r="H19" s="456"/>
      <c r="I19" s="456"/>
      <c r="J19" s="225">
        <f>B19-[20]直轄市104!B19</f>
        <v>-287.72999999999956</v>
      </c>
      <c r="K19" s="225">
        <f t="shared" si="1"/>
        <v>14519.27</v>
      </c>
    </row>
    <row r="20" spans="1:11" s="485" customFormat="1" ht="23.1" customHeight="1">
      <c r="A20" s="460" t="s">
        <v>17</v>
      </c>
      <c r="B20" s="458">
        <f>B4-B10</f>
        <v>-218340.65300000005</v>
      </c>
      <c r="C20" s="458">
        <f t="shared" ref="C20:I20" si="4">C4-C10</f>
        <v>-67629.653000000049</v>
      </c>
      <c r="D20" s="483">
        <f t="shared" si="4"/>
        <v>0</v>
      </c>
      <c r="E20" s="458">
        <f t="shared" si="4"/>
        <v>-60129</v>
      </c>
      <c r="F20" s="458">
        <f t="shared" si="4"/>
        <v>0</v>
      </c>
      <c r="G20" s="458">
        <f t="shared" si="4"/>
        <v>0</v>
      </c>
      <c r="H20" s="458">
        <f t="shared" si="4"/>
        <v>-88740</v>
      </c>
      <c r="I20" s="458">
        <f t="shared" si="4"/>
        <v>-1842</v>
      </c>
      <c r="J20" s="484">
        <f>B20-[20]直轄市104!B20</f>
        <v>5228.3469999999506</v>
      </c>
      <c r="K20" s="484">
        <f t="shared" si="1"/>
        <v>-67629.653000000049</v>
      </c>
    </row>
    <row r="21" spans="1:11" ht="39.950000000000003" customHeight="1">
      <c r="B21" s="493" t="s">
        <v>1167</v>
      </c>
      <c r="C21" s="493" t="s">
        <v>1167</v>
      </c>
      <c r="D21" s="493" t="s">
        <v>1167</v>
      </c>
      <c r="E21" s="493" t="s">
        <v>1167</v>
      </c>
      <c r="F21" s="493" t="s">
        <v>1167</v>
      </c>
      <c r="G21" s="493" t="s">
        <v>1167</v>
      </c>
      <c r="H21" s="493" t="s">
        <v>1167</v>
      </c>
      <c r="I21" s="493" t="s">
        <v>1167</v>
      </c>
    </row>
    <row r="22" spans="1:11" ht="23.1" customHeight="1">
      <c r="C22" s="4">
        <f>C20/C10*100</f>
        <v>-8.9157252702941019</v>
      </c>
      <c r="D22" s="339"/>
      <c r="I22" s="4"/>
    </row>
    <row r="23" spans="1:11" ht="23.1" customHeight="1">
      <c r="C23" s="5" t="s">
        <v>1168</v>
      </c>
    </row>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sheetData>
  <mergeCells count="1">
    <mergeCell ref="A1:F1"/>
  </mergeCells>
  <phoneticPr fontId="5" type="noConversion"/>
  <printOptions horizontalCentered="1"/>
  <pageMargins left="0.39370078740157483" right="0.39370078740157483" top="0.39370078740157483" bottom="0.39370078740157483" header="0.43307086614173229" footer="0.19685039370078741"/>
  <pageSetup paperSize="9" scale="97" orientation="landscape" blackAndWhite="1"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indexed="19"/>
    <pageSetUpPr fitToPage="1"/>
  </sheetPr>
  <dimension ref="A1:L51"/>
  <sheetViews>
    <sheetView view="pageBreakPreview" zoomScale="75" zoomScaleNormal="85" zoomScaleSheetLayoutView="75" workbookViewId="0">
      <selection activeCell="I132" sqref="I132"/>
    </sheetView>
  </sheetViews>
  <sheetFormatPr defaultColWidth="9.75" defaultRowHeight="32.1" customHeight="1"/>
  <cols>
    <col min="1" max="1" width="30.375" style="4" customWidth="1"/>
    <col min="2" max="2" width="14.5" style="4" customWidth="1"/>
    <col min="3" max="3" width="13.75" style="5" customWidth="1"/>
    <col min="4" max="4" width="12.25" style="5" customWidth="1"/>
    <col min="5" max="5" width="11.125" style="45" customWidth="1"/>
    <col min="6" max="6" width="10.5" style="44" customWidth="1"/>
    <col min="7" max="7" width="14.5" style="44" customWidth="1"/>
    <col min="8" max="8" width="10.625" style="44" customWidth="1"/>
    <col min="9" max="9" width="19.125" style="44" customWidth="1"/>
    <col min="10" max="10" width="11.5" style="4" customWidth="1"/>
    <col min="11" max="11" width="11.375" style="4" bestFit="1" customWidth="1"/>
    <col min="12" max="16384" width="9.75" style="4"/>
  </cols>
  <sheetData>
    <row r="1" spans="1:12" ht="32.1" customHeight="1">
      <c r="A1" s="1052" t="s">
        <v>1162</v>
      </c>
      <c r="B1" s="1052"/>
      <c r="C1" s="1052"/>
      <c r="D1" s="1052"/>
      <c r="E1" s="1052"/>
      <c r="F1" s="1052"/>
      <c r="I1" s="454" t="s">
        <v>14</v>
      </c>
      <c r="J1" s="462" t="s">
        <v>1077</v>
      </c>
    </row>
    <row r="2" spans="1:12" ht="9" customHeight="1">
      <c r="C2" s="210"/>
      <c r="D2" s="6"/>
      <c r="E2" s="218"/>
      <c r="F2" s="210"/>
      <c r="G2" s="172"/>
      <c r="I2" s="210"/>
    </row>
    <row r="3" spans="1:12" ht="44.1" customHeight="1">
      <c r="A3" s="7" t="s">
        <v>12</v>
      </c>
      <c r="B3" s="49" t="s">
        <v>21</v>
      </c>
      <c r="C3" s="49" t="s">
        <v>1082</v>
      </c>
      <c r="D3" s="469" t="s">
        <v>1088</v>
      </c>
      <c r="E3" s="193" t="s">
        <v>1084</v>
      </c>
      <c r="F3" s="193" t="s">
        <v>1085</v>
      </c>
      <c r="G3" s="193" t="s">
        <v>1086</v>
      </c>
      <c r="H3" s="193" t="s">
        <v>1087</v>
      </c>
      <c r="I3" s="193" t="s">
        <v>1083</v>
      </c>
      <c r="J3" s="222" t="s">
        <v>859</v>
      </c>
      <c r="K3" s="222" t="s">
        <v>554</v>
      </c>
    </row>
    <row r="4" spans="1:12" s="485" customFormat="1" ht="23.1" customHeight="1">
      <c r="A4" s="457" t="s">
        <v>25</v>
      </c>
      <c r="B4" s="458">
        <f>SUM(B5:B9)</f>
        <v>218350.34899999999</v>
      </c>
      <c r="C4" s="458">
        <f>SUM(C5:C9)+1</f>
        <v>373108.34899999999</v>
      </c>
      <c r="D4" s="458">
        <f t="shared" ref="D4:I4" si="0">SUM(D5:D9)</f>
        <v>0</v>
      </c>
      <c r="E4" s="458">
        <f t="shared" si="0"/>
        <v>-102132</v>
      </c>
      <c r="F4" s="458">
        <f t="shared" si="0"/>
        <v>0</v>
      </c>
      <c r="G4" s="458">
        <f t="shared" si="0"/>
        <v>0</v>
      </c>
      <c r="H4" s="458">
        <f t="shared" si="0"/>
        <v>-49957</v>
      </c>
      <c r="I4" s="458">
        <f t="shared" si="0"/>
        <v>-2668</v>
      </c>
      <c r="J4" s="472">
        <f>B4-[20]縣市104!B4</f>
        <v>10228.348999999987</v>
      </c>
      <c r="K4" s="472">
        <f t="shared" ref="K4:K20" si="1">C4+D4</f>
        <v>373108.34899999999</v>
      </c>
    </row>
    <row r="5" spans="1:12" ht="23.1" customHeight="1">
      <c r="A5" s="10" t="s">
        <v>26</v>
      </c>
      <c r="B5" s="455">
        <f>SUM(C5:I5)</f>
        <v>162108.49100000001</v>
      </c>
      <c r="C5" s="456">
        <f>'[21]縣市105(法)'!C5</f>
        <v>162108.49100000001</v>
      </c>
      <c r="D5" s="470"/>
      <c r="E5" s="456"/>
      <c r="F5" s="456"/>
      <c r="G5" s="456"/>
      <c r="H5" s="456"/>
      <c r="I5" s="456"/>
      <c r="J5" s="222">
        <f>B5-[20]縣市104!B5</f>
        <v>10616.491000000009</v>
      </c>
      <c r="K5" s="222">
        <f t="shared" si="1"/>
        <v>162108.49100000001</v>
      </c>
      <c r="L5" s="228"/>
    </row>
    <row r="6" spans="1:12" ht="23.1" customHeight="1">
      <c r="A6" s="9" t="s">
        <v>27</v>
      </c>
      <c r="B6" s="455">
        <f>SUM(C6:I6)</f>
        <v>6529.652</v>
      </c>
      <c r="C6" s="456">
        <f>'[21]縣市105(法)'!C6</f>
        <v>6529.652</v>
      </c>
      <c r="D6" s="470"/>
      <c r="E6" s="456"/>
      <c r="F6" s="456"/>
      <c r="G6" s="456"/>
      <c r="H6" s="456"/>
      <c r="I6" s="456"/>
      <c r="J6" s="222">
        <f>B6-[20]縣市104!B6</f>
        <v>-3007.348</v>
      </c>
      <c r="K6" s="222">
        <f t="shared" si="1"/>
        <v>6529.652</v>
      </c>
    </row>
    <row r="7" spans="1:12" ht="23.1" customHeight="1">
      <c r="A7" s="10" t="s">
        <v>1044</v>
      </c>
      <c r="B7" s="455">
        <f>SUM(C7:I7)</f>
        <v>10713.799000000001</v>
      </c>
      <c r="C7" s="456">
        <f>'[21]縣市105(法)'!C7</f>
        <v>10713.799000000001</v>
      </c>
      <c r="D7" s="470"/>
      <c r="E7" s="456"/>
      <c r="F7" s="456"/>
      <c r="G7" s="456"/>
      <c r="H7" s="456"/>
      <c r="I7" s="456"/>
      <c r="J7" s="222">
        <f>B7-[20]縣市104!B7</f>
        <v>-937.20099999999911</v>
      </c>
      <c r="K7" s="222">
        <f t="shared" si="1"/>
        <v>10713.799000000001</v>
      </c>
    </row>
    <row r="8" spans="1:12" ht="23.1" customHeight="1">
      <c r="A8" s="10" t="s">
        <v>1045</v>
      </c>
      <c r="B8" s="455">
        <f>SUM(C8:I8)</f>
        <v>9666.7430000000004</v>
      </c>
      <c r="C8" s="456">
        <f>'[21]縣市105(法)'!C8</f>
        <v>9666.7430000000004</v>
      </c>
      <c r="D8" s="470"/>
      <c r="E8" s="456"/>
      <c r="F8" s="456"/>
      <c r="G8" s="456"/>
      <c r="H8" s="456"/>
      <c r="I8" s="456"/>
      <c r="J8" s="222">
        <f>B8-[20]縣市104!B8</f>
        <v>822.74300000000039</v>
      </c>
      <c r="K8" s="222">
        <f t="shared" si="1"/>
        <v>9666.7430000000004</v>
      </c>
    </row>
    <row r="9" spans="1:12" ht="23.1" customHeight="1">
      <c r="A9" s="9" t="s">
        <v>1046</v>
      </c>
      <c r="B9" s="455">
        <f>SUM(C9:I9)</f>
        <v>29331.66399999999</v>
      </c>
      <c r="C9" s="456">
        <f>'[21]縣市105(法)'!C9</f>
        <v>184088.66399999999</v>
      </c>
      <c r="D9" s="470"/>
      <c r="E9" s="456">
        <v>-102132</v>
      </c>
      <c r="F9" s="456"/>
      <c r="G9" s="456"/>
      <c r="H9" s="456">
        <v>-49957</v>
      </c>
      <c r="I9" s="456">
        <v>-2668</v>
      </c>
      <c r="J9" s="222">
        <f>B9-[20]縣市104!B9</f>
        <v>2733.6639999999898</v>
      </c>
      <c r="K9" s="222">
        <f t="shared" si="1"/>
        <v>184088.66399999999</v>
      </c>
    </row>
    <row r="10" spans="1:12" s="485" customFormat="1" ht="23.1" customHeight="1">
      <c r="A10" s="457" t="s">
        <v>1126</v>
      </c>
      <c r="B10" s="458">
        <f>SUM(B11:B19)</f>
        <v>380273.15299999999</v>
      </c>
      <c r="C10" s="458">
        <f t="shared" ref="C10:I10" si="2">SUM(C11:C19)</f>
        <v>386073.15299999993</v>
      </c>
      <c r="D10" s="458">
        <f t="shared" si="2"/>
        <v>-5800</v>
      </c>
      <c r="E10" s="458">
        <f t="shared" si="2"/>
        <v>0</v>
      </c>
      <c r="F10" s="458">
        <f t="shared" si="2"/>
        <v>0</v>
      </c>
      <c r="G10" s="458">
        <f t="shared" si="2"/>
        <v>0</v>
      </c>
      <c r="H10" s="458">
        <f t="shared" si="2"/>
        <v>0</v>
      </c>
      <c r="I10" s="458">
        <f t="shared" si="2"/>
        <v>0</v>
      </c>
      <c r="J10" s="472"/>
      <c r="K10" s="472">
        <f t="shared" si="1"/>
        <v>380273.15299999993</v>
      </c>
    </row>
    <row r="11" spans="1:12" ht="23.1" customHeight="1">
      <c r="A11" s="11" t="s">
        <v>1047</v>
      </c>
      <c r="B11" s="455">
        <f t="shared" ref="B11:B19" si="3">SUM(C11:I11)</f>
        <v>83391.289999999994</v>
      </c>
      <c r="C11" s="456">
        <f>'[21]縣市105(法)'!C11</f>
        <v>83391.289999999994</v>
      </c>
      <c r="D11" s="470"/>
      <c r="E11" s="456"/>
      <c r="F11" s="456"/>
      <c r="G11" s="456"/>
      <c r="H11" s="456"/>
      <c r="I11" s="451"/>
      <c r="J11" s="222">
        <f>B11-[20]縣市104!B11</f>
        <v>-3002.7100000000064</v>
      </c>
      <c r="K11" s="222">
        <f t="shared" si="1"/>
        <v>83391.289999999994</v>
      </c>
      <c r="L11" s="228"/>
    </row>
    <row r="12" spans="1:12" ht="23.1" customHeight="1">
      <c r="A12" s="12" t="s">
        <v>1053</v>
      </c>
      <c r="B12" s="455">
        <f t="shared" si="3"/>
        <v>0</v>
      </c>
      <c r="C12" s="456">
        <f>'[21]縣市105(法)'!C12</f>
        <v>0</v>
      </c>
      <c r="D12" s="470"/>
      <c r="E12" s="456"/>
      <c r="F12" s="456"/>
      <c r="G12" s="456"/>
      <c r="H12" s="456"/>
      <c r="I12" s="451"/>
      <c r="J12" s="222">
        <f>B12-[20]縣市104!B12</f>
        <v>0</v>
      </c>
      <c r="K12" s="222">
        <f t="shared" si="1"/>
        <v>0</v>
      </c>
    </row>
    <row r="13" spans="1:12" ht="23.1" customHeight="1">
      <c r="A13" s="12" t="s">
        <v>1054</v>
      </c>
      <c r="B13" s="455">
        <f t="shared" si="3"/>
        <v>110590.105</v>
      </c>
      <c r="C13" s="456">
        <f>'[21]縣市105(法)'!C13</f>
        <v>110590.105</v>
      </c>
      <c r="D13" s="470"/>
      <c r="E13" s="456"/>
      <c r="F13" s="456"/>
      <c r="G13" s="456"/>
      <c r="H13" s="456"/>
      <c r="I13" s="451"/>
      <c r="J13" s="222">
        <f>B13-[20]縣市104!B13</f>
        <v>1595.1049999999959</v>
      </c>
      <c r="K13" s="222">
        <f t="shared" si="1"/>
        <v>110590.105</v>
      </c>
    </row>
    <row r="14" spans="1:12" ht="23.1" customHeight="1">
      <c r="A14" s="12" t="s">
        <v>1055</v>
      </c>
      <c r="B14" s="455">
        <f t="shared" si="3"/>
        <v>64858.635999999999</v>
      </c>
      <c r="C14" s="456">
        <f>'[21]縣市105(法)'!C14</f>
        <v>70658.635999999999</v>
      </c>
      <c r="D14" s="470">
        <v>-5800</v>
      </c>
      <c r="E14" s="456"/>
      <c r="F14" s="456"/>
      <c r="G14" s="456"/>
      <c r="H14" s="456"/>
      <c r="I14" s="451"/>
      <c r="J14" s="222">
        <f>B14-[20]縣市104!B14</f>
        <v>-383.3640000000014</v>
      </c>
      <c r="K14" s="222">
        <f t="shared" si="1"/>
        <v>64858.635999999999</v>
      </c>
    </row>
    <row r="15" spans="1:12" ht="23.1" customHeight="1">
      <c r="A15" s="12" t="s">
        <v>1056</v>
      </c>
      <c r="B15" s="455">
        <f t="shared" si="3"/>
        <v>46060.631999999998</v>
      </c>
      <c r="C15" s="456">
        <f>'[21]縣市105(法)'!C15</f>
        <v>46060.631999999998</v>
      </c>
      <c r="D15" s="470"/>
      <c r="E15" s="456"/>
      <c r="F15" s="456"/>
      <c r="G15" s="456"/>
      <c r="H15" s="456"/>
      <c r="I15" s="451"/>
      <c r="J15" s="222">
        <f>B15-[20]縣市104!B15</f>
        <v>357.63199999999779</v>
      </c>
      <c r="K15" s="222">
        <f t="shared" si="1"/>
        <v>46060.631999999998</v>
      </c>
    </row>
    <row r="16" spans="1:12" ht="23.1" customHeight="1">
      <c r="A16" s="12" t="s">
        <v>1057</v>
      </c>
      <c r="B16" s="455">
        <f t="shared" si="3"/>
        <v>18505.991000000002</v>
      </c>
      <c r="C16" s="456">
        <f>'[21]縣市105(法)'!C16</f>
        <v>18505.991000000002</v>
      </c>
      <c r="D16" s="470"/>
      <c r="E16" s="456"/>
      <c r="F16" s="456"/>
      <c r="G16" s="456"/>
      <c r="H16" s="456"/>
      <c r="I16" s="451"/>
      <c r="J16" s="222">
        <f>B16-[20]縣市104!B16</f>
        <v>1090.9910000000018</v>
      </c>
      <c r="K16" s="222">
        <f t="shared" si="1"/>
        <v>18505.991000000002</v>
      </c>
    </row>
    <row r="17" spans="1:11" ht="23.1" customHeight="1">
      <c r="A17" s="12" t="s">
        <v>1058</v>
      </c>
      <c r="B17" s="455">
        <f t="shared" si="3"/>
        <v>41689.485000000001</v>
      </c>
      <c r="C17" s="456">
        <f>'[21]縣市105(法)'!C17</f>
        <v>41689.485000000001</v>
      </c>
      <c r="D17" s="470"/>
      <c r="E17" s="456"/>
      <c r="F17" s="456"/>
      <c r="G17" s="456"/>
      <c r="H17" s="456"/>
      <c r="I17" s="451"/>
      <c r="J17" s="222">
        <f>B17-[20]縣市104!B17</f>
        <v>77.485000000000582</v>
      </c>
      <c r="K17" s="222">
        <f t="shared" si="1"/>
        <v>41689.485000000001</v>
      </c>
    </row>
    <row r="18" spans="1:11" ht="23.1" customHeight="1">
      <c r="A18" s="12" t="s">
        <v>1059</v>
      </c>
      <c r="B18" s="455">
        <f t="shared" si="3"/>
        <v>4121.7659999999996</v>
      </c>
      <c r="C18" s="456">
        <f>'[21]縣市105(法)'!C18</f>
        <v>4121.7659999999996</v>
      </c>
      <c r="D18" s="470"/>
      <c r="E18" s="456"/>
      <c r="F18" s="456"/>
      <c r="G18" s="456"/>
      <c r="H18" s="456"/>
      <c r="I18" s="451"/>
      <c r="J18" s="222">
        <f>B18-[20]縣市104!B18</f>
        <v>-450.23400000000038</v>
      </c>
      <c r="K18" s="222">
        <f t="shared" si="1"/>
        <v>4121.7659999999996</v>
      </c>
    </row>
    <row r="19" spans="1:11" ht="23.1" customHeight="1">
      <c r="A19" s="12" t="s">
        <v>1060</v>
      </c>
      <c r="B19" s="455">
        <f t="shared" si="3"/>
        <v>11055.248</v>
      </c>
      <c r="C19" s="456">
        <f>'[21]縣市105(法)'!C19</f>
        <v>11055.248</v>
      </c>
      <c r="D19" s="471"/>
      <c r="E19" s="456"/>
      <c r="F19" s="456"/>
      <c r="G19" s="456"/>
      <c r="H19" s="456"/>
      <c r="I19" s="451"/>
      <c r="J19" s="222">
        <f>B19-[20]縣市104!B19</f>
        <v>180.24799999999959</v>
      </c>
      <c r="K19" s="222">
        <f t="shared" si="1"/>
        <v>11055.248</v>
      </c>
    </row>
    <row r="20" spans="1:11" s="485" customFormat="1" ht="23.1" customHeight="1">
      <c r="A20" s="460" t="s">
        <v>17</v>
      </c>
      <c r="B20" s="458">
        <f>B4-B10</f>
        <v>-161922.804</v>
      </c>
      <c r="C20" s="458">
        <f t="shared" ref="C20:I20" si="4">C4-C10</f>
        <v>-12964.803999999946</v>
      </c>
      <c r="D20" s="458">
        <f t="shared" si="4"/>
        <v>5800</v>
      </c>
      <c r="E20" s="458">
        <f t="shared" si="4"/>
        <v>-102132</v>
      </c>
      <c r="F20" s="458">
        <f t="shared" si="4"/>
        <v>0</v>
      </c>
      <c r="G20" s="458">
        <f t="shared" si="4"/>
        <v>0</v>
      </c>
      <c r="H20" s="458">
        <f t="shared" si="4"/>
        <v>-49957</v>
      </c>
      <c r="I20" s="458">
        <f t="shared" si="4"/>
        <v>-2668</v>
      </c>
      <c r="J20" s="472"/>
      <c r="K20" s="472">
        <f t="shared" si="1"/>
        <v>-7164.8039999999455</v>
      </c>
    </row>
    <row r="21" spans="1:11" ht="35.450000000000003" customHeight="1">
      <c r="B21" s="493" t="s">
        <v>1167</v>
      </c>
      <c r="C21" s="493" t="s">
        <v>1167</v>
      </c>
      <c r="E21" s="494"/>
      <c r="F21" s="494"/>
      <c r="G21" s="494"/>
      <c r="H21" s="494"/>
      <c r="I21" s="494"/>
    </row>
    <row r="22" spans="1:11" ht="23.1" customHeight="1">
      <c r="C22" s="4">
        <f>C20/C10*100</f>
        <v>-3.3581210968067361</v>
      </c>
    </row>
    <row r="23" spans="1:11" ht="23.1" customHeight="1">
      <c r="C23" s="5" t="s">
        <v>1168</v>
      </c>
    </row>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sheetData>
  <mergeCells count="1">
    <mergeCell ref="A1:F1"/>
  </mergeCells>
  <phoneticPr fontId="5" type="noConversion"/>
  <printOptions horizontalCentered="1"/>
  <pageMargins left="0.39370078740157483" right="0.39370078740157483" top="0.39370078740157483" bottom="0.39370078740157483" header="0.43307086614173229" footer="0.19685039370078741"/>
  <pageSetup paperSize="9" orientation="landscape" blackAndWhite="1"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indexed="22"/>
    <pageSetUpPr fitToPage="1"/>
  </sheetPr>
  <dimension ref="A1:K57"/>
  <sheetViews>
    <sheetView zoomScale="75" zoomScaleNormal="100"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0.375" style="4" customWidth="1"/>
    <col min="2" max="2" width="12.25" style="4" customWidth="1"/>
    <col min="3" max="3" width="11.25" style="45" customWidth="1"/>
    <col min="4" max="4" width="8.75" style="44" customWidth="1"/>
    <col min="5" max="5" width="10.25" style="44" customWidth="1"/>
    <col min="6" max="6" width="11.375" style="44" customWidth="1"/>
    <col min="7" max="7" width="9.375" style="44" customWidth="1"/>
    <col min="8" max="8" width="11.75" style="44" customWidth="1"/>
    <col min="9" max="9" width="9.125" style="44" customWidth="1"/>
    <col min="10" max="10" width="12" style="4" customWidth="1"/>
    <col min="11" max="16384" width="9.75" style="4"/>
  </cols>
  <sheetData>
    <row r="1" spans="1:11" ht="32.1" customHeight="1">
      <c r="A1" s="1" t="s">
        <v>772</v>
      </c>
      <c r="B1" s="1"/>
      <c r="C1" s="43"/>
      <c r="E1" s="441">
        <v>42373</v>
      </c>
      <c r="G1" s="441">
        <v>42373</v>
      </c>
      <c r="I1" s="52" t="s">
        <v>14</v>
      </c>
    </row>
    <row r="2" spans="1:11" ht="49.5">
      <c r="C2" s="217" t="s">
        <v>771</v>
      </c>
      <c r="D2" s="217" t="s">
        <v>1043</v>
      </c>
      <c r="E2" s="211" t="s">
        <v>53</v>
      </c>
      <c r="G2" s="217" t="s">
        <v>553</v>
      </c>
      <c r="H2" s="44" t="s">
        <v>77</v>
      </c>
      <c r="I2" s="211" t="s">
        <v>53</v>
      </c>
    </row>
    <row r="3" spans="1:11" ht="66">
      <c r="A3" s="7" t="s">
        <v>12</v>
      </c>
      <c r="B3" s="13" t="s">
        <v>21</v>
      </c>
      <c r="C3" s="165" t="s">
        <v>13</v>
      </c>
      <c r="D3" s="168" t="s">
        <v>524</v>
      </c>
      <c r="E3" s="168" t="s">
        <v>74</v>
      </c>
      <c r="F3" s="166" t="s">
        <v>857</v>
      </c>
      <c r="G3" s="168" t="s">
        <v>75</v>
      </c>
      <c r="H3" s="168" t="s">
        <v>82</v>
      </c>
      <c r="I3" s="168" t="s">
        <v>525</v>
      </c>
    </row>
    <row r="4" spans="1:11" ht="22.9" customHeight="1">
      <c r="A4" s="8" t="s">
        <v>25</v>
      </c>
      <c r="B4" s="171">
        <f>SUM(B5:B9)</f>
        <v>1826532</v>
      </c>
      <c r="C4" s="442">
        <f>SUM(C5:C9)</f>
        <v>1822403</v>
      </c>
      <c r="D4" s="442">
        <f>SUM(D5:D9)</f>
        <v>4129</v>
      </c>
      <c r="E4" s="171">
        <f>SUM(E5:E9)</f>
        <v>0</v>
      </c>
      <c r="F4" s="171"/>
      <c r="G4" s="171">
        <f>SUM(G5:G9)</f>
        <v>0</v>
      </c>
      <c r="H4" s="171">
        <f>SUM(H5:H9)</f>
        <v>0</v>
      </c>
      <c r="I4" s="171">
        <f>SUM(I5:I9)</f>
        <v>0</v>
      </c>
      <c r="K4" s="4" t="s">
        <v>1041</v>
      </c>
    </row>
    <row r="5" spans="1:11" ht="22.9" customHeight="1">
      <c r="A5" s="10" t="s">
        <v>26</v>
      </c>
      <c r="B5" s="171">
        <f>SUM(C5:I5)</f>
        <v>1444138</v>
      </c>
      <c r="C5" s="337">
        <v>1440009</v>
      </c>
      <c r="D5" s="120">
        <v>4129</v>
      </c>
      <c r="E5" s="288"/>
      <c r="F5" s="288"/>
      <c r="G5" s="288"/>
      <c r="H5" s="288"/>
      <c r="I5" s="288"/>
      <c r="K5" s="47">
        <f>C5-[20]中央105!C5</f>
        <v>0</v>
      </c>
    </row>
    <row r="6" spans="1:11" ht="22.9" customHeight="1">
      <c r="A6" s="9" t="s">
        <v>27</v>
      </c>
      <c r="B6" s="171">
        <f>SUM(C6:I6)</f>
        <v>238270</v>
      </c>
      <c r="C6" s="337">
        <v>238270</v>
      </c>
      <c r="D6" s="288"/>
      <c r="E6" s="288"/>
      <c r="F6" s="288"/>
      <c r="G6" s="288"/>
      <c r="H6" s="288"/>
      <c r="I6" s="288"/>
      <c r="K6" s="47">
        <f>C6-[20]中央105!C6</f>
        <v>0</v>
      </c>
    </row>
    <row r="7" spans="1:11" ht="22.9" customHeight="1">
      <c r="A7" s="10" t="s">
        <v>15</v>
      </c>
      <c r="B7" s="171">
        <f>SUM(C7:I7)</f>
        <v>79066</v>
      </c>
      <c r="C7" s="337">
        <v>79066</v>
      </c>
      <c r="D7" s="288"/>
      <c r="E7" s="288"/>
      <c r="F7" s="288"/>
      <c r="G7" s="288"/>
      <c r="H7" s="288"/>
      <c r="I7" s="288"/>
      <c r="K7" s="47">
        <f>C7-[20]中央105!C7</f>
        <v>525</v>
      </c>
    </row>
    <row r="8" spans="1:11" ht="22.9" customHeight="1">
      <c r="A8" s="10" t="s">
        <v>18</v>
      </c>
      <c r="B8" s="171">
        <f>SUM(C8:I8)</f>
        <v>51881</v>
      </c>
      <c r="C8" s="337">
        <v>51881</v>
      </c>
      <c r="D8" s="288"/>
      <c r="E8" s="288"/>
      <c r="F8" s="288"/>
      <c r="G8" s="288"/>
      <c r="H8" s="288"/>
      <c r="I8" s="288"/>
      <c r="K8" s="47">
        <f>C8-[20]中央105!C8</f>
        <v>-22754</v>
      </c>
    </row>
    <row r="9" spans="1:11" ht="22.9" customHeight="1">
      <c r="A9" s="9" t="s">
        <v>16</v>
      </c>
      <c r="B9" s="171">
        <f>SUM(C9:I9)</f>
        <v>13177</v>
      </c>
      <c r="C9" s="337">
        <v>13177</v>
      </c>
      <c r="D9" s="288"/>
      <c r="E9" s="288"/>
      <c r="F9" s="288"/>
      <c r="G9" s="288"/>
      <c r="H9" s="288"/>
      <c r="I9" s="288"/>
      <c r="K9" s="47">
        <f>C9-[20]中央105!C9</f>
        <v>8</v>
      </c>
    </row>
    <row r="10" spans="1:11" ht="22.9" customHeight="1">
      <c r="A10" s="8" t="s">
        <v>19</v>
      </c>
      <c r="B10" s="171">
        <f t="shared" ref="B10:G10" si="0">SUM(B11:B19)</f>
        <v>1684602</v>
      </c>
      <c r="C10" s="442">
        <f t="shared" si="0"/>
        <v>1975971</v>
      </c>
      <c r="D10" s="442">
        <f t="shared" si="0"/>
        <v>14099</v>
      </c>
      <c r="E10" s="442">
        <f t="shared" si="0"/>
        <v>-162261</v>
      </c>
      <c r="F10" s="171">
        <f t="shared" si="0"/>
        <v>0</v>
      </c>
      <c r="G10" s="442">
        <f t="shared" si="0"/>
        <v>-138697</v>
      </c>
      <c r="H10" s="171"/>
      <c r="I10" s="442">
        <f>SUM(I11:I19)</f>
        <v>-4510</v>
      </c>
      <c r="J10" s="47">
        <f t="shared" ref="J10:J19" si="1">SUM(D10:I10)</f>
        <v>-291369</v>
      </c>
      <c r="K10" s="47"/>
    </row>
    <row r="11" spans="1:11" ht="22.9" customHeight="1">
      <c r="A11" s="11" t="s">
        <v>28</v>
      </c>
      <c r="B11" s="171">
        <f t="shared" ref="B11:B19" si="2">SUM(C11:I11)</f>
        <v>183656</v>
      </c>
      <c r="C11" s="337">
        <v>186984</v>
      </c>
      <c r="D11" s="120"/>
      <c r="E11" s="120"/>
      <c r="F11" s="288"/>
      <c r="G11" s="120">
        <v>-3328</v>
      </c>
      <c r="H11" s="288"/>
      <c r="I11" s="120"/>
      <c r="J11" s="47">
        <f t="shared" si="1"/>
        <v>-3328</v>
      </c>
      <c r="K11" s="47">
        <f>C11-[20]中央105!C11</f>
        <v>-3540</v>
      </c>
    </row>
    <row r="12" spans="1:11" ht="22.9" customHeight="1">
      <c r="A12" s="12" t="s">
        <v>22</v>
      </c>
      <c r="B12" s="171">
        <f t="shared" si="2"/>
        <v>309805</v>
      </c>
      <c r="C12" s="337">
        <v>309805</v>
      </c>
      <c r="D12" s="120"/>
      <c r="E12" s="120"/>
      <c r="F12" s="288"/>
      <c r="G12" s="120"/>
      <c r="H12" s="288"/>
      <c r="I12" s="120"/>
      <c r="J12" s="47">
        <f t="shared" si="1"/>
        <v>0</v>
      </c>
      <c r="K12" s="47">
        <f>C12-[20]中央105!C12</f>
        <v>-1362</v>
      </c>
    </row>
    <row r="13" spans="1:11" ht="22.9" customHeight="1">
      <c r="A13" s="12" t="s">
        <v>29</v>
      </c>
      <c r="B13" s="171">
        <f t="shared" si="2"/>
        <v>295916</v>
      </c>
      <c r="C13" s="337">
        <v>387956</v>
      </c>
      <c r="D13" s="120"/>
      <c r="E13" s="120">
        <v>-49990</v>
      </c>
      <c r="F13" s="288"/>
      <c r="G13" s="120">
        <v>-42050</v>
      </c>
      <c r="H13" s="288"/>
      <c r="I13" s="120"/>
      <c r="J13" s="47">
        <f t="shared" si="1"/>
        <v>-92040</v>
      </c>
      <c r="K13" s="47">
        <f>C13-[20]中央105!C13</f>
        <v>-2169</v>
      </c>
    </row>
    <row r="14" spans="1:11" ht="22.9" customHeight="1">
      <c r="A14" s="12" t="s">
        <v>23</v>
      </c>
      <c r="B14" s="171">
        <f t="shared" si="2"/>
        <v>197295</v>
      </c>
      <c r="C14" s="337">
        <v>267254</v>
      </c>
      <c r="D14" s="120">
        <v>12714</v>
      </c>
      <c r="E14" s="120">
        <v>-34500</v>
      </c>
      <c r="F14" s="288"/>
      <c r="G14" s="120">
        <v>-44203</v>
      </c>
      <c r="H14" s="288"/>
      <c r="I14" s="120">
        <v>-3970</v>
      </c>
      <c r="J14" s="47">
        <f t="shared" si="1"/>
        <v>-69959</v>
      </c>
      <c r="K14" s="47">
        <f>C14-[20]中央105!C14</f>
        <v>-6859</v>
      </c>
    </row>
    <row r="15" spans="1:11" ht="22.9" customHeight="1">
      <c r="A15" s="12" t="s">
        <v>24</v>
      </c>
      <c r="B15" s="171">
        <f t="shared" si="2"/>
        <v>410207</v>
      </c>
      <c r="C15" s="337">
        <v>460610</v>
      </c>
      <c r="D15" s="120"/>
      <c r="E15" s="120">
        <v>-34361</v>
      </c>
      <c r="F15" s="288"/>
      <c r="G15" s="120">
        <v>-16042</v>
      </c>
      <c r="H15" s="288"/>
      <c r="I15" s="120"/>
      <c r="J15" s="47">
        <f t="shared" si="1"/>
        <v>-50403</v>
      </c>
      <c r="K15" s="47">
        <f>C15-[20]中央105!C15</f>
        <v>-6455</v>
      </c>
    </row>
    <row r="16" spans="1:11" ht="22.9" customHeight="1">
      <c r="A16" s="12" t="s">
        <v>30</v>
      </c>
      <c r="B16" s="171">
        <f t="shared" si="2"/>
        <v>4324</v>
      </c>
      <c r="C16" s="337">
        <v>17976</v>
      </c>
      <c r="D16" s="120">
        <v>1385</v>
      </c>
      <c r="E16" s="120"/>
      <c r="F16" s="288"/>
      <c r="G16" s="120">
        <v>-14497</v>
      </c>
      <c r="H16" s="288"/>
      <c r="I16" s="120">
        <v>-540</v>
      </c>
      <c r="J16" s="47">
        <f t="shared" si="1"/>
        <v>-13652</v>
      </c>
      <c r="K16" s="47">
        <f>C16-[20]中央105!C16</f>
        <v>-652</v>
      </c>
    </row>
    <row r="17" spans="1:11" ht="22.9" customHeight="1">
      <c r="A17" s="12" t="s">
        <v>31</v>
      </c>
      <c r="B17" s="171">
        <f t="shared" si="2"/>
        <v>147210</v>
      </c>
      <c r="C17" s="337">
        <v>147210</v>
      </c>
      <c r="D17" s="120"/>
      <c r="E17" s="120"/>
      <c r="F17" s="288"/>
      <c r="G17" s="120"/>
      <c r="H17" s="288"/>
      <c r="I17" s="120"/>
      <c r="J17" s="47">
        <f t="shared" si="1"/>
        <v>0</v>
      </c>
      <c r="K17" s="47">
        <f>C17-[20]中央105!C17</f>
        <v>-2</v>
      </c>
    </row>
    <row r="18" spans="1:11" ht="22.9" customHeight="1">
      <c r="A18" s="12" t="s">
        <v>20</v>
      </c>
      <c r="B18" s="171">
        <f t="shared" si="2"/>
        <v>123311</v>
      </c>
      <c r="C18" s="337">
        <v>123311</v>
      </c>
      <c r="D18" s="120"/>
      <c r="E18" s="120"/>
      <c r="F18" s="288"/>
      <c r="G18" s="120"/>
      <c r="H18" s="288"/>
      <c r="I18" s="120"/>
      <c r="J18" s="47">
        <f t="shared" si="1"/>
        <v>0</v>
      </c>
      <c r="K18" s="47">
        <f>C18-[20]中央105!C18</f>
        <v>-200</v>
      </c>
    </row>
    <row r="19" spans="1:11" ht="22.9" customHeight="1">
      <c r="A19" s="12" t="s">
        <v>32</v>
      </c>
      <c r="B19" s="171">
        <f t="shared" si="2"/>
        <v>12878</v>
      </c>
      <c r="C19" s="337">
        <v>74865</v>
      </c>
      <c r="D19" s="120"/>
      <c r="E19" s="120">
        <v>-43410</v>
      </c>
      <c r="F19" s="288"/>
      <c r="G19" s="120">
        <v>-18577</v>
      </c>
      <c r="H19" s="288"/>
      <c r="I19" s="120"/>
      <c r="J19" s="47">
        <f t="shared" si="1"/>
        <v>-61987</v>
      </c>
      <c r="K19" s="47">
        <f>C19-[20]中央105!C19</f>
        <v>-982</v>
      </c>
    </row>
    <row r="20" spans="1:11" ht="22.9" customHeight="1">
      <c r="A20" s="3" t="s">
        <v>17</v>
      </c>
      <c r="B20" s="171">
        <f>B4-B10</f>
        <v>141930</v>
      </c>
      <c r="C20" s="171">
        <f>C4-C10</f>
        <v>-153568</v>
      </c>
      <c r="D20" s="171">
        <f>D4-D10</f>
        <v>-9970</v>
      </c>
      <c r="E20" s="171">
        <f>E4-E10</f>
        <v>162261</v>
      </c>
      <c r="F20" s="171"/>
      <c r="G20" s="171">
        <f>G4-G10</f>
        <v>138697</v>
      </c>
      <c r="H20" s="171">
        <f>H4-H10</f>
        <v>0</v>
      </c>
      <c r="I20" s="171">
        <f>I4-I10</f>
        <v>4510</v>
      </c>
    </row>
    <row r="21" spans="1:11" ht="22.9" customHeight="1">
      <c r="E21" s="128"/>
    </row>
    <row r="22" spans="1:11" ht="22.9" customHeight="1">
      <c r="A22" s="4" t="s">
        <v>99</v>
      </c>
      <c r="B22" s="97">
        <f>C11-[20]中央105!C11</f>
        <v>-3540</v>
      </c>
      <c r="C22" s="4" t="s">
        <v>26</v>
      </c>
      <c r="E22" s="128">
        <f>C5-[20]中央105!C5</f>
        <v>0</v>
      </c>
      <c r="F22" s="181"/>
      <c r="H22" s="182"/>
    </row>
    <row r="23" spans="1:11" ht="22.9" customHeight="1">
      <c r="A23" s="4" t="s">
        <v>100</v>
      </c>
      <c r="B23" s="97">
        <f>C12-[20]中央105!C12</f>
        <v>-1362</v>
      </c>
      <c r="C23" s="4" t="s">
        <v>27</v>
      </c>
      <c r="E23" s="128">
        <f>C6-[20]中央105!C6</f>
        <v>0</v>
      </c>
      <c r="F23" s="181"/>
      <c r="H23" s="182"/>
    </row>
    <row r="24" spans="1:11" ht="22.9" customHeight="1">
      <c r="A24" s="4" t="s">
        <v>101</v>
      </c>
      <c r="B24" s="97">
        <f>C13-[20]中央105!C13</f>
        <v>-2169</v>
      </c>
      <c r="C24" s="4" t="s">
        <v>15</v>
      </c>
      <c r="E24" s="128">
        <f>C7-[20]中央105!C7</f>
        <v>525</v>
      </c>
      <c r="F24" s="181"/>
      <c r="H24" s="182"/>
    </row>
    <row r="25" spans="1:11" ht="22.9" customHeight="1">
      <c r="A25" s="4" t="s">
        <v>102</v>
      </c>
      <c r="B25" s="97">
        <f>C14-[20]中央105!C14</f>
        <v>-6859</v>
      </c>
      <c r="C25" s="4" t="s">
        <v>18</v>
      </c>
      <c r="E25" s="128">
        <f>C8-[20]中央105!C8</f>
        <v>-22754</v>
      </c>
      <c r="F25" s="181"/>
      <c r="H25" s="182"/>
    </row>
    <row r="26" spans="1:11" ht="22.9" customHeight="1">
      <c r="A26" s="4" t="s">
        <v>103</v>
      </c>
      <c r="B26" s="97">
        <f>C15-[20]中央105!C15</f>
        <v>-6455</v>
      </c>
      <c r="C26" s="4" t="s">
        <v>16</v>
      </c>
      <c r="E26" s="128">
        <f>C9-[20]中央105!C9</f>
        <v>8</v>
      </c>
      <c r="F26" s="181"/>
      <c r="H26" s="182"/>
    </row>
    <row r="27" spans="1:11" ht="22.9" customHeight="1">
      <c r="A27" s="4" t="s">
        <v>104</v>
      </c>
      <c r="B27" s="97">
        <f>C16-[20]中央105!C16</f>
        <v>-652</v>
      </c>
      <c r="H27" s="182"/>
    </row>
    <row r="28" spans="1:11" ht="22.9" customHeight="1">
      <c r="A28" s="4" t="s">
        <v>105</v>
      </c>
      <c r="B28" s="97">
        <f>C17-[20]中央105!C17</f>
        <v>-2</v>
      </c>
      <c r="H28" s="182"/>
    </row>
    <row r="29" spans="1:11" ht="22.9" customHeight="1">
      <c r="A29" s="4" t="s">
        <v>106</v>
      </c>
      <c r="B29" s="97">
        <f>C18-[20]中央105!C18</f>
        <v>-200</v>
      </c>
      <c r="H29" s="182"/>
    </row>
    <row r="30" spans="1:11" ht="22.9" customHeight="1">
      <c r="A30" s="4" t="s">
        <v>107</v>
      </c>
      <c r="B30" s="97">
        <f>C19-[20]中央105!C19</f>
        <v>-982</v>
      </c>
      <c r="H30" s="182"/>
    </row>
    <row r="31" spans="1:11" ht="22.9" customHeight="1"/>
    <row r="32" spans="1:11" ht="22.9" customHeight="1">
      <c r="A32" s="4" t="s">
        <v>99</v>
      </c>
      <c r="B32" s="97">
        <f>B11-[20]中央105!B11</f>
        <v>-3447</v>
      </c>
      <c r="C32" s="4" t="s">
        <v>26</v>
      </c>
      <c r="E32" s="128">
        <f>B5-[20]中央105!B5</f>
        <v>0</v>
      </c>
      <c r="F32" s="181"/>
      <c r="H32" s="182"/>
    </row>
    <row r="33" spans="1:8" ht="22.9" customHeight="1">
      <c r="A33" s="4" t="s">
        <v>100</v>
      </c>
      <c r="B33" s="97">
        <f>B12-[20]中央105!B12</f>
        <v>-1362</v>
      </c>
      <c r="C33" s="4" t="s">
        <v>27</v>
      </c>
      <c r="E33" s="128">
        <f>B6-[20]中央105!B6</f>
        <v>0</v>
      </c>
      <c r="F33" s="181"/>
      <c r="H33" s="182"/>
    </row>
    <row r="34" spans="1:8" ht="22.9" customHeight="1">
      <c r="A34" s="4" t="s">
        <v>101</v>
      </c>
      <c r="B34" s="97">
        <f>B13-[20]中央105!B13</f>
        <v>-2020</v>
      </c>
      <c r="C34" s="4" t="s">
        <v>15</v>
      </c>
      <c r="E34" s="128">
        <f>B7-[20]中央105!B7</f>
        <v>525</v>
      </c>
      <c r="F34" s="181"/>
      <c r="H34" s="182"/>
    </row>
    <row r="35" spans="1:8" ht="22.9" customHeight="1">
      <c r="A35" s="4" t="s">
        <v>102</v>
      </c>
      <c r="B35" s="97">
        <f>B14-[20]中央105!B14</f>
        <v>-5388</v>
      </c>
      <c r="C35" s="4" t="s">
        <v>18</v>
      </c>
      <c r="E35" s="128">
        <f>B8-[20]中央105!B8</f>
        <v>-22754</v>
      </c>
      <c r="F35" s="181"/>
      <c r="H35" s="182"/>
    </row>
    <row r="36" spans="1:8" ht="22.9" customHeight="1">
      <c r="A36" s="4" t="s">
        <v>103</v>
      </c>
      <c r="B36" s="97">
        <f>B15-[20]中央105!B15</f>
        <v>-6431</v>
      </c>
      <c r="C36" s="4" t="s">
        <v>16</v>
      </c>
      <c r="E36" s="128">
        <f>B9-[20]中央105!B9</f>
        <v>8</v>
      </c>
      <c r="F36" s="181"/>
      <c r="H36" s="182"/>
    </row>
    <row r="37" spans="1:8" ht="22.9" customHeight="1">
      <c r="A37" s="4" t="s">
        <v>104</v>
      </c>
      <c r="B37" s="97">
        <f>B16-[20]中央105!B16</f>
        <v>-27</v>
      </c>
      <c r="H37" s="182"/>
    </row>
    <row r="38" spans="1:8" ht="22.9" customHeight="1">
      <c r="A38" s="4" t="s">
        <v>105</v>
      </c>
      <c r="B38" s="97">
        <f>B17-[20]中央105!B17</f>
        <v>-2</v>
      </c>
      <c r="H38" s="182"/>
    </row>
    <row r="39" spans="1:8" ht="22.9" customHeight="1">
      <c r="A39" s="4" t="s">
        <v>106</v>
      </c>
      <c r="B39" s="97">
        <f>B18-[20]中央105!B18</f>
        <v>-200</v>
      </c>
      <c r="H39" s="182"/>
    </row>
    <row r="40" spans="1:8" ht="22.9" customHeight="1">
      <c r="A40" s="4" t="s">
        <v>107</v>
      </c>
      <c r="B40" s="97">
        <f>B19-[20]中央105!B19</f>
        <v>-100</v>
      </c>
      <c r="H40" s="182"/>
    </row>
    <row r="41" spans="1:8" ht="22.9" customHeight="1"/>
    <row r="42" spans="1:8" ht="22.9" customHeight="1"/>
    <row r="43" spans="1:8" ht="22.9" customHeight="1"/>
    <row r="44" spans="1:8" ht="22.9" customHeight="1"/>
    <row r="45" spans="1:8" ht="22.9" customHeight="1"/>
    <row r="46" spans="1:8" ht="22.9" customHeight="1"/>
    <row r="47" spans="1:8" ht="22.9" customHeight="1"/>
    <row r="48" spans="1:8" ht="22.9" customHeight="1"/>
    <row r="49" ht="22.9" customHeight="1"/>
    <row r="50" ht="22.9" customHeight="1"/>
    <row r="51" ht="22.9" customHeight="1"/>
    <row r="52" ht="22.9" customHeight="1"/>
    <row r="53" ht="22.9" customHeight="1"/>
    <row r="54" ht="22.9" customHeight="1"/>
    <row r="55" ht="22.9" customHeight="1"/>
    <row r="56" ht="22.9" customHeight="1"/>
    <row r="57" ht="22.9" customHeight="1"/>
  </sheetData>
  <phoneticPr fontId="5" type="noConversion"/>
  <pageMargins left="0.9055118110236221" right="0.31496062992125984" top="0.59055118110236227" bottom="0.47244094488188981" header="0.43307086614173229" footer="0.19685039370078741"/>
  <pageSetup paperSize="9" scale="65"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indexed="22"/>
    <pageSetUpPr fitToPage="1"/>
  </sheetPr>
  <dimension ref="A1:K34"/>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3" width="14.375" style="45" customWidth="1"/>
    <col min="4" max="4" width="11.875" style="45" customWidth="1"/>
    <col min="5" max="6" width="10.75" style="45" customWidth="1"/>
    <col min="7" max="7" width="10.375" style="44" customWidth="1"/>
    <col min="8" max="9" width="8.75" style="44" customWidth="1"/>
    <col min="10" max="10" width="11.5" style="4" customWidth="1"/>
    <col min="11" max="11" width="11.375" style="4" customWidth="1"/>
    <col min="12" max="16384" width="9.75" style="4"/>
  </cols>
  <sheetData>
    <row r="1" spans="1:11" ht="32.1" customHeight="1">
      <c r="A1" s="1" t="s">
        <v>773</v>
      </c>
      <c r="B1" s="1"/>
      <c r="C1" s="43"/>
      <c r="D1" s="43"/>
      <c r="E1" s="43"/>
      <c r="F1" s="43"/>
    </row>
    <row r="2" spans="1:11" ht="27" customHeight="1">
      <c r="C2" s="210" t="s">
        <v>1042</v>
      </c>
      <c r="D2" s="51"/>
      <c r="E2" s="210" t="s">
        <v>53</v>
      </c>
      <c r="F2" s="164"/>
      <c r="G2" s="44" t="s">
        <v>77</v>
      </c>
      <c r="H2" s="218" t="s">
        <v>53</v>
      </c>
      <c r="I2" s="210" t="s">
        <v>53</v>
      </c>
    </row>
    <row r="3" spans="1:11" ht="42" customHeight="1">
      <c r="A3" s="7" t="s">
        <v>12</v>
      </c>
      <c r="B3" s="7" t="s">
        <v>21</v>
      </c>
      <c r="C3" s="174" t="s">
        <v>13</v>
      </c>
      <c r="D3" s="163" t="s">
        <v>33</v>
      </c>
      <c r="E3" s="175" t="s">
        <v>72</v>
      </c>
      <c r="F3" s="166" t="s">
        <v>858</v>
      </c>
      <c r="G3" s="167" t="s">
        <v>73</v>
      </c>
      <c r="H3" s="176" t="s">
        <v>98</v>
      </c>
      <c r="I3" s="177" t="s">
        <v>526</v>
      </c>
      <c r="J3" s="169" t="s">
        <v>859</v>
      </c>
      <c r="K3" s="4" t="s">
        <v>554</v>
      </c>
    </row>
    <row r="4" spans="1:11" ht="23.1" customHeight="1">
      <c r="A4" s="8" t="s">
        <v>25</v>
      </c>
      <c r="B4" s="121">
        <f t="shared" ref="B4:I4" si="0">SUM(B5:B9)</f>
        <v>548934</v>
      </c>
      <c r="C4" s="121">
        <f t="shared" si="0"/>
        <v>689145</v>
      </c>
      <c r="D4" s="121">
        <f t="shared" si="0"/>
        <v>10500</v>
      </c>
      <c r="E4" s="121">
        <f t="shared" si="0"/>
        <v>-60129</v>
      </c>
      <c r="F4" s="121">
        <f t="shared" si="0"/>
        <v>0</v>
      </c>
      <c r="G4" s="121">
        <f t="shared" si="0"/>
        <v>0</v>
      </c>
      <c r="H4" s="121">
        <f t="shared" si="0"/>
        <v>-88740</v>
      </c>
      <c r="I4" s="121">
        <f t="shared" si="0"/>
        <v>-1842</v>
      </c>
      <c r="J4" s="225">
        <f>B4-[20]直轄市104!B4</f>
        <v>31559</v>
      </c>
      <c r="K4" s="226">
        <f t="shared" ref="K4:K20" si="1">C4+D4</f>
        <v>699645</v>
      </c>
    </row>
    <row r="5" spans="1:11" ht="23.1" customHeight="1">
      <c r="A5" s="10" t="s">
        <v>26</v>
      </c>
      <c r="B5" s="121">
        <f>SUM(C5:I5)</f>
        <v>431551</v>
      </c>
      <c r="C5" s="170">
        <v>431551</v>
      </c>
      <c r="D5" s="282"/>
      <c r="E5" s="285">
        <v>0</v>
      </c>
      <c r="F5" s="285"/>
      <c r="G5" s="285"/>
      <c r="H5" s="285"/>
      <c r="I5" s="285"/>
      <c r="J5" s="225">
        <f>B5-[20]直轄市104!B5</f>
        <v>16789</v>
      </c>
      <c r="K5" s="225">
        <f t="shared" si="1"/>
        <v>431551</v>
      </c>
    </row>
    <row r="6" spans="1:11" ht="23.1" customHeight="1">
      <c r="A6" s="9" t="s">
        <v>27</v>
      </c>
      <c r="B6" s="121">
        <f>SUM(C6:I6)</f>
        <v>22443</v>
      </c>
      <c r="C6" s="170">
        <v>22443</v>
      </c>
      <c r="D6" s="286"/>
      <c r="E6" s="285">
        <v>0</v>
      </c>
      <c r="F6" s="285"/>
      <c r="G6" s="285"/>
      <c r="H6" s="285"/>
      <c r="I6" s="285"/>
      <c r="J6" s="225">
        <f>B6-[20]直轄市104!B6</f>
        <v>5539</v>
      </c>
      <c r="K6" s="225">
        <f t="shared" si="1"/>
        <v>22443</v>
      </c>
    </row>
    <row r="7" spans="1:11" ht="23.1" customHeight="1">
      <c r="A7" s="10" t="s">
        <v>15</v>
      </c>
      <c r="B7" s="121">
        <f>SUM(C7:I7)</f>
        <v>44959</v>
      </c>
      <c r="C7" s="170">
        <v>44959</v>
      </c>
      <c r="D7" s="286"/>
      <c r="E7" s="285">
        <v>0</v>
      </c>
      <c r="F7" s="285"/>
      <c r="G7" s="285"/>
      <c r="H7" s="285"/>
      <c r="I7" s="285"/>
      <c r="J7" s="225">
        <f>B7-[20]直轄市104!B7</f>
        <v>5589</v>
      </c>
      <c r="K7" s="225">
        <f t="shared" si="1"/>
        <v>44959</v>
      </c>
    </row>
    <row r="8" spans="1:11" ht="23.1" customHeight="1">
      <c r="A8" s="10" t="s">
        <v>18</v>
      </c>
      <c r="B8" s="121">
        <f>SUM(C8:I8)</f>
        <v>29930</v>
      </c>
      <c r="C8" s="170">
        <v>27430</v>
      </c>
      <c r="D8" s="286">
        <v>2500</v>
      </c>
      <c r="E8" s="285">
        <v>0</v>
      </c>
      <c r="F8" s="285"/>
      <c r="G8" s="285"/>
      <c r="H8" s="285"/>
      <c r="I8" s="285"/>
      <c r="J8" s="225">
        <f>B8-[20]直轄市104!B8</f>
        <v>-4254</v>
      </c>
      <c r="K8" s="225">
        <f t="shared" si="1"/>
        <v>29930</v>
      </c>
    </row>
    <row r="9" spans="1:11" ht="23.1" customHeight="1">
      <c r="A9" s="9" t="s">
        <v>16</v>
      </c>
      <c r="B9" s="121">
        <f>SUM(C9:I9)</f>
        <v>20051</v>
      </c>
      <c r="C9" s="170">
        <v>162762</v>
      </c>
      <c r="D9" s="281">
        <v>8000</v>
      </c>
      <c r="E9" s="170">
        <v>-60129</v>
      </c>
      <c r="F9" s="285"/>
      <c r="G9" s="285"/>
      <c r="H9" s="170">
        <v>-88740</v>
      </c>
      <c r="I9" s="170">
        <v>-1842</v>
      </c>
      <c r="J9" s="225">
        <f>B9-[20]直轄市104!B9</f>
        <v>7896</v>
      </c>
      <c r="K9" s="225">
        <f t="shared" si="1"/>
        <v>170762</v>
      </c>
    </row>
    <row r="10" spans="1:11" ht="23.1" customHeight="1">
      <c r="A10" s="8" t="s">
        <v>19</v>
      </c>
      <c r="B10" s="121">
        <f>SUM(B11:B19)</f>
        <v>768601</v>
      </c>
      <c r="C10" s="121">
        <f>SUM(C11:C19)</f>
        <v>757601</v>
      </c>
      <c r="D10" s="121">
        <f>SUM(D11:D19)</f>
        <v>11000</v>
      </c>
      <c r="E10" s="121">
        <f>SUM(E11:E19)</f>
        <v>0</v>
      </c>
      <c r="F10" s="121"/>
      <c r="G10" s="121">
        <f>SUM(G11:G19)</f>
        <v>0</v>
      </c>
      <c r="H10" s="121">
        <f>SUM(H11:H19)</f>
        <v>0</v>
      </c>
      <c r="I10" s="121"/>
      <c r="J10" s="225"/>
      <c r="K10" s="226">
        <f t="shared" si="1"/>
        <v>768601</v>
      </c>
    </row>
    <row r="11" spans="1:11" ht="23.1" customHeight="1">
      <c r="A11" s="11" t="s">
        <v>28</v>
      </c>
      <c r="B11" s="121">
        <f t="shared" ref="B11:B19" si="2">SUM(C11:I11)</f>
        <v>137848</v>
      </c>
      <c r="C11" s="170">
        <v>135848</v>
      </c>
      <c r="D11" s="282">
        <v>2000</v>
      </c>
      <c r="E11" s="285"/>
      <c r="F11" s="285"/>
      <c r="G11" s="285"/>
      <c r="H11" s="285"/>
      <c r="I11" s="285"/>
      <c r="J11" s="225">
        <f>B11-[20]直轄市104!B11</f>
        <v>1298</v>
      </c>
      <c r="K11" s="225">
        <f t="shared" si="1"/>
        <v>137848</v>
      </c>
    </row>
    <row r="12" spans="1:11" ht="23.1" customHeight="1">
      <c r="A12" s="12" t="s">
        <v>22</v>
      </c>
      <c r="B12" s="121">
        <f t="shared" si="2"/>
        <v>0</v>
      </c>
      <c r="C12" s="170">
        <v>0</v>
      </c>
      <c r="D12" s="286"/>
      <c r="E12" s="285"/>
      <c r="F12" s="285"/>
      <c r="G12" s="285"/>
      <c r="H12" s="285"/>
      <c r="I12" s="285"/>
      <c r="J12" s="225">
        <f>B12-[20]直轄市104!B12</f>
        <v>0</v>
      </c>
      <c r="K12" s="225">
        <f t="shared" si="1"/>
        <v>0</v>
      </c>
    </row>
    <row r="13" spans="1:11" ht="23.1" customHeight="1">
      <c r="A13" s="12" t="s">
        <v>29</v>
      </c>
      <c r="B13" s="121">
        <f t="shared" si="2"/>
        <v>264260</v>
      </c>
      <c r="C13" s="170">
        <v>272260</v>
      </c>
      <c r="D13" s="286">
        <v>-8000</v>
      </c>
      <c r="E13" s="285"/>
      <c r="F13" s="285"/>
      <c r="G13" s="285"/>
      <c r="H13" s="285"/>
      <c r="I13" s="285"/>
      <c r="J13" s="225">
        <f>B13-[20]直轄市104!B13</f>
        <v>11264</v>
      </c>
      <c r="K13" s="225">
        <f t="shared" si="1"/>
        <v>264260</v>
      </c>
    </row>
    <row r="14" spans="1:11" ht="23.1" customHeight="1">
      <c r="A14" s="12" t="s">
        <v>23</v>
      </c>
      <c r="B14" s="121">
        <f t="shared" si="2"/>
        <v>143199</v>
      </c>
      <c r="C14" s="170">
        <v>143199</v>
      </c>
      <c r="D14" s="282"/>
      <c r="E14" s="285"/>
      <c r="F14" s="285"/>
      <c r="G14" s="285"/>
      <c r="H14" s="285"/>
      <c r="I14" s="285"/>
      <c r="J14" s="225">
        <f>B14-[20]直轄市104!B14</f>
        <v>18721</v>
      </c>
      <c r="K14" s="225">
        <f t="shared" si="1"/>
        <v>143199</v>
      </c>
    </row>
    <row r="15" spans="1:11" ht="23.1" customHeight="1">
      <c r="A15" s="12" t="s">
        <v>24</v>
      </c>
      <c r="B15" s="121">
        <f t="shared" si="2"/>
        <v>111217</v>
      </c>
      <c r="C15" s="170">
        <v>105217</v>
      </c>
      <c r="D15" s="286">
        <v>6000</v>
      </c>
      <c r="E15" s="285"/>
      <c r="F15" s="285"/>
      <c r="G15" s="285"/>
      <c r="H15" s="285"/>
      <c r="I15" s="285"/>
      <c r="J15" s="225">
        <f>B15-[20]直轄市104!B15</f>
        <v>1347</v>
      </c>
      <c r="K15" s="225">
        <f t="shared" si="1"/>
        <v>111217</v>
      </c>
    </row>
    <row r="16" spans="1:11" ht="23.1" customHeight="1">
      <c r="A16" s="12" t="s">
        <v>30</v>
      </c>
      <c r="B16" s="121">
        <f t="shared" si="2"/>
        <v>55969</v>
      </c>
      <c r="C16" s="170">
        <v>55969</v>
      </c>
      <c r="D16" s="286"/>
      <c r="E16" s="285"/>
      <c r="F16" s="285"/>
      <c r="G16" s="285"/>
      <c r="H16" s="285"/>
      <c r="I16" s="285"/>
      <c r="J16" s="225">
        <f>B16-[20]直轄市104!B16</f>
        <v>5076</v>
      </c>
      <c r="K16" s="225">
        <f t="shared" si="1"/>
        <v>55969</v>
      </c>
    </row>
    <row r="17" spans="1:11" ht="23.1" customHeight="1">
      <c r="A17" s="12" t="s">
        <v>31</v>
      </c>
      <c r="B17" s="121">
        <f t="shared" si="2"/>
        <v>33496</v>
      </c>
      <c r="C17" s="170">
        <v>22496</v>
      </c>
      <c r="D17" s="286">
        <v>11000</v>
      </c>
      <c r="E17" s="285"/>
      <c r="F17" s="285"/>
      <c r="G17" s="285"/>
      <c r="H17" s="285"/>
      <c r="I17" s="285"/>
      <c r="J17" s="225">
        <f>B17-[20]直轄市104!B17</f>
        <v>-10301</v>
      </c>
      <c r="K17" s="225">
        <f t="shared" si="1"/>
        <v>33496</v>
      </c>
    </row>
    <row r="18" spans="1:11" ht="23.1" customHeight="1">
      <c r="A18" s="12" t="s">
        <v>20</v>
      </c>
      <c r="B18" s="121">
        <f t="shared" si="2"/>
        <v>7725</v>
      </c>
      <c r="C18" s="170">
        <v>7725</v>
      </c>
      <c r="D18" s="286"/>
      <c r="E18" s="285"/>
      <c r="F18" s="285"/>
      <c r="G18" s="285"/>
      <c r="H18" s="285"/>
      <c r="I18" s="285"/>
      <c r="J18" s="225">
        <f>B18-[20]直轄市104!B18</f>
        <v>172</v>
      </c>
      <c r="K18" s="225">
        <f t="shared" si="1"/>
        <v>7725</v>
      </c>
    </row>
    <row r="19" spans="1:11" ht="23.1" customHeight="1">
      <c r="A19" s="12" t="s">
        <v>32</v>
      </c>
      <c r="B19" s="121">
        <f t="shared" si="2"/>
        <v>14887</v>
      </c>
      <c r="C19" s="170">
        <v>14887</v>
      </c>
      <c r="D19" s="287"/>
      <c r="E19" s="285"/>
      <c r="F19" s="285"/>
      <c r="G19" s="285"/>
      <c r="H19" s="285"/>
      <c r="I19" s="285"/>
      <c r="J19" s="225">
        <f>B19-[20]直轄市104!B19</f>
        <v>80</v>
      </c>
      <c r="K19" s="225">
        <f t="shared" si="1"/>
        <v>14887</v>
      </c>
    </row>
    <row r="20" spans="1:11" ht="23.1" customHeight="1">
      <c r="A20" s="3" t="s">
        <v>17</v>
      </c>
      <c r="B20" s="121">
        <f>B4-B10</f>
        <v>-219667</v>
      </c>
      <c r="C20" s="121">
        <f>C4-C10</f>
        <v>-68456</v>
      </c>
      <c r="D20" s="178">
        <f>D4-D10</f>
        <v>-500</v>
      </c>
      <c r="E20" s="121">
        <f>E4-E10</f>
        <v>-60129</v>
      </c>
      <c r="F20" s="121"/>
      <c r="G20" s="121">
        <f>G4-G10</f>
        <v>0</v>
      </c>
      <c r="H20" s="121">
        <f>H4-H10</f>
        <v>-88740</v>
      </c>
      <c r="I20" s="121"/>
      <c r="J20" s="225">
        <f>B20-[20]直轄市104!B20</f>
        <v>3902</v>
      </c>
      <c r="K20" s="225">
        <f t="shared" si="1"/>
        <v>-68956</v>
      </c>
    </row>
    <row r="21" spans="1:11" ht="23.1" customHeight="1">
      <c r="C21" s="339">
        <f>C20+D20</f>
        <v>-68956</v>
      </c>
    </row>
    <row r="22" spans="1:11" ht="23.1" customHeight="1">
      <c r="C22" s="45" t="s">
        <v>845</v>
      </c>
      <c r="D22" s="339">
        <f>5100-8100</f>
        <v>-3000</v>
      </c>
    </row>
    <row r="23" spans="1:11" ht="23.1" customHeight="1">
      <c r="C23" s="339">
        <f>C21-D22</f>
        <v>-65956</v>
      </c>
    </row>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sheetData>
  <phoneticPr fontId="5" type="noConversion"/>
  <pageMargins left="0.9055118110236221" right="0.31496062992125984" top="0.78740157480314965" bottom="0.94488188976377963" header="0.43307086614173229" footer="0.19685039370078741"/>
  <pageSetup paperSize="9" scale="75"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22"/>
    <pageSetUpPr fitToPage="1"/>
  </sheetPr>
  <dimension ref="A1:L51"/>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4" width="14.375" style="5" customWidth="1"/>
    <col min="5" max="5" width="8.75" style="45" customWidth="1"/>
    <col min="6" max="7" width="9.75" style="44" customWidth="1"/>
    <col min="8" max="8" width="11.5" style="44" customWidth="1"/>
    <col min="9" max="9" width="9.75" style="44" customWidth="1"/>
    <col min="10" max="10" width="11.5" style="4" customWidth="1"/>
    <col min="11" max="11" width="11.375" style="4" bestFit="1" customWidth="1"/>
    <col min="12" max="16384" width="9.75" style="4"/>
  </cols>
  <sheetData>
    <row r="1" spans="1:12" ht="32.1" customHeight="1">
      <c r="A1" s="1" t="s">
        <v>847</v>
      </c>
      <c r="B1" s="1"/>
      <c r="C1" s="2"/>
      <c r="D1" s="2"/>
      <c r="E1" s="43"/>
    </row>
    <row r="2" spans="1:12" ht="27" customHeight="1">
      <c r="C2" s="210" t="s">
        <v>1042</v>
      </c>
      <c r="D2" s="6"/>
      <c r="E2" s="218" t="s">
        <v>53</v>
      </c>
      <c r="F2" s="210" t="s">
        <v>53</v>
      </c>
      <c r="G2" s="172"/>
      <c r="H2" s="44" t="s">
        <v>77</v>
      </c>
      <c r="I2" s="210" t="s">
        <v>53</v>
      </c>
    </row>
    <row r="3" spans="1:12" ht="54" customHeight="1">
      <c r="A3" s="7" t="s">
        <v>12</v>
      </c>
      <c r="B3" s="7" t="s">
        <v>21</v>
      </c>
      <c r="C3" s="174" t="s">
        <v>13</v>
      </c>
      <c r="D3" s="163" t="s">
        <v>33</v>
      </c>
      <c r="E3" s="173" t="s">
        <v>860</v>
      </c>
      <c r="F3" s="168" t="s">
        <v>861</v>
      </c>
      <c r="G3" s="166" t="s">
        <v>858</v>
      </c>
      <c r="H3" s="168" t="s">
        <v>862</v>
      </c>
      <c r="I3" s="168" t="s">
        <v>527</v>
      </c>
      <c r="J3" s="222" t="s">
        <v>859</v>
      </c>
      <c r="K3" s="222" t="s">
        <v>554</v>
      </c>
    </row>
    <row r="4" spans="1:12" ht="23.1" customHeight="1">
      <c r="A4" s="8" t="s">
        <v>25</v>
      </c>
      <c r="B4" s="121">
        <f>SUM(B5:B9)</f>
        <v>211899</v>
      </c>
      <c r="C4" s="121">
        <f>SUM(C5:C9)</f>
        <v>356156</v>
      </c>
      <c r="D4" s="121">
        <f>SUM(D5:D9)</f>
        <v>10500</v>
      </c>
      <c r="E4" s="121">
        <f>SUM(E5:E9)</f>
        <v>-49957</v>
      </c>
      <c r="F4" s="121">
        <f>SUM(F5:F9)</f>
        <v>-102132</v>
      </c>
      <c r="G4" s="121"/>
      <c r="H4" s="121">
        <f>SUM(H5:H9)</f>
        <v>0</v>
      </c>
      <c r="I4" s="121">
        <f>SUM(I5:I9)</f>
        <v>-2668</v>
      </c>
      <c r="J4" s="222">
        <f>B4-[20]縣市104!B4</f>
        <v>3777</v>
      </c>
      <c r="K4" s="227">
        <f t="shared" ref="K4:K20" si="0">C4+D4</f>
        <v>366656</v>
      </c>
    </row>
    <row r="5" spans="1:12" ht="23.1" customHeight="1">
      <c r="A5" s="10" t="s">
        <v>26</v>
      </c>
      <c r="B5" s="121">
        <f>SUM(C5:I5)</f>
        <v>158001</v>
      </c>
      <c r="C5" s="220">
        <v>158001</v>
      </c>
      <c r="D5" s="286"/>
      <c r="E5" s="285">
        <v>0</v>
      </c>
      <c r="F5" s="170"/>
      <c r="G5" s="285"/>
      <c r="H5" s="285"/>
      <c r="I5" s="285"/>
      <c r="J5" s="222">
        <f>B5-[20]縣市104!B5</f>
        <v>6509</v>
      </c>
      <c r="K5" s="222">
        <f t="shared" si="0"/>
        <v>158001</v>
      </c>
      <c r="L5" s="228"/>
    </row>
    <row r="6" spans="1:12" ht="23.1" customHeight="1">
      <c r="A6" s="9" t="s">
        <v>27</v>
      </c>
      <c r="B6" s="121">
        <f>SUM(C6:I6)</f>
        <v>6437</v>
      </c>
      <c r="C6" s="220">
        <v>6437</v>
      </c>
      <c r="D6" s="286"/>
      <c r="E6" s="285">
        <v>0</v>
      </c>
      <c r="F6" s="170"/>
      <c r="G6" s="285"/>
      <c r="H6" s="285"/>
      <c r="I6" s="285"/>
      <c r="J6" s="222">
        <f>B6-[20]縣市104!B6</f>
        <v>-3100</v>
      </c>
      <c r="K6" s="222">
        <f t="shared" si="0"/>
        <v>6437</v>
      </c>
    </row>
    <row r="7" spans="1:12" ht="23.1" customHeight="1">
      <c r="A7" s="10" t="s">
        <v>15</v>
      </c>
      <c r="B7" s="121">
        <f>SUM(C7:I7)</f>
        <v>10586</v>
      </c>
      <c r="C7" s="220">
        <v>10586</v>
      </c>
      <c r="D7" s="286"/>
      <c r="E7" s="285">
        <v>0</v>
      </c>
      <c r="F7" s="170"/>
      <c r="G7" s="285"/>
      <c r="H7" s="285"/>
      <c r="I7" s="285"/>
      <c r="J7" s="222">
        <f>B7-[20]縣市104!B7</f>
        <v>-1065</v>
      </c>
      <c r="K7" s="222">
        <f t="shared" si="0"/>
        <v>10586</v>
      </c>
    </row>
    <row r="8" spans="1:12" ht="23.1" customHeight="1">
      <c r="A8" s="10" t="s">
        <v>18</v>
      </c>
      <c r="B8" s="121">
        <f>SUM(C8:I8)</f>
        <v>7926</v>
      </c>
      <c r="C8" s="220">
        <v>7426</v>
      </c>
      <c r="D8" s="286">
        <v>500</v>
      </c>
      <c r="E8" s="285">
        <v>0</v>
      </c>
      <c r="F8" s="170"/>
      <c r="G8" s="285"/>
      <c r="H8" s="285"/>
      <c r="I8" s="285"/>
      <c r="J8" s="222">
        <f>B8-[20]縣市104!B8</f>
        <v>-918</v>
      </c>
      <c r="K8" s="222">
        <f t="shared" si="0"/>
        <v>7926</v>
      </c>
    </row>
    <row r="9" spans="1:12" ht="23.1" customHeight="1">
      <c r="A9" s="9" t="s">
        <v>16</v>
      </c>
      <c r="B9" s="121">
        <f>SUM(C9:I9)</f>
        <v>28949</v>
      </c>
      <c r="C9" s="220">
        <v>173706</v>
      </c>
      <c r="D9" s="281">
        <v>10000</v>
      </c>
      <c r="E9" s="170">
        <v>-49957</v>
      </c>
      <c r="F9" s="170">
        <v>-102132</v>
      </c>
      <c r="G9" s="285"/>
      <c r="H9" s="285"/>
      <c r="I9" s="170">
        <v>-2668</v>
      </c>
      <c r="J9" s="222">
        <f>B9-[20]縣市104!B9</f>
        <v>2351</v>
      </c>
      <c r="K9" s="222">
        <f t="shared" si="0"/>
        <v>183706</v>
      </c>
    </row>
    <row r="10" spans="1:12" ht="23.1" customHeight="1">
      <c r="A10" s="8" t="s">
        <v>19</v>
      </c>
      <c r="B10" s="121">
        <f>SUM(B11:B19)</f>
        <v>378396</v>
      </c>
      <c r="C10" s="121">
        <f>SUM(C11:C19)</f>
        <v>367396</v>
      </c>
      <c r="D10" s="121">
        <f>SUM(D11:D19)</f>
        <v>11000</v>
      </c>
      <c r="E10" s="121">
        <f>SUM(E11:E19)</f>
        <v>0</v>
      </c>
      <c r="F10" s="121">
        <f>SUM(F11:F19)</f>
        <v>0</v>
      </c>
      <c r="G10" s="121"/>
      <c r="H10" s="121">
        <f>SUM(H11:H19)</f>
        <v>0</v>
      </c>
      <c r="I10" s="121">
        <f>SUM(I11:I19)</f>
        <v>0</v>
      </c>
      <c r="J10" s="222"/>
      <c r="K10" s="227">
        <f t="shared" si="0"/>
        <v>378396</v>
      </c>
    </row>
    <row r="11" spans="1:12" ht="23.1" customHeight="1">
      <c r="A11" s="11" t="s">
        <v>28</v>
      </c>
      <c r="B11" s="121">
        <f t="shared" ref="B11:B19" si="1">SUM(C11:I11)</f>
        <v>85568</v>
      </c>
      <c r="C11" s="220">
        <v>82568</v>
      </c>
      <c r="D11" s="282">
        <v>3000</v>
      </c>
      <c r="E11" s="285"/>
      <c r="F11" s="285"/>
      <c r="G11" s="285"/>
      <c r="H11" s="285"/>
      <c r="I11" s="288"/>
      <c r="J11" s="222">
        <f>B11-[20]縣市104!B11</f>
        <v>-826</v>
      </c>
      <c r="K11" s="222">
        <f t="shared" si="0"/>
        <v>85568</v>
      </c>
      <c r="L11" s="228"/>
    </row>
    <row r="12" spans="1:12" ht="23.1" customHeight="1">
      <c r="A12" s="12" t="s">
        <v>22</v>
      </c>
      <c r="B12" s="121">
        <f t="shared" si="1"/>
        <v>0</v>
      </c>
      <c r="C12" s="220">
        <v>0</v>
      </c>
      <c r="D12" s="286"/>
      <c r="E12" s="285"/>
      <c r="F12" s="285"/>
      <c r="G12" s="285"/>
      <c r="H12" s="285"/>
      <c r="I12" s="288"/>
      <c r="J12" s="222">
        <f>B12-[20]縣市104!B12</f>
        <v>0</v>
      </c>
      <c r="K12" s="222">
        <f t="shared" si="0"/>
        <v>0</v>
      </c>
    </row>
    <row r="13" spans="1:12" ht="23.1" customHeight="1">
      <c r="A13" s="12" t="s">
        <v>29</v>
      </c>
      <c r="B13" s="121">
        <f t="shared" si="1"/>
        <v>108377</v>
      </c>
      <c r="C13" s="220">
        <v>108377</v>
      </c>
      <c r="D13" s="282"/>
      <c r="E13" s="285"/>
      <c r="F13" s="285"/>
      <c r="G13" s="285"/>
      <c r="H13" s="285"/>
      <c r="I13" s="288"/>
      <c r="J13" s="222">
        <f>B13-[20]縣市104!B13</f>
        <v>-618</v>
      </c>
      <c r="K13" s="222">
        <f t="shared" si="0"/>
        <v>108377</v>
      </c>
    </row>
    <row r="14" spans="1:12" ht="23.1" customHeight="1">
      <c r="A14" s="12" t="s">
        <v>23</v>
      </c>
      <c r="B14" s="121">
        <f t="shared" si="1"/>
        <v>61811</v>
      </c>
      <c r="C14" s="220">
        <v>57811</v>
      </c>
      <c r="D14" s="282">
        <v>4000</v>
      </c>
      <c r="E14" s="285"/>
      <c r="F14" s="285"/>
      <c r="G14" s="285"/>
      <c r="H14" s="285"/>
      <c r="I14" s="288"/>
      <c r="J14" s="222">
        <f>B14-[20]縣市104!B14</f>
        <v>-3431</v>
      </c>
      <c r="K14" s="222">
        <f t="shared" si="0"/>
        <v>61811</v>
      </c>
    </row>
    <row r="15" spans="1:12" ht="23.1" customHeight="1">
      <c r="A15" s="12" t="s">
        <v>24</v>
      </c>
      <c r="B15" s="121">
        <f t="shared" si="1"/>
        <v>48665</v>
      </c>
      <c r="C15" s="220">
        <v>44665</v>
      </c>
      <c r="D15" s="286">
        <v>4000</v>
      </c>
      <c r="E15" s="285"/>
      <c r="F15" s="285"/>
      <c r="G15" s="285"/>
      <c r="H15" s="285"/>
      <c r="I15" s="288"/>
      <c r="J15" s="222">
        <f>B15-[20]縣市104!B15</f>
        <v>2962</v>
      </c>
      <c r="K15" s="222">
        <f t="shared" si="0"/>
        <v>48665</v>
      </c>
    </row>
    <row r="16" spans="1:12" ht="23.1" customHeight="1">
      <c r="A16" s="12" t="s">
        <v>30</v>
      </c>
      <c r="B16" s="121">
        <f t="shared" si="1"/>
        <v>17237</v>
      </c>
      <c r="C16" s="220">
        <v>17237</v>
      </c>
      <c r="D16" s="286"/>
      <c r="E16" s="285"/>
      <c r="F16" s="285"/>
      <c r="G16" s="285"/>
      <c r="H16" s="285"/>
      <c r="I16" s="288"/>
      <c r="J16" s="222">
        <f>B16-[20]縣市104!B16</f>
        <v>-178</v>
      </c>
      <c r="K16" s="222">
        <f t="shared" si="0"/>
        <v>17237</v>
      </c>
    </row>
    <row r="17" spans="1:11" ht="23.1" customHeight="1">
      <c r="A17" s="12" t="s">
        <v>31</v>
      </c>
      <c r="B17" s="121">
        <f t="shared" si="1"/>
        <v>41955</v>
      </c>
      <c r="C17" s="220">
        <v>41955</v>
      </c>
      <c r="D17" s="286"/>
      <c r="E17" s="285"/>
      <c r="F17" s="285">
        <v>0</v>
      </c>
      <c r="G17" s="285"/>
      <c r="H17" s="285"/>
      <c r="I17" s="288"/>
      <c r="J17" s="222">
        <f>B17-[20]縣市104!B17</f>
        <v>343</v>
      </c>
      <c r="K17" s="222">
        <f t="shared" si="0"/>
        <v>41955</v>
      </c>
    </row>
    <row r="18" spans="1:11" ht="23.1" customHeight="1">
      <c r="A18" s="12" t="s">
        <v>20</v>
      </c>
      <c r="B18" s="121">
        <f t="shared" si="1"/>
        <v>4181</v>
      </c>
      <c r="C18" s="220">
        <v>4181</v>
      </c>
      <c r="D18" s="286"/>
      <c r="E18" s="285"/>
      <c r="F18" s="285"/>
      <c r="G18" s="285"/>
      <c r="H18" s="285"/>
      <c r="I18" s="288"/>
      <c r="J18" s="222">
        <f>B18-[20]縣市104!B18</f>
        <v>-391</v>
      </c>
      <c r="K18" s="222">
        <f t="shared" si="0"/>
        <v>4181</v>
      </c>
    </row>
    <row r="19" spans="1:11" ht="23.1" customHeight="1">
      <c r="A19" s="12" t="s">
        <v>32</v>
      </c>
      <c r="B19" s="121">
        <f t="shared" si="1"/>
        <v>10602</v>
      </c>
      <c r="C19" s="221">
        <v>10602</v>
      </c>
      <c r="D19" s="287"/>
      <c r="E19" s="285"/>
      <c r="F19" s="285"/>
      <c r="G19" s="285"/>
      <c r="H19" s="285"/>
      <c r="I19" s="288"/>
      <c r="J19" s="222">
        <f>B19-[20]縣市104!B19</f>
        <v>-273</v>
      </c>
      <c r="K19" s="222">
        <f t="shared" si="0"/>
        <v>10602</v>
      </c>
    </row>
    <row r="20" spans="1:11" ht="23.1" customHeight="1">
      <c r="A20" s="3" t="s">
        <v>17</v>
      </c>
      <c r="B20" s="121">
        <f>B4-B10</f>
        <v>-166497</v>
      </c>
      <c r="C20" s="121">
        <f>C4-C10</f>
        <v>-11240</v>
      </c>
      <c r="D20" s="121">
        <f>D4-D10</f>
        <v>-500</v>
      </c>
      <c r="E20" s="121">
        <f>E4-E10</f>
        <v>-49957</v>
      </c>
      <c r="F20" s="121">
        <f>F4-F10</f>
        <v>-102132</v>
      </c>
      <c r="G20" s="121"/>
      <c r="H20" s="121">
        <f>H4-H10</f>
        <v>0</v>
      </c>
      <c r="I20" s="121">
        <f>I4-I10</f>
        <v>-2668</v>
      </c>
      <c r="J20" s="222"/>
      <c r="K20" s="222">
        <f t="shared" si="0"/>
        <v>-11740</v>
      </c>
    </row>
    <row r="21" spans="1:11" ht="23.1" customHeight="1">
      <c r="C21" s="229">
        <f>C20+D20</f>
        <v>-11740</v>
      </c>
    </row>
    <row r="22" spans="1:11" ht="23.1" customHeight="1"/>
    <row r="23" spans="1:11" ht="23.1" customHeight="1"/>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sheetData>
  <phoneticPr fontId="5" type="noConversion"/>
  <pageMargins left="0.9055118110236221" right="0.31496062992125984" top="0.78740157480314965" bottom="0.94488188976377963" header="0.43307086614173229" footer="0.19685039370078741"/>
  <pageSetup paperSize="9" scale="74"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1">
    <tabColor indexed="22"/>
    <pageSetUpPr fitToPage="1"/>
  </sheetPr>
  <dimension ref="A1:J57"/>
  <sheetViews>
    <sheetView zoomScale="75" zoomScaleNormal="100"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0.375" style="4" customWidth="1"/>
    <col min="2" max="2" width="12.25" style="4" customWidth="1"/>
    <col min="3" max="3" width="11.25" style="45" customWidth="1"/>
    <col min="4" max="4" width="8.75" style="44" customWidth="1"/>
    <col min="5" max="5" width="10.25" style="44" customWidth="1"/>
    <col min="6" max="6" width="13.125" style="44" customWidth="1"/>
    <col min="7" max="7" width="9.375" style="44" customWidth="1"/>
    <col min="8" max="8" width="11.75" style="44" customWidth="1"/>
    <col min="9" max="9" width="9.125" style="44" customWidth="1"/>
    <col min="10" max="10" width="12" style="4" customWidth="1"/>
    <col min="11" max="16384" width="9.75" style="4"/>
  </cols>
  <sheetData>
    <row r="1" spans="1:10" ht="32.1" customHeight="1">
      <c r="A1" s="1" t="s">
        <v>772</v>
      </c>
      <c r="B1" s="1"/>
      <c r="C1" s="43"/>
      <c r="I1" s="52" t="s">
        <v>326</v>
      </c>
    </row>
    <row r="2" spans="1:10" ht="49.5">
      <c r="C2" s="217" t="s">
        <v>771</v>
      </c>
      <c r="D2" s="211" t="s">
        <v>53</v>
      </c>
      <c r="E2" s="211" t="s">
        <v>53</v>
      </c>
      <c r="G2" s="217" t="s">
        <v>553</v>
      </c>
      <c r="H2" s="44" t="s">
        <v>327</v>
      </c>
      <c r="I2" s="211" t="s">
        <v>53</v>
      </c>
    </row>
    <row r="3" spans="1:10" ht="75.75" customHeight="1">
      <c r="A3" s="7" t="s">
        <v>328</v>
      </c>
      <c r="B3" s="13" t="s">
        <v>329</v>
      </c>
      <c r="C3" s="165" t="s">
        <v>330</v>
      </c>
      <c r="D3" s="168" t="s">
        <v>524</v>
      </c>
      <c r="E3" s="168" t="s">
        <v>331</v>
      </c>
      <c r="F3" s="166" t="s">
        <v>332</v>
      </c>
      <c r="G3" s="168" t="s">
        <v>333</v>
      </c>
      <c r="H3" s="168" t="s">
        <v>334</v>
      </c>
      <c r="I3" s="168" t="s">
        <v>525</v>
      </c>
    </row>
    <row r="4" spans="1:10" ht="22.9" customHeight="1">
      <c r="A4" s="8" t="s">
        <v>335</v>
      </c>
      <c r="B4" s="171">
        <f>SUM(B5:B9)</f>
        <v>1848753</v>
      </c>
      <c r="C4" s="171">
        <f>SUM(C5:C9)</f>
        <v>1844624</v>
      </c>
      <c r="D4" s="171">
        <f>SUM(D5:D9)</f>
        <v>4129</v>
      </c>
      <c r="E4" s="171">
        <f>SUM(E5:E9)</f>
        <v>0</v>
      </c>
      <c r="F4" s="171"/>
      <c r="G4" s="171">
        <f>SUM(G5:G9)</f>
        <v>0</v>
      </c>
      <c r="H4" s="171">
        <f>SUM(H5:H9)</f>
        <v>0</v>
      </c>
      <c r="I4" s="171">
        <f>SUM(I5:I9)</f>
        <v>0</v>
      </c>
    </row>
    <row r="5" spans="1:10" ht="22.9" customHeight="1">
      <c r="A5" s="10" t="s">
        <v>336</v>
      </c>
      <c r="B5" s="171">
        <f>SUM(C5:I5)</f>
        <v>1444138</v>
      </c>
      <c r="C5" s="337">
        <v>1440009</v>
      </c>
      <c r="D5" s="341">
        <v>4129</v>
      </c>
      <c r="E5" s="288"/>
      <c r="F5" s="288"/>
      <c r="G5" s="288"/>
      <c r="H5" s="288"/>
      <c r="I5" s="288"/>
    </row>
    <row r="6" spans="1:10" ht="22.9" customHeight="1">
      <c r="A6" s="9" t="s">
        <v>337</v>
      </c>
      <c r="B6" s="171">
        <f>SUM(C6:I6)</f>
        <v>238270</v>
      </c>
      <c r="C6" s="337">
        <v>238270</v>
      </c>
      <c r="D6" s="288"/>
      <c r="E6" s="288"/>
      <c r="F6" s="288"/>
      <c r="G6" s="288"/>
      <c r="H6" s="288"/>
      <c r="I6" s="288"/>
    </row>
    <row r="7" spans="1:10" ht="22.9" customHeight="1">
      <c r="A7" s="10" t="s">
        <v>338</v>
      </c>
      <c r="B7" s="171">
        <f>SUM(C7:I7)</f>
        <v>78541</v>
      </c>
      <c r="C7" s="337">
        <v>78541</v>
      </c>
      <c r="D7" s="288"/>
      <c r="E7" s="288"/>
      <c r="F7" s="288"/>
      <c r="G7" s="288"/>
      <c r="H7" s="288"/>
      <c r="I7" s="288"/>
    </row>
    <row r="8" spans="1:10" ht="22.9" customHeight="1">
      <c r="A8" s="10" t="s">
        <v>339</v>
      </c>
      <c r="B8" s="171">
        <f>SUM(C8:I8)</f>
        <v>74635</v>
      </c>
      <c r="C8" s="337">
        <v>74635</v>
      </c>
      <c r="D8" s="288"/>
      <c r="E8" s="288"/>
      <c r="F8" s="288"/>
      <c r="G8" s="288"/>
      <c r="H8" s="288"/>
      <c r="I8" s="288"/>
    </row>
    <row r="9" spans="1:10" ht="22.9" customHeight="1">
      <c r="A9" s="9" t="s">
        <v>340</v>
      </c>
      <c r="B9" s="171">
        <f>SUM(C9:I9)</f>
        <v>13169</v>
      </c>
      <c r="C9" s="337">
        <v>13169</v>
      </c>
      <c r="D9" s="288"/>
      <c r="E9" s="288"/>
      <c r="F9" s="288"/>
      <c r="G9" s="288"/>
      <c r="H9" s="288"/>
      <c r="I9" s="288"/>
    </row>
    <row r="10" spans="1:10" ht="22.9" customHeight="1">
      <c r="A10" s="8" t="s">
        <v>341</v>
      </c>
      <c r="B10" s="171">
        <f t="shared" ref="B10:G10" si="0">SUM(B11:B19)</f>
        <v>1703579</v>
      </c>
      <c r="C10" s="171">
        <f t="shared" si="0"/>
        <v>1998192</v>
      </c>
      <c r="D10" s="171">
        <f t="shared" si="0"/>
        <v>14129</v>
      </c>
      <c r="E10" s="171">
        <f t="shared" si="0"/>
        <v>-162261</v>
      </c>
      <c r="F10" s="171">
        <f t="shared" si="0"/>
        <v>0</v>
      </c>
      <c r="G10" s="171">
        <f t="shared" si="0"/>
        <v>-141971</v>
      </c>
      <c r="H10" s="171"/>
      <c r="I10" s="171">
        <f>SUM(I11:I19)</f>
        <v>-4510</v>
      </c>
      <c r="J10" s="47">
        <f>SUM(D10:I10)</f>
        <v>-294613</v>
      </c>
    </row>
    <row r="11" spans="1:10" ht="22.9" customHeight="1">
      <c r="A11" s="11" t="s">
        <v>342</v>
      </c>
      <c r="B11" s="171">
        <f>SUM(C11:I11)</f>
        <v>187103</v>
      </c>
      <c r="C11" s="337">
        <v>190524</v>
      </c>
      <c r="D11" s="120"/>
      <c r="E11" s="120"/>
      <c r="F11" s="288"/>
      <c r="G11" s="120">
        <v>-3421</v>
      </c>
      <c r="H11" s="288"/>
      <c r="I11" s="120"/>
      <c r="J11" s="47">
        <f>SUM(D11:I11)</f>
        <v>-3421</v>
      </c>
    </row>
    <row r="12" spans="1:10" ht="22.9" customHeight="1">
      <c r="A12" s="12" t="s">
        <v>343</v>
      </c>
      <c r="B12" s="171">
        <f t="shared" ref="B12:B19" si="1">SUM(C12:I12)</f>
        <v>311167</v>
      </c>
      <c r="C12" s="337">
        <v>311167</v>
      </c>
      <c r="D12" s="120"/>
      <c r="E12" s="120"/>
      <c r="F12" s="288"/>
      <c r="G12" s="120"/>
      <c r="H12" s="288"/>
      <c r="I12" s="120"/>
      <c r="J12" s="47">
        <f>SUM(D12:I12)</f>
        <v>0</v>
      </c>
    </row>
    <row r="13" spans="1:10" ht="22.9" customHeight="1">
      <c r="A13" s="12" t="s">
        <v>344</v>
      </c>
      <c r="B13" s="171">
        <f>SUM(C13:I13)</f>
        <v>297936</v>
      </c>
      <c r="C13" s="337">
        <v>390125</v>
      </c>
      <c r="D13" s="120"/>
      <c r="E13" s="120">
        <v>-49990</v>
      </c>
      <c r="F13" s="288"/>
      <c r="G13" s="120">
        <v>-42199</v>
      </c>
      <c r="H13" s="288"/>
      <c r="I13" s="120"/>
      <c r="J13" s="47">
        <f t="shared" ref="J13:J19" si="2">SUM(D13:I13)</f>
        <v>-92189</v>
      </c>
    </row>
    <row r="14" spans="1:10" ht="22.9" customHeight="1">
      <c r="A14" s="12" t="s">
        <v>345</v>
      </c>
      <c r="B14" s="171">
        <f>SUM(C14:I14)</f>
        <v>202683</v>
      </c>
      <c r="C14" s="337">
        <v>274113</v>
      </c>
      <c r="D14" s="120">
        <v>12729</v>
      </c>
      <c r="E14" s="120">
        <v>-34500</v>
      </c>
      <c r="F14" s="288"/>
      <c r="G14" s="120">
        <v>-45689</v>
      </c>
      <c r="H14" s="288"/>
      <c r="I14" s="120">
        <v>-3970</v>
      </c>
      <c r="J14" s="47">
        <f t="shared" si="2"/>
        <v>-71430</v>
      </c>
    </row>
    <row r="15" spans="1:10" ht="22.9" customHeight="1">
      <c r="A15" s="12" t="s">
        <v>346</v>
      </c>
      <c r="B15" s="171">
        <f t="shared" si="1"/>
        <v>416638</v>
      </c>
      <c r="C15" s="337">
        <v>467065</v>
      </c>
      <c r="D15" s="120"/>
      <c r="E15" s="120">
        <v>-34361</v>
      </c>
      <c r="F15" s="288"/>
      <c r="G15" s="120">
        <v>-16066</v>
      </c>
      <c r="H15" s="288"/>
      <c r="I15" s="120"/>
      <c r="J15" s="47">
        <f t="shared" si="2"/>
        <v>-50427</v>
      </c>
    </row>
    <row r="16" spans="1:10" ht="22.9" customHeight="1">
      <c r="A16" s="12" t="s">
        <v>347</v>
      </c>
      <c r="B16" s="171">
        <f t="shared" si="1"/>
        <v>4351</v>
      </c>
      <c r="C16" s="337">
        <v>18628</v>
      </c>
      <c r="D16" s="120">
        <v>1400</v>
      </c>
      <c r="E16" s="120"/>
      <c r="F16" s="288"/>
      <c r="G16" s="120">
        <v>-15137</v>
      </c>
      <c r="H16" s="288"/>
      <c r="I16" s="120">
        <v>-540</v>
      </c>
      <c r="J16" s="47">
        <f t="shared" si="2"/>
        <v>-14277</v>
      </c>
    </row>
    <row r="17" spans="1:10" ht="22.9" customHeight="1">
      <c r="A17" s="12" t="s">
        <v>348</v>
      </c>
      <c r="B17" s="171">
        <f t="shared" si="1"/>
        <v>147212</v>
      </c>
      <c r="C17" s="337">
        <v>147212</v>
      </c>
      <c r="D17" s="120"/>
      <c r="E17" s="120"/>
      <c r="F17" s="288"/>
      <c r="G17" s="120"/>
      <c r="H17" s="288"/>
      <c r="I17" s="120"/>
      <c r="J17" s="47">
        <f t="shared" si="2"/>
        <v>0</v>
      </c>
    </row>
    <row r="18" spans="1:10" ht="22.9" customHeight="1">
      <c r="A18" s="12" t="s">
        <v>349</v>
      </c>
      <c r="B18" s="171">
        <f t="shared" si="1"/>
        <v>123511</v>
      </c>
      <c r="C18" s="337">
        <v>123511</v>
      </c>
      <c r="D18" s="120"/>
      <c r="E18" s="120"/>
      <c r="F18" s="288"/>
      <c r="G18" s="120"/>
      <c r="H18" s="288"/>
      <c r="I18" s="120"/>
      <c r="J18" s="47">
        <f t="shared" si="2"/>
        <v>0</v>
      </c>
    </row>
    <row r="19" spans="1:10" ht="22.9" customHeight="1">
      <c r="A19" s="12" t="s">
        <v>350</v>
      </c>
      <c r="B19" s="171">
        <f t="shared" si="1"/>
        <v>12978</v>
      </c>
      <c r="C19" s="337">
        <v>75847</v>
      </c>
      <c r="D19" s="120"/>
      <c r="E19" s="120">
        <v>-43410</v>
      </c>
      <c r="F19" s="288"/>
      <c r="G19" s="120">
        <v>-19459</v>
      </c>
      <c r="H19" s="288"/>
      <c r="I19" s="120"/>
      <c r="J19" s="47">
        <f t="shared" si="2"/>
        <v>-62869</v>
      </c>
    </row>
    <row r="20" spans="1:10" ht="22.9" customHeight="1">
      <c r="A20" s="3" t="s">
        <v>351</v>
      </c>
      <c r="B20" s="171">
        <f>B4-B10</f>
        <v>145174</v>
      </c>
      <c r="C20" s="171">
        <f>C4-C10</f>
        <v>-153568</v>
      </c>
      <c r="D20" s="171">
        <f>D4-D10</f>
        <v>-10000</v>
      </c>
      <c r="E20" s="171">
        <f>E4-E10</f>
        <v>162261</v>
      </c>
      <c r="F20" s="171"/>
      <c r="G20" s="171">
        <f>G4-G10</f>
        <v>141971</v>
      </c>
      <c r="H20" s="171">
        <f>H4-H10</f>
        <v>0</v>
      </c>
      <c r="I20" s="171">
        <f>I4-I10</f>
        <v>4510</v>
      </c>
    </row>
    <row r="21" spans="1:10" ht="22.9" customHeight="1">
      <c r="E21" s="128"/>
    </row>
    <row r="22" spans="1:10" ht="22.9" customHeight="1">
      <c r="A22" s="4" t="s">
        <v>99</v>
      </c>
      <c r="B22" s="97">
        <f>C11-'中央104(法)'!C11</f>
        <v>11116</v>
      </c>
      <c r="C22" s="4" t="s">
        <v>26</v>
      </c>
      <c r="E22" s="128">
        <f>C5-'中央104(法)'!C5</f>
        <v>120604</v>
      </c>
      <c r="F22" s="181"/>
      <c r="H22" s="182"/>
    </row>
    <row r="23" spans="1:10" ht="22.9" customHeight="1">
      <c r="A23" s="4" t="s">
        <v>100</v>
      </c>
      <c r="B23" s="97">
        <f>C12-'中央104(法)'!C12</f>
        <v>5198</v>
      </c>
      <c r="C23" s="4" t="s">
        <v>27</v>
      </c>
      <c r="E23" s="128">
        <f>C6-'中央104(法)'!C6</f>
        <v>-16735</v>
      </c>
      <c r="F23" s="181"/>
      <c r="H23" s="182"/>
    </row>
    <row r="24" spans="1:10" ht="22.9" customHeight="1">
      <c r="A24" s="4" t="s">
        <v>101</v>
      </c>
      <c r="B24" s="97">
        <f>C13-'中央104(法)'!C13</f>
        <v>7262</v>
      </c>
      <c r="C24" s="4" t="s">
        <v>15</v>
      </c>
      <c r="E24" s="128">
        <f>C7-'中央104(法)'!C7</f>
        <v>-27133</v>
      </c>
      <c r="F24" s="181"/>
      <c r="H24" s="182"/>
    </row>
    <row r="25" spans="1:10" ht="22.9" customHeight="1">
      <c r="A25" s="4" t="s">
        <v>102</v>
      </c>
      <c r="B25" s="97">
        <f>C14-'中央104(法)'!C14</f>
        <v>14331</v>
      </c>
      <c r="C25" s="4" t="s">
        <v>18</v>
      </c>
      <c r="E25" s="128">
        <f>C8-'中央104(法)'!C8</f>
        <v>-12133</v>
      </c>
      <c r="F25" s="181"/>
      <c r="H25" s="182"/>
    </row>
    <row r="26" spans="1:10" ht="22.9" customHeight="1">
      <c r="A26" s="4" t="s">
        <v>103</v>
      </c>
      <c r="B26" s="97">
        <f>C15-'中央104(法)'!C15</f>
        <v>25866</v>
      </c>
      <c r="C26" s="4" t="s">
        <v>16</v>
      </c>
      <c r="E26" s="128">
        <f>C9-'中央104(法)'!C9</f>
        <v>3318</v>
      </c>
      <c r="F26" s="181"/>
      <c r="H26" s="182"/>
    </row>
    <row r="27" spans="1:10" ht="22.9" customHeight="1">
      <c r="A27" s="4" t="s">
        <v>104</v>
      </c>
      <c r="B27" s="97">
        <f>C16-'中央104(法)'!C16</f>
        <v>2111</v>
      </c>
      <c r="H27" s="182"/>
    </row>
    <row r="28" spans="1:10" ht="22.9" customHeight="1">
      <c r="A28" s="4" t="s">
        <v>105</v>
      </c>
      <c r="B28" s="97">
        <f>C17-'中央104(法)'!C17</f>
        <v>5605</v>
      </c>
      <c r="H28" s="182"/>
    </row>
    <row r="29" spans="1:10" ht="22.9" customHeight="1">
      <c r="A29" s="4" t="s">
        <v>106</v>
      </c>
      <c r="B29" s="97">
        <f>C18-'中央104(法)'!C18</f>
        <v>-3242</v>
      </c>
      <c r="H29" s="182"/>
    </row>
    <row r="30" spans="1:10" ht="22.9" customHeight="1">
      <c r="A30" s="4" t="s">
        <v>107</v>
      </c>
      <c r="B30" s="97">
        <f>C19-'中央104(法)'!C19</f>
        <v>-4690</v>
      </c>
      <c r="H30" s="182"/>
    </row>
    <row r="31" spans="1:10" ht="22.9" customHeight="1"/>
    <row r="32" spans="1:10" ht="22.9" customHeight="1">
      <c r="A32" s="4" t="s">
        <v>99</v>
      </c>
      <c r="B32" s="97">
        <f>B11-'中央104(法)'!B11</f>
        <v>11735</v>
      </c>
      <c r="C32" s="4" t="s">
        <v>26</v>
      </c>
      <c r="E32" s="128">
        <f>B5-'中央104(法)'!B5</f>
        <v>124733</v>
      </c>
      <c r="F32" s="181"/>
      <c r="H32" s="182"/>
    </row>
    <row r="33" spans="1:8" ht="22.9" customHeight="1">
      <c r="A33" s="4" t="s">
        <v>100</v>
      </c>
      <c r="B33" s="97">
        <f>B12-'中央104(法)'!B12</f>
        <v>5198</v>
      </c>
      <c r="C33" s="4" t="s">
        <v>27</v>
      </c>
      <c r="E33" s="128">
        <f>B6-'中央104(法)'!B6</f>
        <v>-16735</v>
      </c>
      <c r="F33" s="181"/>
      <c r="H33" s="182"/>
    </row>
    <row r="34" spans="1:8" ht="22.9" customHeight="1">
      <c r="A34" s="4" t="s">
        <v>101</v>
      </c>
      <c r="B34" s="97">
        <f>B13-'中央104(法)'!B13</f>
        <v>6498</v>
      </c>
      <c r="C34" s="4" t="s">
        <v>15</v>
      </c>
      <c r="E34" s="128">
        <f>B7-'中央104(法)'!B7</f>
        <v>-27133</v>
      </c>
      <c r="F34" s="181"/>
      <c r="H34" s="182"/>
    </row>
    <row r="35" spans="1:8" ht="22.9" customHeight="1">
      <c r="A35" s="4" t="s">
        <v>102</v>
      </c>
      <c r="B35" s="97">
        <f>B14-'中央104(法)'!B14</f>
        <v>11623</v>
      </c>
      <c r="C35" s="4" t="s">
        <v>18</v>
      </c>
      <c r="E35" s="128">
        <f>B8-'中央104(法)'!B8</f>
        <v>-12133</v>
      </c>
      <c r="F35" s="181"/>
      <c r="H35" s="182"/>
    </row>
    <row r="36" spans="1:8" ht="22.9" customHeight="1">
      <c r="A36" s="4" t="s">
        <v>103</v>
      </c>
      <c r="B36" s="97">
        <f>B15-'中央104(法)'!B15</f>
        <v>26691</v>
      </c>
      <c r="C36" s="4" t="s">
        <v>16</v>
      </c>
      <c r="E36" s="128">
        <f>B9-'中央104(法)'!B9</f>
        <v>3318</v>
      </c>
      <c r="F36" s="181"/>
      <c r="H36" s="182"/>
    </row>
    <row r="37" spans="1:8" ht="22.9" customHeight="1">
      <c r="A37" s="4" t="s">
        <v>104</v>
      </c>
      <c r="B37" s="97">
        <f>B16-'中央104(法)'!B16</f>
        <v>-318</v>
      </c>
      <c r="H37" s="182"/>
    </row>
    <row r="38" spans="1:8" ht="22.9" customHeight="1">
      <c r="A38" s="4" t="s">
        <v>105</v>
      </c>
      <c r="B38" s="97">
        <f>B17-'中央104(法)'!B17</f>
        <v>5605</v>
      </c>
      <c r="H38" s="182"/>
    </row>
    <row r="39" spans="1:8" ht="22.9" customHeight="1">
      <c r="A39" s="4" t="s">
        <v>106</v>
      </c>
      <c r="B39" s="97">
        <f>B18-'中央104(法)'!B18</f>
        <v>-3242</v>
      </c>
      <c r="H39" s="182"/>
    </row>
    <row r="40" spans="1:8" ht="22.9" customHeight="1">
      <c r="A40" s="4" t="s">
        <v>107</v>
      </c>
      <c r="B40" s="97">
        <f>B19-'中央104(法)'!B19</f>
        <v>763</v>
      </c>
      <c r="H40" s="182"/>
    </row>
    <row r="41" spans="1:8" ht="22.9" customHeight="1"/>
    <row r="42" spans="1:8" ht="22.9" customHeight="1"/>
    <row r="43" spans="1:8" ht="22.9" customHeight="1"/>
    <row r="44" spans="1:8" ht="22.9" customHeight="1"/>
    <row r="45" spans="1:8" ht="22.9" customHeight="1"/>
    <row r="46" spans="1:8" ht="22.9" customHeight="1"/>
    <row r="47" spans="1:8" ht="22.9" customHeight="1"/>
    <row r="48" spans="1:8" ht="22.9" customHeight="1"/>
    <row r="49" ht="22.9" customHeight="1"/>
    <row r="50" ht="22.9" customHeight="1"/>
    <row r="51" ht="22.9" customHeight="1"/>
    <row r="52" ht="22.9" customHeight="1"/>
    <row r="53" ht="22.9" customHeight="1"/>
    <row r="54" ht="22.9" customHeight="1"/>
    <row r="55" ht="22.9" customHeight="1"/>
    <row r="56" ht="22.9" customHeight="1"/>
    <row r="57" ht="22.9" customHeight="1"/>
  </sheetData>
  <phoneticPr fontId="5" type="noConversion"/>
  <pageMargins left="0.9055118110236221" right="0.31496062992125984" top="0.59055118110236227" bottom="0.47244094488188981" header="0.43307086614173229" footer="0.19685039370078741"/>
  <pageSetup paperSize="9" scale="70"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2">
    <tabColor indexed="22"/>
    <pageSetUpPr fitToPage="1"/>
  </sheetPr>
  <dimension ref="A1:K34"/>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3" width="14.375" style="45" customWidth="1"/>
    <col min="4" max="4" width="11.875" style="45" customWidth="1"/>
    <col min="5" max="6" width="10.75" style="45" customWidth="1"/>
    <col min="7" max="7" width="10.375" style="44" customWidth="1"/>
    <col min="8" max="9" width="8.75" style="44" customWidth="1"/>
    <col min="10" max="10" width="11.5" style="4" customWidth="1"/>
    <col min="11" max="11" width="11.375" style="4" bestFit="1" customWidth="1"/>
    <col min="12" max="16384" width="9.75" style="4"/>
  </cols>
  <sheetData>
    <row r="1" spans="1:11" ht="32.1" customHeight="1">
      <c r="A1" s="1" t="s">
        <v>773</v>
      </c>
      <c r="B1" s="1"/>
      <c r="C1" s="43"/>
      <c r="D1" s="43"/>
      <c r="E1" s="43"/>
      <c r="F1" s="43"/>
    </row>
    <row r="2" spans="1:11" ht="27" customHeight="1">
      <c r="C2" s="210" t="s">
        <v>779</v>
      </c>
      <c r="D2" s="51"/>
      <c r="E2" s="210" t="s">
        <v>816</v>
      </c>
      <c r="F2" s="164"/>
      <c r="G2" s="44" t="s">
        <v>300</v>
      </c>
      <c r="H2" s="218" t="s">
        <v>53</v>
      </c>
      <c r="I2" s="210" t="s">
        <v>779</v>
      </c>
    </row>
    <row r="3" spans="1:11" ht="42" customHeight="1">
      <c r="A3" s="7" t="s">
        <v>301</v>
      </c>
      <c r="B3" s="7" t="s">
        <v>302</v>
      </c>
      <c r="C3" s="174" t="s">
        <v>303</v>
      </c>
      <c r="D3" s="163" t="s">
        <v>304</v>
      </c>
      <c r="E3" s="175" t="s">
        <v>305</v>
      </c>
      <c r="F3" s="166" t="s">
        <v>306</v>
      </c>
      <c r="G3" s="167" t="s">
        <v>307</v>
      </c>
      <c r="H3" s="176" t="s">
        <v>308</v>
      </c>
      <c r="I3" s="177" t="s">
        <v>526</v>
      </c>
      <c r="J3" s="169" t="s">
        <v>846</v>
      </c>
      <c r="K3" s="4" t="s">
        <v>554</v>
      </c>
    </row>
    <row r="4" spans="1:11" ht="23.1" customHeight="1">
      <c r="A4" s="8" t="s">
        <v>309</v>
      </c>
      <c r="B4" s="121">
        <f t="shared" ref="B4:I4" si="0">SUM(B5:B9)</f>
        <v>526493</v>
      </c>
      <c r="C4" s="121">
        <f>SUM(C5:C9)</f>
        <v>660111</v>
      </c>
      <c r="D4" s="121">
        <f t="shared" si="0"/>
        <v>19000</v>
      </c>
      <c r="E4" s="121">
        <f t="shared" si="0"/>
        <v>-60129</v>
      </c>
      <c r="F4" s="121">
        <f t="shared" si="0"/>
        <v>0</v>
      </c>
      <c r="G4" s="121">
        <f t="shared" si="0"/>
        <v>0</v>
      </c>
      <c r="H4" s="121">
        <f t="shared" si="0"/>
        <v>-90647</v>
      </c>
      <c r="I4" s="121">
        <f t="shared" si="0"/>
        <v>-1842</v>
      </c>
      <c r="J4" s="225">
        <f>B4-'直轄市104(法)'!B4</f>
        <v>9118</v>
      </c>
      <c r="K4" s="226">
        <f>C4+D4</f>
        <v>679111</v>
      </c>
    </row>
    <row r="5" spans="1:11" ht="23.1" customHeight="1">
      <c r="A5" s="10" t="s">
        <v>310</v>
      </c>
      <c r="B5" s="121">
        <f>SUM(C5:I5)</f>
        <v>428849</v>
      </c>
      <c r="C5" s="170">
        <v>418849</v>
      </c>
      <c r="D5" s="282">
        <v>10000</v>
      </c>
      <c r="E5" s="285">
        <v>0</v>
      </c>
      <c r="F5" s="285"/>
      <c r="G5" s="285"/>
      <c r="H5" s="285"/>
      <c r="I5" s="285"/>
      <c r="J5" s="225">
        <f>B5-'直轄市104(法)'!B5</f>
        <v>14087</v>
      </c>
      <c r="K5" s="225">
        <f t="shared" ref="K5:K20" si="1">C5+D5</f>
        <v>428849</v>
      </c>
    </row>
    <row r="6" spans="1:11" ht="23.1" customHeight="1">
      <c r="A6" s="9" t="s">
        <v>311</v>
      </c>
      <c r="B6" s="121">
        <f>SUM(C6:I6)</f>
        <v>19986</v>
      </c>
      <c r="C6" s="170">
        <v>19986</v>
      </c>
      <c r="D6" s="286"/>
      <c r="E6" s="285">
        <v>0</v>
      </c>
      <c r="F6" s="285"/>
      <c r="G6" s="285"/>
      <c r="H6" s="285"/>
      <c r="I6" s="285"/>
      <c r="J6" s="225">
        <f>B6-'直轄市104(法)'!B6</f>
        <v>3082</v>
      </c>
      <c r="K6" s="225">
        <f t="shared" si="1"/>
        <v>19986</v>
      </c>
    </row>
    <row r="7" spans="1:11" ht="23.1" customHeight="1">
      <c r="A7" s="10" t="s">
        <v>312</v>
      </c>
      <c r="B7" s="121">
        <f>SUM(C7:I7)</f>
        <v>36614</v>
      </c>
      <c r="C7" s="170">
        <v>36614</v>
      </c>
      <c r="D7" s="286"/>
      <c r="E7" s="285">
        <v>0</v>
      </c>
      <c r="F7" s="285"/>
      <c r="G7" s="285"/>
      <c r="H7" s="285"/>
      <c r="I7" s="285"/>
      <c r="J7" s="225">
        <f>B7-'直轄市104(法)'!B7</f>
        <v>-2756</v>
      </c>
      <c r="K7" s="225">
        <f t="shared" si="1"/>
        <v>36614</v>
      </c>
    </row>
    <row r="8" spans="1:11" ht="23.1" customHeight="1">
      <c r="A8" s="10" t="s">
        <v>313</v>
      </c>
      <c r="B8" s="121">
        <f>SUM(C8:I8)</f>
        <v>28922</v>
      </c>
      <c r="C8" s="170">
        <v>28922</v>
      </c>
      <c r="D8" s="286"/>
      <c r="E8" s="285">
        <v>0</v>
      </c>
      <c r="F8" s="285"/>
      <c r="G8" s="285"/>
      <c r="H8" s="285"/>
      <c r="I8" s="285"/>
      <c r="J8" s="225">
        <f>B8-'直轄市104(法)'!B8</f>
        <v>-5262</v>
      </c>
      <c r="K8" s="225">
        <f t="shared" si="1"/>
        <v>28922</v>
      </c>
    </row>
    <row r="9" spans="1:11" ht="23.1" customHeight="1">
      <c r="A9" s="9" t="s">
        <v>314</v>
      </c>
      <c r="B9" s="121">
        <f>SUM(C9:I9)</f>
        <v>12122</v>
      </c>
      <c r="C9" s="170">
        <v>155740</v>
      </c>
      <c r="D9" s="281">
        <v>9000</v>
      </c>
      <c r="E9" s="170">
        <v>-60129</v>
      </c>
      <c r="F9" s="285"/>
      <c r="G9" s="285"/>
      <c r="H9" s="170">
        <v>-90647</v>
      </c>
      <c r="I9" s="170">
        <v>-1842</v>
      </c>
      <c r="J9" s="225">
        <f>B9-'直轄市104(法)'!B9</f>
        <v>-33</v>
      </c>
      <c r="K9" s="225">
        <f t="shared" si="1"/>
        <v>164740</v>
      </c>
    </row>
    <row r="10" spans="1:11" ht="23.1" customHeight="1">
      <c r="A10" s="8" t="s">
        <v>315</v>
      </c>
      <c r="B10" s="121">
        <f>SUM(B11:B19)</f>
        <v>746705</v>
      </c>
      <c r="C10" s="121">
        <f>SUM(C11:C19)</f>
        <v>732705</v>
      </c>
      <c r="D10" s="121">
        <f>SUM(D11:D19)</f>
        <v>14000</v>
      </c>
      <c r="E10" s="121">
        <f>SUM(E11:E19)</f>
        <v>0</v>
      </c>
      <c r="F10" s="121"/>
      <c r="G10" s="121">
        <f>SUM(G11:G19)</f>
        <v>0</v>
      </c>
      <c r="H10" s="121">
        <f>SUM(H11:H19)</f>
        <v>0</v>
      </c>
      <c r="I10" s="121"/>
      <c r="J10" s="225"/>
      <c r="K10" s="226">
        <f t="shared" si="1"/>
        <v>746705</v>
      </c>
    </row>
    <row r="11" spans="1:11" ht="23.1" customHeight="1">
      <c r="A11" s="11" t="s">
        <v>316</v>
      </c>
      <c r="B11" s="121">
        <f t="shared" ref="B11:B19" si="2">SUM(C11:I11)</f>
        <v>134695</v>
      </c>
      <c r="C11" s="170">
        <v>133695</v>
      </c>
      <c r="D11" s="282">
        <v>1000</v>
      </c>
      <c r="E11" s="285"/>
      <c r="F11" s="285"/>
      <c r="G11" s="285"/>
      <c r="H11" s="285"/>
      <c r="I11" s="285"/>
      <c r="J11" s="225">
        <f>B11-'直轄市104(法)'!B11</f>
        <v>-1855</v>
      </c>
      <c r="K11" s="225">
        <f t="shared" si="1"/>
        <v>134695</v>
      </c>
    </row>
    <row r="12" spans="1:11" ht="23.1" customHeight="1">
      <c r="A12" s="12" t="s">
        <v>317</v>
      </c>
      <c r="B12" s="121">
        <f t="shared" si="2"/>
        <v>0</v>
      </c>
      <c r="C12" s="170">
        <v>0</v>
      </c>
      <c r="D12" s="286"/>
      <c r="E12" s="285"/>
      <c r="F12" s="285"/>
      <c r="G12" s="285"/>
      <c r="H12" s="285"/>
      <c r="I12" s="285"/>
      <c r="J12" s="225">
        <f>B12-'直轄市104(法)'!B12</f>
        <v>0</v>
      </c>
      <c r="K12" s="225">
        <f t="shared" si="1"/>
        <v>0</v>
      </c>
    </row>
    <row r="13" spans="1:11" ht="23.1" customHeight="1">
      <c r="A13" s="12" t="s">
        <v>318</v>
      </c>
      <c r="B13" s="121">
        <f t="shared" si="2"/>
        <v>256858</v>
      </c>
      <c r="C13" s="170">
        <v>256858</v>
      </c>
      <c r="D13" s="286"/>
      <c r="E13" s="285"/>
      <c r="F13" s="285"/>
      <c r="G13" s="285"/>
      <c r="H13" s="285"/>
      <c r="I13" s="285"/>
      <c r="J13" s="225">
        <f>B13-'直轄市104(法)'!B13</f>
        <v>3862</v>
      </c>
      <c r="K13" s="225">
        <f t="shared" si="1"/>
        <v>256858</v>
      </c>
    </row>
    <row r="14" spans="1:11" ht="23.1" customHeight="1">
      <c r="A14" s="12" t="s">
        <v>319</v>
      </c>
      <c r="B14" s="121">
        <f t="shared" si="2"/>
        <v>128339</v>
      </c>
      <c r="C14" s="170">
        <v>126339</v>
      </c>
      <c r="D14" s="282">
        <v>2000</v>
      </c>
      <c r="E14" s="285"/>
      <c r="F14" s="285"/>
      <c r="G14" s="285"/>
      <c r="H14" s="285"/>
      <c r="I14" s="285"/>
      <c r="J14" s="225">
        <f>B14-'直轄市104(法)'!B14</f>
        <v>3861</v>
      </c>
      <c r="K14" s="225">
        <f t="shared" si="1"/>
        <v>128339</v>
      </c>
    </row>
    <row r="15" spans="1:11" ht="23.1" customHeight="1">
      <c r="A15" s="12" t="s">
        <v>320</v>
      </c>
      <c r="B15" s="121">
        <f t="shared" si="2"/>
        <v>111941</v>
      </c>
      <c r="C15" s="170">
        <v>102941</v>
      </c>
      <c r="D15" s="286">
        <v>9000</v>
      </c>
      <c r="E15" s="285"/>
      <c r="F15" s="285"/>
      <c r="G15" s="285"/>
      <c r="H15" s="285"/>
      <c r="I15" s="285"/>
      <c r="J15" s="225">
        <f>B15-'直轄市104(法)'!B15</f>
        <v>2071</v>
      </c>
      <c r="K15" s="225">
        <f t="shared" si="1"/>
        <v>111941</v>
      </c>
    </row>
    <row r="16" spans="1:11" ht="23.1" customHeight="1">
      <c r="A16" s="12" t="s">
        <v>321</v>
      </c>
      <c r="B16" s="121">
        <f t="shared" si="2"/>
        <v>55152</v>
      </c>
      <c r="C16" s="170">
        <v>55152</v>
      </c>
      <c r="D16" s="286"/>
      <c r="E16" s="285"/>
      <c r="F16" s="285"/>
      <c r="G16" s="285"/>
      <c r="H16" s="285"/>
      <c r="I16" s="285"/>
      <c r="J16" s="225">
        <f>B16-'直轄市104(法)'!B16</f>
        <v>4259</v>
      </c>
      <c r="K16" s="225">
        <f t="shared" si="1"/>
        <v>55152</v>
      </c>
    </row>
    <row r="17" spans="1:11" ht="23.1" customHeight="1">
      <c r="A17" s="12" t="s">
        <v>322</v>
      </c>
      <c r="B17" s="121">
        <f t="shared" si="2"/>
        <v>37255</v>
      </c>
      <c r="C17" s="170">
        <v>37255</v>
      </c>
      <c r="D17" s="286"/>
      <c r="E17" s="285"/>
      <c r="F17" s="285"/>
      <c r="G17" s="285"/>
      <c r="H17" s="285"/>
      <c r="I17" s="285"/>
      <c r="J17" s="225">
        <f>B17-'直轄市104(法)'!B17</f>
        <v>-6542</v>
      </c>
      <c r="K17" s="225">
        <f t="shared" si="1"/>
        <v>37255</v>
      </c>
    </row>
    <row r="18" spans="1:11" ht="23.1" customHeight="1">
      <c r="A18" s="12" t="s">
        <v>323</v>
      </c>
      <c r="B18" s="121">
        <f t="shared" si="2"/>
        <v>8046</v>
      </c>
      <c r="C18" s="170">
        <v>8046</v>
      </c>
      <c r="D18" s="286"/>
      <c r="E18" s="285"/>
      <c r="F18" s="285"/>
      <c r="G18" s="285"/>
      <c r="H18" s="285"/>
      <c r="I18" s="285"/>
      <c r="J18" s="225">
        <f>B18-'直轄市104(法)'!B18</f>
        <v>493</v>
      </c>
      <c r="K18" s="225">
        <f t="shared" si="1"/>
        <v>8046</v>
      </c>
    </row>
    <row r="19" spans="1:11" ht="23.1" customHeight="1">
      <c r="A19" s="12" t="s">
        <v>324</v>
      </c>
      <c r="B19" s="121">
        <f t="shared" si="2"/>
        <v>14419</v>
      </c>
      <c r="C19" s="170">
        <v>12419</v>
      </c>
      <c r="D19" s="287">
        <v>2000</v>
      </c>
      <c r="E19" s="285"/>
      <c r="F19" s="285"/>
      <c r="G19" s="285"/>
      <c r="H19" s="285"/>
      <c r="I19" s="285"/>
      <c r="J19" s="225">
        <f>B19-'直轄市104(法)'!B19</f>
        <v>-388</v>
      </c>
      <c r="K19" s="225">
        <f t="shared" si="1"/>
        <v>14419</v>
      </c>
    </row>
    <row r="20" spans="1:11" ht="23.1" customHeight="1">
      <c r="A20" s="3" t="s">
        <v>325</v>
      </c>
      <c r="B20" s="121">
        <f>B4-B10</f>
        <v>-220212</v>
      </c>
      <c r="C20" s="121">
        <f>C4-C10</f>
        <v>-72594</v>
      </c>
      <c r="D20" s="178">
        <f>D4-D10</f>
        <v>5000</v>
      </c>
      <c r="E20" s="121">
        <f>E4-E10</f>
        <v>-60129</v>
      </c>
      <c r="F20" s="121"/>
      <c r="G20" s="121">
        <f>G4-G10</f>
        <v>0</v>
      </c>
      <c r="H20" s="121">
        <f>H4-H10</f>
        <v>-90647</v>
      </c>
      <c r="I20" s="121"/>
      <c r="J20" s="225">
        <f>B20-'直轄市104(法)'!B20</f>
        <v>3357</v>
      </c>
      <c r="K20" s="225">
        <f t="shared" si="1"/>
        <v>-67594</v>
      </c>
    </row>
    <row r="21" spans="1:11" ht="23.1" customHeight="1">
      <c r="C21" s="339">
        <f>C20+D20</f>
        <v>-67594</v>
      </c>
    </row>
    <row r="22" spans="1:11" ht="23.1" customHeight="1">
      <c r="C22" s="45" t="s">
        <v>845</v>
      </c>
      <c r="D22" s="339">
        <f>5100-8100</f>
        <v>-3000</v>
      </c>
    </row>
    <row r="23" spans="1:11" ht="23.1" customHeight="1">
      <c r="C23" s="339">
        <f>C21-D22</f>
        <v>-64594</v>
      </c>
    </row>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sheetData>
  <phoneticPr fontId="5" type="noConversion"/>
  <pageMargins left="0.9055118110236221" right="0.31496062992125984" top="0.78740157480314965" bottom="0.94488188976377963" header="0.43307086614173229" footer="0.19685039370078741"/>
  <pageSetup paperSize="9" scale="6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AO427"/>
  <sheetViews>
    <sheetView view="pageBreakPreview" zoomScale="85" zoomScaleNormal="75" zoomScaleSheetLayoutView="85" workbookViewId="0">
      <pane xSplit="3" ySplit="6" topLeftCell="D128"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outlineLevelCol="1"/>
  <cols>
    <col min="1" max="2" width="11.5" style="345" customWidth="1"/>
    <col min="3" max="3" width="41.125" style="345" customWidth="1"/>
    <col min="4" max="4" width="7.875" style="345" customWidth="1"/>
    <col min="5" max="5" width="12.625" style="345" bestFit="1" customWidth="1"/>
    <col min="6" max="6" width="13.375" style="345" customWidth="1" outlineLevel="1"/>
    <col min="7" max="7" width="12.125" style="345" customWidth="1" outlineLevel="1"/>
    <col min="8" max="8" width="10.875" style="345" customWidth="1"/>
    <col min="9" max="9" width="12.25" style="345" customWidth="1" outlineLevel="1"/>
    <col min="10" max="10" width="12.125" style="345" customWidth="1" outlineLevel="1"/>
    <col min="11" max="11" width="11.125" style="345" customWidth="1" outlineLevel="1"/>
    <col min="12" max="12" width="11.75" style="345" customWidth="1" outlineLevel="1"/>
    <col min="13" max="13" width="10.875" style="345" customWidth="1" outlineLevel="1"/>
    <col min="14" max="14" width="11.875" style="345" customWidth="1" outlineLevel="1"/>
    <col min="15" max="15" width="10.875" style="345" customWidth="1" outlineLevel="1"/>
    <col min="16" max="16" width="11.5" style="345" customWidth="1"/>
    <col min="17" max="17" width="10.625" style="345" customWidth="1" outlineLevel="1"/>
    <col min="18" max="21" width="10.5" style="345" customWidth="1" outlineLevel="1"/>
    <col min="22" max="22" width="10.5" style="383" customWidth="1" outlineLevel="1"/>
    <col min="23" max="23" width="10.5" style="349" customWidth="1" outlineLevel="1"/>
    <col min="24" max="26" width="10.5" style="345" customWidth="1" outlineLevel="1"/>
    <col min="27" max="27" width="10.125" style="345" customWidth="1" outlineLevel="1"/>
    <col min="28" max="29" width="10.5" style="345" customWidth="1" outlineLevel="1"/>
    <col min="30" max="30" width="9.875" style="345" customWidth="1" outlineLevel="1"/>
    <col min="31" max="31" width="10.5" style="345" customWidth="1" outlineLevel="1"/>
    <col min="32" max="32" width="10.5" style="345" bestFit="1" customWidth="1"/>
    <col min="33" max="33" width="10.125" style="345" customWidth="1" outlineLevel="1"/>
    <col min="34" max="34" width="10.625" style="345" customWidth="1" outlineLevel="1"/>
    <col min="35" max="35" width="10.125" style="345" bestFit="1" customWidth="1"/>
    <col min="36" max="16384" width="14.75" style="345"/>
  </cols>
  <sheetData>
    <row r="1" spans="1:37">
      <c r="E1" s="439"/>
      <c r="H1" s="439"/>
      <c r="I1" s="507"/>
      <c r="P1" s="439"/>
      <c r="Q1" s="439">
        <f>(P6+AF6)/1000</f>
        <v>49567.826999999997</v>
      </c>
    </row>
    <row r="2" spans="1:37" s="342" customFormat="1" ht="42.6" customHeight="1">
      <c r="B2" s="343"/>
      <c r="C2" s="343"/>
      <c r="D2" s="998" t="s">
        <v>2018</v>
      </c>
      <c r="E2" s="998"/>
      <c r="F2" s="998"/>
      <c r="G2" s="998"/>
      <c r="H2" s="998"/>
      <c r="I2" s="998"/>
      <c r="J2" s="998"/>
      <c r="K2" s="998"/>
      <c r="L2" s="998"/>
      <c r="M2" s="998"/>
      <c r="N2" s="998"/>
      <c r="O2" s="998"/>
      <c r="P2" s="998"/>
      <c r="Q2" s="998"/>
      <c r="R2" s="998"/>
      <c r="S2" s="987" t="s">
        <v>2019</v>
      </c>
      <c r="T2" s="987"/>
      <c r="U2" s="987"/>
      <c r="V2" s="987"/>
      <c r="W2" s="987"/>
      <c r="X2" s="987"/>
      <c r="Y2" s="987"/>
      <c r="Z2" s="987"/>
      <c r="AA2" s="987"/>
      <c r="AB2" s="987"/>
      <c r="AC2" s="987"/>
      <c r="AD2" s="987"/>
      <c r="AE2" s="987"/>
      <c r="AF2" s="987"/>
      <c r="AG2" s="987"/>
      <c r="AH2" s="987"/>
    </row>
    <row r="3" spans="1:37" ht="28.9" customHeight="1">
      <c r="A3" s="344"/>
      <c r="R3" s="346" t="s">
        <v>1179</v>
      </c>
      <c r="U3" s="347"/>
      <c r="V3" s="348"/>
      <c r="AF3" s="439">
        <f>AF8+AF16+AF44</f>
        <v>1830</v>
      </c>
      <c r="AH3" s="346" t="s">
        <v>1179</v>
      </c>
    </row>
    <row r="4" spans="1:37" s="354" customFormat="1" ht="35.1" customHeight="1">
      <c r="A4" s="994" t="s">
        <v>1180</v>
      </c>
      <c r="B4" s="994" t="s">
        <v>1181</v>
      </c>
      <c r="C4" s="994" t="s">
        <v>1182</v>
      </c>
      <c r="D4" s="996" t="s">
        <v>1183</v>
      </c>
      <c r="E4" s="351" t="s">
        <v>1184</v>
      </c>
      <c r="F4" s="352"/>
      <c r="G4" s="353"/>
      <c r="H4" s="991" t="s">
        <v>1185</v>
      </c>
      <c r="I4" s="992"/>
      <c r="J4" s="992"/>
      <c r="K4" s="992"/>
      <c r="L4" s="992"/>
      <c r="M4" s="992"/>
      <c r="N4" s="992"/>
      <c r="O4" s="993"/>
      <c r="P4" s="991" t="s">
        <v>1186</v>
      </c>
      <c r="Q4" s="992"/>
      <c r="R4" s="993"/>
      <c r="S4" s="988" t="s">
        <v>1187</v>
      </c>
      <c r="T4" s="989"/>
      <c r="U4" s="989"/>
      <c r="V4" s="989"/>
      <c r="W4" s="989"/>
      <c r="X4" s="989"/>
      <c r="Y4" s="989"/>
      <c r="Z4" s="989"/>
      <c r="AA4" s="989"/>
      <c r="AB4" s="989"/>
      <c r="AC4" s="989"/>
      <c r="AD4" s="989"/>
      <c r="AE4" s="990"/>
      <c r="AF4" s="991" t="s">
        <v>1188</v>
      </c>
      <c r="AG4" s="992"/>
      <c r="AH4" s="993"/>
      <c r="AI4" s="354" t="s">
        <v>1189</v>
      </c>
      <c r="AJ4" s="495" t="s">
        <v>1190</v>
      </c>
    </row>
    <row r="5" spans="1:37" s="354" customFormat="1" ht="35.1" customHeight="1">
      <c r="A5" s="995"/>
      <c r="B5" s="995"/>
      <c r="C5" s="995"/>
      <c r="D5" s="997"/>
      <c r="E5" s="355"/>
      <c r="F5" s="356" t="s">
        <v>1191</v>
      </c>
      <c r="G5" s="356" t="s">
        <v>1192</v>
      </c>
      <c r="H5" s="357"/>
      <c r="I5" s="350" t="s">
        <v>1298</v>
      </c>
      <c r="J5" s="350" t="s">
        <v>1299</v>
      </c>
      <c r="K5" s="350" t="s">
        <v>1300</v>
      </c>
      <c r="L5" s="350" t="s">
        <v>1193</v>
      </c>
      <c r="M5" s="350" t="s">
        <v>1194</v>
      </c>
      <c r="N5" s="350" t="s">
        <v>1195</v>
      </c>
      <c r="O5" s="356" t="s">
        <v>1196</v>
      </c>
      <c r="P5" s="355"/>
      <c r="Q5" s="358" t="s">
        <v>1197</v>
      </c>
      <c r="R5" s="350" t="s">
        <v>56</v>
      </c>
      <c r="S5" s="359" t="s">
        <v>57</v>
      </c>
      <c r="T5" s="359" t="s">
        <v>58</v>
      </c>
      <c r="U5" s="359" t="s">
        <v>59</v>
      </c>
      <c r="V5" s="359" t="s">
        <v>60</v>
      </c>
      <c r="W5" s="359" t="s">
        <v>61</v>
      </c>
      <c r="X5" s="359" t="s">
        <v>62</v>
      </c>
      <c r="Y5" s="359" t="s">
        <v>1198</v>
      </c>
      <c r="Z5" s="359" t="s">
        <v>64</v>
      </c>
      <c r="AA5" s="359" t="s">
        <v>65</v>
      </c>
      <c r="AB5" s="359" t="s">
        <v>66</v>
      </c>
      <c r="AC5" s="359" t="s">
        <v>67</v>
      </c>
      <c r="AD5" s="359" t="s">
        <v>68</v>
      </c>
      <c r="AE5" s="357" t="s">
        <v>1196</v>
      </c>
      <c r="AF5" s="360"/>
      <c r="AG5" s="350" t="s">
        <v>1199</v>
      </c>
      <c r="AH5" s="350" t="s">
        <v>1200</v>
      </c>
    </row>
    <row r="6" spans="1:37" s="404" customFormat="1" ht="26.1" customHeight="1">
      <c r="A6" s="419" t="s">
        <v>1201</v>
      </c>
      <c r="B6" s="420"/>
      <c r="C6" s="421"/>
      <c r="D6" s="422"/>
      <c r="E6" s="402">
        <f t="shared" ref="E6:AH6" si="0">E8+E16+E44+E59+E105+E113+E164+E175+E188+E215+E219+E304+E337+E341+E362</f>
        <v>132258637</v>
      </c>
      <c r="F6" s="402">
        <f>F8+F16+F44+F59+F105+F113+F164+F175+F188+F215+F219+F304+F337+F341+F362</f>
        <v>78562420</v>
      </c>
      <c r="G6" s="402">
        <f t="shared" si="0"/>
        <v>53696217</v>
      </c>
      <c r="H6" s="402">
        <f t="shared" si="0"/>
        <v>82690810</v>
      </c>
      <c r="I6" s="402">
        <f t="shared" si="0"/>
        <v>14717487.199999999</v>
      </c>
      <c r="J6" s="402">
        <f t="shared" si="0"/>
        <v>13273705</v>
      </c>
      <c r="K6" s="402">
        <f t="shared" si="0"/>
        <v>7702252.7999999998</v>
      </c>
      <c r="L6" s="402">
        <f t="shared" si="0"/>
        <v>16452096</v>
      </c>
      <c r="M6" s="402">
        <f t="shared" si="0"/>
        <v>6458051</v>
      </c>
      <c r="N6" s="402">
        <f t="shared" si="0"/>
        <v>16151879</v>
      </c>
      <c r="O6" s="402">
        <f t="shared" si="0"/>
        <v>7935339</v>
      </c>
      <c r="P6" s="402">
        <f t="shared" si="0"/>
        <v>45814161</v>
      </c>
      <c r="Q6" s="402">
        <f t="shared" si="0"/>
        <v>2491793</v>
      </c>
      <c r="R6" s="402">
        <f t="shared" si="0"/>
        <v>2510267</v>
      </c>
      <c r="S6" s="402">
        <f t="shared" si="0"/>
        <v>3100125</v>
      </c>
      <c r="T6" s="402">
        <f t="shared" si="0"/>
        <v>4423731</v>
      </c>
      <c r="U6" s="402">
        <f t="shared" si="0"/>
        <v>2733968</v>
      </c>
      <c r="V6" s="402">
        <f t="shared" si="0"/>
        <v>2877613</v>
      </c>
      <c r="W6" s="402">
        <f t="shared" si="0"/>
        <v>2244224</v>
      </c>
      <c r="X6" s="402">
        <f t="shared" si="0"/>
        <v>3863349</v>
      </c>
      <c r="Y6" s="402">
        <f t="shared" si="0"/>
        <v>2974449</v>
      </c>
      <c r="Z6" s="402">
        <f t="shared" si="0"/>
        <v>2800051</v>
      </c>
      <c r="AA6" s="402">
        <f t="shared" si="0"/>
        <v>1383350</v>
      </c>
      <c r="AB6" s="402">
        <f t="shared" si="0"/>
        <v>1495760</v>
      </c>
      <c r="AC6" s="402">
        <f t="shared" si="0"/>
        <v>1737802</v>
      </c>
      <c r="AD6" s="402">
        <f t="shared" si="0"/>
        <v>1510781</v>
      </c>
      <c r="AE6" s="402">
        <f t="shared" si="0"/>
        <v>9666898</v>
      </c>
      <c r="AF6" s="402">
        <f t="shared" si="0"/>
        <v>3753666</v>
      </c>
      <c r="AG6" s="402">
        <f t="shared" si="0"/>
        <v>2443779</v>
      </c>
      <c r="AH6" s="402">
        <f t="shared" si="0"/>
        <v>1309887</v>
      </c>
      <c r="AI6" s="387">
        <f t="shared" ref="AI6:AI69" si="1">IF(AND(+F6+G6=E6,AF6+P6+H6=E6,SUM(I6:O6,Q6:AE6,AG6:AH6)=E6),0,FALSE)</f>
        <v>0</v>
      </c>
      <c r="AJ6" s="496"/>
      <c r="AK6" s="404" t="s">
        <v>1245</v>
      </c>
    </row>
    <row r="7" spans="1:37" s="363" customFormat="1" ht="24" customHeight="1">
      <c r="A7" s="388" t="s">
        <v>1202</v>
      </c>
      <c r="B7" s="389"/>
      <c r="C7" s="390"/>
      <c r="D7" s="391"/>
      <c r="E7" s="392">
        <f t="shared" ref="E7:AH7" si="2">E8+E16+E44+E59+E113+E164+E175+E188+E215+E219+E304+E337+E341+E362+E106+E108+E111+E112</f>
        <v>122636237</v>
      </c>
      <c r="F7" s="392">
        <f t="shared" si="2"/>
        <v>68940020</v>
      </c>
      <c r="G7" s="392">
        <f t="shared" si="2"/>
        <v>53696217</v>
      </c>
      <c r="H7" s="392">
        <f t="shared" si="2"/>
        <v>76368428</v>
      </c>
      <c r="I7" s="392">
        <f t="shared" si="2"/>
        <v>13543191.199999999</v>
      </c>
      <c r="J7" s="392">
        <f t="shared" si="2"/>
        <v>11694756</v>
      </c>
      <c r="K7" s="392">
        <f t="shared" si="2"/>
        <v>6956519.7999999998</v>
      </c>
      <c r="L7" s="392">
        <f t="shared" si="2"/>
        <v>15475112</v>
      </c>
      <c r="M7" s="392">
        <f t="shared" si="2"/>
        <v>5718575</v>
      </c>
      <c r="N7" s="392">
        <f t="shared" si="2"/>
        <v>15044935</v>
      </c>
      <c r="O7" s="392">
        <f t="shared" si="2"/>
        <v>7935339</v>
      </c>
      <c r="P7" s="392">
        <f t="shared" si="2"/>
        <v>42617245</v>
      </c>
      <c r="Q7" s="392">
        <f t="shared" si="2"/>
        <v>2320916</v>
      </c>
      <c r="R7" s="392">
        <f t="shared" si="2"/>
        <v>2309238</v>
      </c>
      <c r="S7" s="392">
        <f t="shared" si="2"/>
        <v>2856812</v>
      </c>
      <c r="T7" s="392">
        <f t="shared" si="2"/>
        <v>3994581</v>
      </c>
      <c r="U7" s="392">
        <f t="shared" si="2"/>
        <v>2462638</v>
      </c>
      <c r="V7" s="392">
        <f t="shared" si="2"/>
        <v>2543496</v>
      </c>
      <c r="W7" s="392">
        <f t="shared" si="2"/>
        <v>1983253</v>
      </c>
      <c r="X7" s="392">
        <f t="shared" si="2"/>
        <v>3458100</v>
      </c>
      <c r="Y7" s="392">
        <f t="shared" si="2"/>
        <v>2775753</v>
      </c>
      <c r="Z7" s="392">
        <f t="shared" si="2"/>
        <v>2596393</v>
      </c>
      <c r="AA7" s="392">
        <f t="shared" si="2"/>
        <v>1285643</v>
      </c>
      <c r="AB7" s="392">
        <f t="shared" si="2"/>
        <v>1352706</v>
      </c>
      <c r="AC7" s="392">
        <f t="shared" si="2"/>
        <v>1591068</v>
      </c>
      <c r="AD7" s="392">
        <f t="shared" si="2"/>
        <v>1419750</v>
      </c>
      <c r="AE7" s="392">
        <f t="shared" si="2"/>
        <v>9666898</v>
      </c>
      <c r="AF7" s="392">
        <f t="shared" si="2"/>
        <v>3650564</v>
      </c>
      <c r="AG7" s="392">
        <f t="shared" si="2"/>
        <v>2365868</v>
      </c>
      <c r="AH7" s="392">
        <f t="shared" si="2"/>
        <v>1284696</v>
      </c>
      <c r="AI7" s="387">
        <f t="shared" si="1"/>
        <v>0</v>
      </c>
      <c r="AJ7" s="496"/>
    </row>
    <row r="8" spans="1:37" s="515" customFormat="1" ht="24" customHeight="1">
      <c r="A8" s="510" t="s">
        <v>943</v>
      </c>
      <c r="B8" s="511"/>
      <c r="C8" s="512"/>
      <c r="D8" s="513"/>
      <c r="E8" s="514">
        <f>SUM(E9:E15)</f>
        <v>17610</v>
      </c>
      <c r="F8" s="514">
        <f t="shared" ref="F8:AH8" si="3">SUM(F9:F15)</f>
        <v>11000</v>
      </c>
      <c r="G8" s="514">
        <f t="shared" si="3"/>
        <v>6610</v>
      </c>
      <c r="H8" s="514">
        <f t="shared" si="3"/>
        <v>0</v>
      </c>
      <c r="I8" s="514">
        <f t="shared" si="3"/>
        <v>0</v>
      </c>
      <c r="J8" s="514">
        <f t="shared" si="3"/>
        <v>0</v>
      </c>
      <c r="K8" s="514">
        <f t="shared" si="3"/>
        <v>0</v>
      </c>
      <c r="L8" s="514">
        <f t="shared" si="3"/>
        <v>0</v>
      </c>
      <c r="M8" s="514">
        <f t="shared" si="3"/>
        <v>0</v>
      </c>
      <c r="N8" s="514">
        <f t="shared" si="3"/>
        <v>0</v>
      </c>
      <c r="O8" s="514">
        <f t="shared" si="3"/>
        <v>0</v>
      </c>
      <c r="P8" s="514">
        <f t="shared" si="3"/>
        <v>16110</v>
      </c>
      <c r="Q8" s="514">
        <f t="shared" si="3"/>
        <v>0</v>
      </c>
      <c r="R8" s="514">
        <f t="shared" si="3"/>
        <v>0</v>
      </c>
      <c r="S8" s="514">
        <f t="shared" si="3"/>
        <v>0</v>
      </c>
      <c r="T8" s="514">
        <f t="shared" si="3"/>
        <v>0</v>
      </c>
      <c r="U8" s="514">
        <f t="shared" si="3"/>
        <v>0</v>
      </c>
      <c r="V8" s="514">
        <f t="shared" si="3"/>
        <v>0</v>
      </c>
      <c r="W8" s="514">
        <f t="shared" si="3"/>
        <v>0</v>
      </c>
      <c r="X8" s="514">
        <f t="shared" si="3"/>
        <v>0</v>
      </c>
      <c r="Y8" s="514">
        <f t="shared" si="3"/>
        <v>7170</v>
      </c>
      <c r="Z8" s="514">
        <f t="shared" si="3"/>
        <v>8010</v>
      </c>
      <c r="AA8" s="514">
        <f t="shared" si="3"/>
        <v>930</v>
      </c>
      <c r="AB8" s="514">
        <f t="shared" si="3"/>
        <v>0</v>
      </c>
      <c r="AC8" s="514">
        <f t="shared" si="3"/>
        <v>0</v>
      </c>
      <c r="AD8" s="514">
        <f t="shared" si="3"/>
        <v>0</v>
      </c>
      <c r="AE8" s="514">
        <f t="shared" si="3"/>
        <v>0</v>
      </c>
      <c r="AF8" s="514">
        <f t="shared" si="3"/>
        <v>1500</v>
      </c>
      <c r="AG8" s="514">
        <f t="shared" si="3"/>
        <v>0</v>
      </c>
      <c r="AH8" s="514">
        <f t="shared" si="3"/>
        <v>1500</v>
      </c>
      <c r="AI8" s="387">
        <f t="shared" si="1"/>
        <v>0</v>
      </c>
    </row>
    <row r="9" spans="1:37" s="393" customFormat="1" ht="14.25">
      <c r="A9" s="397" t="s">
        <v>1696</v>
      </c>
      <c r="B9" s="394" t="s">
        <v>1746</v>
      </c>
      <c r="C9" s="497" t="s">
        <v>1747</v>
      </c>
      <c r="D9" s="396">
        <v>4</v>
      </c>
      <c r="E9" s="385">
        <f t="shared" ref="E9:E15" si="4">SUM(H9,P9,AF9)</f>
        <v>1670</v>
      </c>
      <c r="F9" s="368">
        <v>1670</v>
      </c>
      <c r="G9" s="368"/>
      <c r="H9" s="385">
        <f t="shared" ref="H9:H14" si="5">SUM(I9:O9)</f>
        <v>0</v>
      </c>
      <c r="I9" s="371"/>
      <c r="J9" s="371"/>
      <c r="K9" s="371"/>
      <c r="L9" s="371"/>
      <c r="M9" s="371"/>
      <c r="N9" s="371"/>
      <c r="O9" s="370"/>
      <c r="P9" s="386">
        <f t="shared" ref="P9:P14" si="6">SUM(Q9:AE9)</f>
        <v>1670</v>
      </c>
      <c r="Q9" s="371"/>
      <c r="R9" s="371"/>
      <c r="S9" s="371"/>
      <c r="T9" s="371"/>
      <c r="U9" s="371"/>
      <c r="V9" s="371"/>
      <c r="W9" s="371"/>
      <c r="X9" s="371"/>
      <c r="Y9" s="371">
        <v>1670</v>
      </c>
      <c r="Z9" s="371"/>
      <c r="AA9" s="371"/>
      <c r="AB9" s="371"/>
      <c r="AC9" s="371"/>
      <c r="AD9" s="371"/>
      <c r="AE9" s="371"/>
      <c r="AF9" s="385">
        <f t="shared" ref="AF9:AF14" si="7">SUM(AG9:AH9)</f>
        <v>0</v>
      </c>
      <c r="AG9" s="371"/>
      <c r="AH9" s="371"/>
      <c r="AI9" s="387">
        <f t="shared" si="1"/>
        <v>0</v>
      </c>
      <c r="AJ9" s="496"/>
    </row>
    <row r="10" spans="1:37" s="393" customFormat="1" ht="14.25">
      <c r="A10" s="397" t="s">
        <v>1696</v>
      </c>
      <c r="B10" s="394" t="s">
        <v>1746</v>
      </c>
      <c r="C10" s="497" t="s">
        <v>1748</v>
      </c>
      <c r="D10" s="396">
        <v>4</v>
      </c>
      <c r="E10" s="385">
        <f t="shared" si="4"/>
        <v>5500</v>
      </c>
      <c r="F10" s="368">
        <v>5500</v>
      </c>
      <c r="G10" s="368"/>
      <c r="H10" s="385">
        <f t="shared" si="5"/>
        <v>0</v>
      </c>
      <c r="I10" s="371"/>
      <c r="J10" s="371"/>
      <c r="K10" s="371"/>
      <c r="L10" s="371"/>
      <c r="M10" s="371"/>
      <c r="N10" s="371"/>
      <c r="O10" s="370"/>
      <c r="P10" s="386">
        <f t="shared" si="6"/>
        <v>5500</v>
      </c>
      <c r="Q10" s="371"/>
      <c r="R10" s="371"/>
      <c r="S10" s="371"/>
      <c r="T10" s="371"/>
      <c r="U10" s="371"/>
      <c r="V10" s="371"/>
      <c r="W10" s="371"/>
      <c r="X10" s="371"/>
      <c r="Y10" s="371">
        <v>5500</v>
      </c>
      <c r="Z10" s="371"/>
      <c r="AA10" s="371"/>
      <c r="AB10" s="371"/>
      <c r="AC10" s="371"/>
      <c r="AD10" s="371"/>
      <c r="AE10" s="371"/>
      <c r="AF10" s="385">
        <f t="shared" si="7"/>
        <v>0</v>
      </c>
      <c r="AG10" s="371"/>
      <c r="AH10" s="371"/>
      <c r="AI10" s="387">
        <f t="shared" si="1"/>
        <v>0</v>
      </c>
      <c r="AJ10" s="496"/>
    </row>
    <row r="11" spans="1:37" s="393" customFormat="1" ht="14.25">
      <c r="A11" s="397" t="s">
        <v>1696</v>
      </c>
      <c r="B11" s="394" t="s">
        <v>1746</v>
      </c>
      <c r="C11" s="497" t="s">
        <v>1749</v>
      </c>
      <c r="D11" s="396">
        <v>4</v>
      </c>
      <c r="E11" s="385">
        <f t="shared" si="4"/>
        <v>8010</v>
      </c>
      <c r="F11" s="368">
        <v>2830</v>
      </c>
      <c r="G11" s="368">
        <v>5180</v>
      </c>
      <c r="H11" s="385">
        <f t="shared" si="5"/>
        <v>0</v>
      </c>
      <c r="I11" s="371"/>
      <c r="J11" s="371"/>
      <c r="K11" s="371"/>
      <c r="L11" s="371"/>
      <c r="M11" s="371"/>
      <c r="N11" s="371"/>
      <c r="O11" s="370"/>
      <c r="P11" s="386">
        <f t="shared" si="6"/>
        <v>8010</v>
      </c>
      <c r="Q11" s="371"/>
      <c r="R11" s="371"/>
      <c r="S11" s="371"/>
      <c r="T11" s="371"/>
      <c r="U11" s="371"/>
      <c r="V11" s="371"/>
      <c r="W11" s="371"/>
      <c r="X11" s="371"/>
      <c r="Y11" s="371"/>
      <c r="Z11" s="371">
        <v>8010</v>
      </c>
      <c r="AA11" s="371"/>
      <c r="AB11" s="371"/>
      <c r="AC11" s="371"/>
      <c r="AD11" s="371"/>
      <c r="AE11" s="371"/>
      <c r="AF11" s="385">
        <f t="shared" si="7"/>
        <v>0</v>
      </c>
      <c r="AG11" s="371"/>
      <c r="AH11" s="371"/>
      <c r="AI11" s="387">
        <f t="shared" si="1"/>
        <v>0</v>
      </c>
      <c r="AJ11" s="496"/>
    </row>
    <row r="12" spans="1:37" s="393" customFormat="1" ht="14.25">
      <c r="A12" s="397" t="s">
        <v>1696</v>
      </c>
      <c r="B12" s="394" t="s">
        <v>1746</v>
      </c>
      <c r="C12" s="497" t="s">
        <v>1750</v>
      </c>
      <c r="D12" s="396">
        <v>4</v>
      </c>
      <c r="E12" s="385">
        <f t="shared" si="4"/>
        <v>1500</v>
      </c>
      <c r="F12" s="368">
        <v>1000</v>
      </c>
      <c r="G12" s="368">
        <v>500</v>
      </c>
      <c r="H12" s="385">
        <f t="shared" si="5"/>
        <v>0</v>
      </c>
      <c r="I12" s="371"/>
      <c r="J12" s="371"/>
      <c r="K12" s="371"/>
      <c r="L12" s="371"/>
      <c r="M12" s="371"/>
      <c r="N12" s="371"/>
      <c r="O12" s="370"/>
      <c r="P12" s="386">
        <f t="shared" si="6"/>
        <v>0</v>
      </c>
      <c r="Q12" s="371"/>
      <c r="R12" s="371"/>
      <c r="S12" s="371"/>
      <c r="T12" s="371"/>
      <c r="U12" s="371"/>
      <c r="V12" s="371"/>
      <c r="W12" s="371"/>
      <c r="X12" s="371"/>
      <c r="Y12" s="371"/>
      <c r="Z12" s="371"/>
      <c r="AA12" s="371"/>
      <c r="AB12" s="371"/>
      <c r="AC12" s="371"/>
      <c r="AD12" s="371"/>
      <c r="AE12" s="371"/>
      <c r="AF12" s="385">
        <f t="shared" si="7"/>
        <v>1500</v>
      </c>
      <c r="AG12" s="371"/>
      <c r="AH12" s="371">
        <v>1500</v>
      </c>
      <c r="AI12" s="387">
        <f t="shared" si="1"/>
        <v>0</v>
      </c>
      <c r="AJ12" s="496"/>
    </row>
    <row r="13" spans="1:37" s="393" customFormat="1" ht="14.25">
      <c r="A13" s="397" t="s">
        <v>1696</v>
      </c>
      <c r="B13" s="394" t="s">
        <v>1746</v>
      </c>
      <c r="C13" s="497" t="s">
        <v>1751</v>
      </c>
      <c r="D13" s="396">
        <v>4</v>
      </c>
      <c r="E13" s="385">
        <f t="shared" si="4"/>
        <v>300</v>
      </c>
      <c r="F13" s="368"/>
      <c r="G13" s="368">
        <f>300</f>
        <v>300</v>
      </c>
      <c r="H13" s="385">
        <f t="shared" si="5"/>
        <v>0</v>
      </c>
      <c r="I13" s="371"/>
      <c r="J13" s="371"/>
      <c r="K13" s="371"/>
      <c r="L13" s="371"/>
      <c r="M13" s="371"/>
      <c r="N13" s="371"/>
      <c r="O13" s="370"/>
      <c r="P13" s="386">
        <f t="shared" si="6"/>
        <v>300</v>
      </c>
      <c r="Q13" s="371"/>
      <c r="R13" s="371"/>
      <c r="S13" s="371"/>
      <c r="T13" s="371"/>
      <c r="U13" s="371"/>
      <c r="V13" s="371"/>
      <c r="W13" s="371"/>
      <c r="X13" s="371"/>
      <c r="Y13" s="371"/>
      <c r="Z13" s="371"/>
      <c r="AA13" s="371">
        <v>300</v>
      </c>
      <c r="AB13" s="371"/>
      <c r="AC13" s="371"/>
      <c r="AD13" s="371"/>
      <c r="AE13" s="371"/>
      <c r="AF13" s="385">
        <f t="shared" si="7"/>
        <v>0</v>
      </c>
      <c r="AG13" s="371"/>
      <c r="AH13" s="371"/>
      <c r="AI13" s="387">
        <f t="shared" si="1"/>
        <v>0</v>
      </c>
      <c r="AJ13" s="496"/>
    </row>
    <row r="14" spans="1:37" s="393" customFormat="1" ht="14.25">
      <c r="A14" s="397" t="s">
        <v>1696</v>
      </c>
      <c r="B14" s="394" t="s">
        <v>1746</v>
      </c>
      <c r="C14" s="497" t="s">
        <v>1752</v>
      </c>
      <c r="D14" s="396">
        <v>4</v>
      </c>
      <c r="E14" s="385">
        <f t="shared" si="4"/>
        <v>630</v>
      </c>
      <c r="F14" s="368"/>
      <c r="G14" s="368">
        <v>630</v>
      </c>
      <c r="H14" s="385">
        <f t="shared" si="5"/>
        <v>0</v>
      </c>
      <c r="I14" s="371"/>
      <c r="J14" s="371"/>
      <c r="K14" s="371"/>
      <c r="L14" s="371"/>
      <c r="M14" s="371"/>
      <c r="N14" s="371"/>
      <c r="O14" s="370"/>
      <c r="P14" s="386">
        <f t="shared" si="6"/>
        <v>630</v>
      </c>
      <c r="Q14" s="371"/>
      <c r="R14" s="371"/>
      <c r="S14" s="371"/>
      <c r="T14" s="371"/>
      <c r="U14" s="371"/>
      <c r="V14" s="371"/>
      <c r="W14" s="371"/>
      <c r="X14" s="371"/>
      <c r="Y14" s="371"/>
      <c r="Z14" s="371"/>
      <c r="AA14" s="371">
        <v>630</v>
      </c>
      <c r="AB14" s="371"/>
      <c r="AC14" s="371"/>
      <c r="AD14" s="371"/>
      <c r="AE14" s="371"/>
      <c r="AF14" s="385">
        <f t="shared" si="7"/>
        <v>0</v>
      </c>
      <c r="AG14" s="371"/>
      <c r="AH14" s="371"/>
      <c r="AI14" s="387">
        <f t="shared" si="1"/>
        <v>0</v>
      </c>
      <c r="AJ14" s="496"/>
    </row>
    <row r="15" spans="1:37" s="393" customFormat="1" ht="14.25">
      <c r="A15" s="922" t="s">
        <v>379</v>
      </c>
      <c r="B15" s="923" t="s">
        <v>1287</v>
      </c>
      <c r="C15" s="924" t="s">
        <v>1316</v>
      </c>
      <c r="D15" s="396"/>
      <c r="E15" s="385">
        <f t="shared" si="4"/>
        <v>0</v>
      </c>
      <c r="F15" s="368"/>
      <c r="G15" s="368"/>
      <c r="H15" s="385">
        <f>SUM(I15:O15)</f>
        <v>0</v>
      </c>
      <c r="I15" s="371"/>
      <c r="J15" s="371"/>
      <c r="K15" s="371"/>
      <c r="L15" s="371"/>
      <c r="M15" s="371"/>
      <c r="N15" s="371"/>
      <c r="O15" s="370"/>
      <c r="P15" s="386">
        <f>SUM(Q15:AE15)</f>
        <v>0</v>
      </c>
      <c r="Q15" s="371"/>
      <c r="R15" s="371"/>
      <c r="S15" s="371"/>
      <c r="T15" s="371"/>
      <c r="U15" s="371"/>
      <c r="V15" s="371"/>
      <c r="W15" s="371"/>
      <c r="X15" s="371"/>
      <c r="Y15" s="371"/>
      <c r="Z15" s="371"/>
      <c r="AA15" s="371"/>
      <c r="AB15" s="371"/>
      <c r="AC15" s="371"/>
      <c r="AD15" s="371"/>
      <c r="AE15" s="371"/>
      <c r="AF15" s="385">
        <f>SUM(AG15:AH15)</f>
        <v>0</v>
      </c>
      <c r="AG15" s="371"/>
      <c r="AH15" s="371"/>
      <c r="AI15" s="387">
        <f t="shared" si="1"/>
        <v>0</v>
      </c>
      <c r="AJ15" s="496"/>
    </row>
    <row r="16" spans="1:37" s="515" customFormat="1" ht="24" customHeight="1">
      <c r="A16" s="510" t="s">
        <v>1278</v>
      </c>
      <c r="B16" s="511"/>
      <c r="C16" s="512"/>
      <c r="D16" s="513"/>
      <c r="E16" s="514">
        <f t="shared" ref="E16:AH16" si="8">E17+E43</f>
        <v>2109981</v>
      </c>
      <c r="F16" s="514">
        <f t="shared" si="8"/>
        <v>1023317</v>
      </c>
      <c r="G16" s="514">
        <f t="shared" si="8"/>
        <v>1086664</v>
      </c>
      <c r="H16" s="514">
        <f t="shared" si="8"/>
        <v>347055</v>
      </c>
      <c r="I16" s="514">
        <f t="shared" si="8"/>
        <v>34379.199999999997</v>
      </c>
      <c r="J16" s="514">
        <f t="shared" si="8"/>
        <v>6048</v>
      </c>
      <c r="K16" s="514">
        <f t="shared" si="8"/>
        <v>90339.8</v>
      </c>
      <c r="L16" s="514">
        <f t="shared" si="8"/>
        <v>47647</v>
      </c>
      <c r="M16" s="514">
        <f t="shared" si="8"/>
        <v>16933</v>
      </c>
      <c r="N16" s="514">
        <f t="shared" si="8"/>
        <v>85032</v>
      </c>
      <c r="O16" s="514">
        <f t="shared" si="8"/>
        <v>66676</v>
      </c>
      <c r="P16" s="514">
        <f t="shared" si="8"/>
        <v>1762596</v>
      </c>
      <c r="Q16" s="514">
        <f t="shared" si="8"/>
        <v>80533</v>
      </c>
      <c r="R16" s="514">
        <f t="shared" si="8"/>
        <v>163459</v>
      </c>
      <c r="S16" s="514">
        <f t="shared" si="8"/>
        <v>134238</v>
      </c>
      <c r="T16" s="514">
        <f t="shared" si="8"/>
        <v>4756</v>
      </c>
      <c r="U16" s="514">
        <f t="shared" si="8"/>
        <v>150988</v>
      </c>
      <c r="V16" s="514">
        <f t="shared" si="8"/>
        <v>2108</v>
      </c>
      <c r="W16" s="514">
        <f t="shared" si="8"/>
        <v>41568</v>
      </c>
      <c r="X16" s="514">
        <f t="shared" si="8"/>
        <v>284640</v>
      </c>
      <c r="Y16" s="514">
        <f t="shared" si="8"/>
        <v>356124</v>
      </c>
      <c r="Z16" s="514">
        <f t="shared" si="8"/>
        <v>299094</v>
      </c>
      <c r="AA16" s="514">
        <f t="shared" si="8"/>
        <v>897</v>
      </c>
      <c r="AB16" s="514">
        <f t="shared" si="8"/>
        <v>9468</v>
      </c>
      <c r="AC16" s="514">
        <f t="shared" si="8"/>
        <v>6822</v>
      </c>
      <c r="AD16" s="514">
        <f t="shared" si="8"/>
        <v>1876</v>
      </c>
      <c r="AE16" s="514">
        <f t="shared" si="8"/>
        <v>226025</v>
      </c>
      <c r="AF16" s="514">
        <f t="shared" si="8"/>
        <v>330</v>
      </c>
      <c r="AG16" s="514">
        <f t="shared" si="8"/>
        <v>330</v>
      </c>
      <c r="AH16" s="514">
        <f t="shared" si="8"/>
        <v>0</v>
      </c>
      <c r="AI16" s="387">
        <f t="shared" si="1"/>
        <v>0</v>
      </c>
    </row>
    <row r="17" spans="1:36" s="410" customFormat="1" ht="21.6" customHeight="1">
      <c r="A17" s="405" t="s">
        <v>1204</v>
      </c>
      <c r="B17" s="406"/>
      <c r="C17" s="407"/>
      <c r="D17" s="408"/>
      <c r="E17" s="409">
        <f t="shared" ref="E17:AH17" si="9">SUM(E18:E42)</f>
        <v>2102050</v>
      </c>
      <c r="F17" s="409">
        <f t="shared" si="9"/>
        <v>1022638</v>
      </c>
      <c r="G17" s="409">
        <f t="shared" si="9"/>
        <v>1079412</v>
      </c>
      <c r="H17" s="409">
        <f t="shared" si="9"/>
        <v>344455</v>
      </c>
      <c r="I17" s="409">
        <f t="shared" si="9"/>
        <v>33879.199999999997</v>
      </c>
      <c r="J17" s="409">
        <f t="shared" si="9"/>
        <v>5598</v>
      </c>
      <c r="K17" s="409">
        <f t="shared" si="9"/>
        <v>89889.8</v>
      </c>
      <c r="L17" s="409">
        <f t="shared" si="9"/>
        <v>47347</v>
      </c>
      <c r="M17" s="409">
        <f t="shared" si="9"/>
        <v>16483</v>
      </c>
      <c r="N17" s="409">
        <f t="shared" si="9"/>
        <v>84582</v>
      </c>
      <c r="O17" s="409">
        <f t="shared" si="9"/>
        <v>66676</v>
      </c>
      <c r="P17" s="409">
        <f t="shared" si="9"/>
        <v>1757265</v>
      </c>
      <c r="Q17" s="409">
        <f t="shared" si="9"/>
        <v>80001</v>
      </c>
      <c r="R17" s="409">
        <f t="shared" si="9"/>
        <v>162959</v>
      </c>
      <c r="S17" s="409">
        <f t="shared" si="9"/>
        <v>133668</v>
      </c>
      <c r="T17" s="409">
        <f t="shared" si="9"/>
        <v>4456</v>
      </c>
      <c r="U17" s="409">
        <f t="shared" si="9"/>
        <v>150988</v>
      </c>
      <c r="V17" s="409">
        <f t="shared" si="9"/>
        <v>2108</v>
      </c>
      <c r="W17" s="409">
        <f t="shared" si="9"/>
        <v>41268</v>
      </c>
      <c r="X17" s="409">
        <f t="shared" si="9"/>
        <v>283390</v>
      </c>
      <c r="Y17" s="409">
        <f t="shared" si="9"/>
        <v>355524</v>
      </c>
      <c r="Z17" s="409">
        <f t="shared" si="9"/>
        <v>298168</v>
      </c>
      <c r="AA17" s="409">
        <f t="shared" si="9"/>
        <v>897</v>
      </c>
      <c r="AB17" s="409">
        <f t="shared" si="9"/>
        <v>9115</v>
      </c>
      <c r="AC17" s="409">
        <f t="shared" si="9"/>
        <v>6822</v>
      </c>
      <c r="AD17" s="409">
        <f t="shared" si="9"/>
        <v>1876</v>
      </c>
      <c r="AE17" s="409">
        <f t="shared" si="9"/>
        <v>226025</v>
      </c>
      <c r="AF17" s="409">
        <f t="shared" si="9"/>
        <v>330</v>
      </c>
      <c r="AG17" s="409">
        <f t="shared" si="9"/>
        <v>330</v>
      </c>
      <c r="AH17" s="409">
        <f t="shared" si="9"/>
        <v>0</v>
      </c>
      <c r="AI17" s="387">
        <f t="shared" si="1"/>
        <v>0</v>
      </c>
      <c r="AJ17" s="496"/>
    </row>
    <row r="18" spans="1:36" s="393" customFormat="1" ht="14.25">
      <c r="A18" s="397" t="s">
        <v>1696</v>
      </c>
      <c r="B18" s="394" t="s">
        <v>1706</v>
      </c>
      <c r="C18" s="274" t="s">
        <v>1707</v>
      </c>
      <c r="D18" s="396">
        <v>3</v>
      </c>
      <c r="E18" s="385">
        <f t="shared" ref="E18:E42" si="10">SUM(H18,P18,AF18)</f>
        <v>8500</v>
      </c>
      <c r="F18" s="368">
        <v>7500</v>
      </c>
      <c r="G18" s="368">
        <v>1000</v>
      </c>
      <c r="H18" s="385">
        <f>SUM(I18:O18)</f>
        <v>0</v>
      </c>
      <c r="I18" s="371"/>
      <c r="J18" s="371"/>
      <c r="K18" s="913"/>
      <c r="L18" s="913"/>
      <c r="M18" s="371"/>
      <c r="N18" s="579"/>
      <c r="O18" s="370"/>
      <c r="P18" s="386">
        <f t="shared" ref="P18:P43" si="11">SUM(Q18:AE18)</f>
        <v>8500</v>
      </c>
      <c r="Q18" s="371">
        <v>130</v>
      </c>
      <c r="R18" s="371">
        <v>140</v>
      </c>
      <c r="S18" s="371">
        <v>500</v>
      </c>
      <c r="T18" s="371"/>
      <c r="U18" s="371">
        <v>80</v>
      </c>
      <c r="V18" s="371"/>
      <c r="W18" s="371">
        <v>100</v>
      </c>
      <c r="X18" s="371">
        <v>5200</v>
      </c>
      <c r="Y18" s="371">
        <v>800</v>
      </c>
      <c r="Z18" s="371">
        <v>1200</v>
      </c>
      <c r="AA18" s="371"/>
      <c r="AB18" s="371"/>
      <c r="AC18" s="371"/>
      <c r="AD18" s="371">
        <v>90</v>
      </c>
      <c r="AE18" s="579">
        <v>260</v>
      </c>
      <c r="AF18" s="385">
        <f t="shared" ref="AF18:AF40" si="12">SUM(AG18:AH18)</f>
        <v>0</v>
      </c>
      <c r="AG18" s="371"/>
      <c r="AH18" s="371"/>
      <c r="AI18" s="387">
        <f t="shared" si="1"/>
        <v>0</v>
      </c>
      <c r="AJ18" s="496"/>
    </row>
    <row r="19" spans="1:36" s="393" customFormat="1" ht="14.25">
      <c r="A19" s="397" t="s">
        <v>1696</v>
      </c>
      <c r="B19" s="394" t="s">
        <v>1706</v>
      </c>
      <c r="C19" s="274" t="s">
        <v>1708</v>
      </c>
      <c r="D19" s="396">
        <v>3</v>
      </c>
      <c r="E19" s="385">
        <f t="shared" si="10"/>
        <v>112910</v>
      </c>
      <c r="F19" s="368">
        <v>109410</v>
      </c>
      <c r="G19" s="368">
        <v>3500</v>
      </c>
      <c r="H19" s="385">
        <f>SUM(I19:O19)</f>
        <v>13180</v>
      </c>
      <c r="I19" s="371">
        <v>1030</v>
      </c>
      <c r="J19" s="371"/>
      <c r="K19" s="371">
        <v>3000</v>
      </c>
      <c r="L19" s="371">
        <v>1400</v>
      </c>
      <c r="M19" s="371">
        <v>150</v>
      </c>
      <c r="N19" s="371">
        <v>5600</v>
      </c>
      <c r="O19" s="580">
        <v>2000</v>
      </c>
      <c r="P19" s="386">
        <f t="shared" si="11"/>
        <v>99730</v>
      </c>
      <c r="Q19" s="371">
        <v>7300</v>
      </c>
      <c r="R19" s="371">
        <v>6500</v>
      </c>
      <c r="S19" s="371">
        <v>2600</v>
      </c>
      <c r="T19" s="371"/>
      <c r="U19" s="371">
        <v>7700</v>
      </c>
      <c r="V19" s="371"/>
      <c r="W19" s="371">
        <v>2150</v>
      </c>
      <c r="X19" s="371">
        <v>21900</v>
      </c>
      <c r="Y19" s="371">
        <v>22500</v>
      </c>
      <c r="Z19" s="579">
        <f>30930-2000</f>
        <v>28930</v>
      </c>
      <c r="AA19" s="371"/>
      <c r="AB19" s="371">
        <v>150</v>
      </c>
      <c r="AC19" s="371"/>
      <c r="AD19" s="371"/>
      <c r="AE19" s="371"/>
      <c r="AF19" s="385">
        <f t="shared" si="12"/>
        <v>0</v>
      </c>
      <c r="AG19" s="371"/>
      <c r="AH19" s="371"/>
      <c r="AI19" s="387">
        <f t="shared" si="1"/>
        <v>0</v>
      </c>
      <c r="AJ19" s="496"/>
    </row>
    <row r="20" spans="1:36" s="393" customFormat="1" ht="14.25">
      <c r="A20" s="397" t="s">
        <v>1696</v>
      </c>
      <c r="B20" s="394" t="s">
        <v>1706</v>
      </c>
      <c r="C20" s="274" t="s">
        <v>1709</v>
      </c>
      <c r="D20" s="396">
        <v>3</v>
      </c>
      <c r="E20" s="385">
        <f t="shared" si="10"/>
        <v>26400</v>
      </c>
      <c r="F20" s="368">
        <v>26400</v>
      </c>
      <c r="G20" s="368"/>
      <c r="H20" s="385">
        <f>SUM(I20:O20)</f>
        <v>5300</v>
      </c>
      <c r="I20" s="579">
        <f>1530-630</f>
        <v>900</v>
      </c>
      <c r="J20" s="579">
        <f>1000-400</f>
        <v>600</v>
      </c>
      <c r="K20" s="579">
        <f>1610-710</f>
        <v>900</v>
      </c>
      <c r="L20" s="579">
        <f>1430-530</f>
        <v>900</v>
      </c>
      <c r="M20" s="579">
        <f>1500-600</f>
        <v>900</v>
      </c>
      <c r="N20" s="579">
        <f>2610-1510</f>
        <v>1100</v>
      </c>
      <c r="O20" s="370"/>
      <c r="P20" s="386">
        <f t="shared" si="11"/>
        <v>21100</v>
      </c>
      <c r="Q20" s="371">
        <v>2620</v>
      </c>
      <c r="R20" s="371">
        <v>2080</v>
      </c>
      <c r="S20" s="371">
        <v>1810</v>
      </c>
      <c r="T20" s="371"/>
      <c r="U20" s="371">
        <v>1680</v>
      </c>
      <c r="V20" s="371"/>
      <c r="W20" s="371">
        <v>730</v>
      </c>
      <c r="X20" s="371">
        <v>1760</v>
      </c>
      <c r="Y20" s="371">
        <v>2920</v>
      </c>
      <c r="Z20" s="371">
        <v>2620</v>
      </c>
      <c r="AA20" s="371"/>
      <c r="AB20" s="371">
        <v>500</v>
      </c>
      <c r="AC20" s="371"/>
      <c r="AD20" s="371"/>
      <c r="AE20" s="579">
        <v>4380</v>
      </c>
      <c r="AF20" s="385">
        <f t="shared" si="12"/>
        <v>0</v>
      </c>
      <c r="AG20" s="371"/>
      <c r="AH20" s="371"/>
      <c r="AI20" s="387">
        <f t="shared" si="1"/>
        <v>0</v>
      </c>
      <c r="AJ20" s="496"/>
    </row>
    <row r="21" spans="1:36" s="393" customFormat="1" ht="14.25">
      <c r="A21" s="397" t="s">
        <v>1696</v>
      </c>
      <c r="B21" s="394" t="s">
        <v>1706</v>
      </c>
      <c r="C21" s="274" t="s">
        <v>1710</v>
      </c>
      <c r="D21" s="396">
        <v>3</v>
      </c>
      <c r="E21" s="385">
        <f t="shared" si="10"/>
        <v>150071</v>
      </c>
      <c r="F21" s="579">
        <f>84860-789</f>
        <v>84071</v>
      </c>
      <c r="G21" s="368">
        <v>66000</v>
      </c>
      <c r="H21" s="385">
        <f>SUM(I21:O21)</f>
        <v>2157</v>
      </c>
      <c r="I21" s="913"/>
      <c r="J21" s="579"/>
      <c r="K21" s="913"/>
      <c r="L21" s="579"/>
      <c r="M21" s="579"/>
      <c r="N21" s="579">
        <v>2157</v>
      </c>
      <c r="O21" s="370"/>
      <c r="P21" s="386">
        <f t="shared" si="11"/>
        <v>147914</v>
      </c>
      <c r="Q21" s="371">
        <v>3342</v>
      </c>
      <c r="R21" s="371">
        <v>4522</v>
      </c>
      <c r="S21" s="371">
        <v>4522</v>
      </c>
      <c r="T21" s="371">
        <v>486</v>
      </c>
      <c r="U21" s="371">
        <v>4522</v>
      </c>
      <c r="V21" s="371">
        <v>486</v>
      </c>
      <c r="W21" s="371">
        <v>2122</v>
      </c>
      <c r="X21" s="371">
        <v>11742</v>
      </c>
      <c r="Y21" s="371">
        <v>18942</v>
      </c>
      <c r="Z21" s="371">
        <v>18342</v>
      </c>
      <c r="AA21" s="371">
        <v>486</v>
      </c>
      <c r="AB21" s="371">
        <v>810</v>
      </c>
      <c r="AC21" s="371">
        <v>4086</v>
      </c>
      <c r="AD21" s="371">
        <v>486</v>
      </c>
      <c r="AE21" s="579">
        <f>64016+9002</f>
        <v>73018</v>
      </c>
      <c r="AF21" s="385">
        <f t="shared" si="12"/>
        <v>0</v>
      </c>
      <c r="AG21" s="371"/>
      <c r="AH21" s="371"/>
      <c r="AI21" s="387">
        <f t="shared" si="1"/>
        <v>0</v>
      </c>
      <c r="AJ21" s="496"/>
    </row>
    <row r="22" spans="1:36" s="393" customFormat="1" ht="14.25">
      <c r="A22" s="397" t="s">
        <v>1696</v>
      </c>
      <c r="B22" s="394" t="s">
        <v>1706</v>
      </c>
      <c r="C22" s="274" t="s">
        <v>1711</v>
      </c>
      <c r="D22" s="396">
        <v>3</v>
      </c>
      <c r="E22" s="385">
        <f t="shared" si="10"/>
        <v>5800</v>
      </c>
      <c r="F22" s="368"/>
      <c r="G22" s="368">
        <v>5800</v>
      </c>
      <c r="H22" s="385">
        <f>SUM(J22:O22)</f>
        <v>0</v>
      </c>
      <c r="I22" s="371"/>
      <c r="J22" s="371"/>
      <c r="K22" s="913"/>
      <c r="L22" s="913"/>
      <c r="M22" s="371"/>
      <c r="N22" s="913"/>
      <c r="O22" s="370"/>
      <c r="P22" s="386">
        <f t="shared" si="11"/>
        <v>5800</v>
      </c>
      <c r="Q22" s="371">
        <v>180</v>
      </c>
      <c r="R22" s="371">
        <v>350</v>
      </c>
      <c r="S22" s="371">
        <v>350</v>
      </c>
      <c r="T22" s="371"/>
      <c r="U22" s="371">
        <v>360</v>
      </c>
      <c r="V22" s="371"/>
      <c r="W22" s="371">
        <v>360</v>
      </c>
      <c r="X22" s="371">
        <v>1500</v>
      </c>
      <c r="Y22" s="371">
        <v>900</v>
      </c>
      <c r="Z22" s="371">
        <v>1100</v>
      </c>
      <c r="AA22" s="371"/>
      <c r="AB22" s="371"/>
      <c r="AC22" s="371"/>
      <c r="AD22" s="371"/>
      <c r="AE22" s="579">
        <v>700</v>
      </c>
      <c r="AF22" s="385">
        <f t="shared" si="12"/>
        <v>0</v>
      </c>
      <c r="AG22" s="371"/>
      <c r="AH22" s="371"/>
      <c r="AI22" s="387">
        <f t="shared" si="1"/>
        <v>0</v>
      </c>
      <c r="AJ22" s="496"/>
    </row>
    <row r="23" spans="1:36" s="393" customFormat="1" ht="14.25">
      <c r="A23" s="397" t="s">
        <v>1696</v>
      </c>
      <c r="B23" s="394" t="s">
        <v>1706</v>
      </c>
      <c r="C23" s="274" t="s">
        <v>1712</v>
      </c>
      <c r="D23" s="396">
        <v>3</v>
      </c>
      <c r="E23" s="385">
        <f t="shared" si="10"/>
        <v>14100</v>
      </c>
      <c r="F23" s="368">
        <f>7203+3087+2600</f>
        <v>12890</v>
      </c>
      <c r="G23" s="368">
        <f>847+363</f>
        <v>1210</v>
      </c>
      <c r="H23" s="385">
        <f>SUM(J23:O23)</f>
        <v>9550</v>
      </c>
      <c r="I23" s="371"/>
      <c r="J23" s="371"/>
      <c r="K23" s="371"/>
      <c r="L23" s="371">
        <v>620</v>
      </c>
      <c r="M23" s="371">
        <v>7180</v>
      </c>
      <c r="N23" s="579">
        <f>2670-920</f>
        <v>1750</v>
      </c>
      <c r="O23" s="370"/>
      <c r="P23" s="386">
        <f t="shared" si="11"/>
        <v>4550</v>
      </c>
      <c r="Q23" s="371"/>
      <c r="R23" s="371"/>
      <c r="S23" s="371">
        <v>760</v>
      </c>
      <c r="T23" s="371"/>
      <c r="U23" s="371">
        <v>960</v>
      </c>
      <c r="V23" s="371"/>
      <c r="W23" s="371"/>
      <c r="X23" s="371">
        <v>1910</v>
      </c>
      <c r="Y23" s="371"/>
      <c r="Z23" s="371"/>
      <c r="AA23" s="371"/>
      <c r="AB23" s="371"/>
      <c r="AC23" s="371"/>
      <c r="AD23" s="371"/>
      <c r="AE23" s="579">
        <v>920</v>
      </c>
      <c r="AF23" s="385">
        <f t="shared" si="12"/>
        <v>0</v>
      </c>
      <c r="AG23" s="371"/>
      <c r="AH23" s="371"/>
      <c r="AI23" s="387">
        <f t="shared" si="1"/>
        <v>0</v>
      </c>
      <c r="AJ23" s="496"/>
    </row>
    <row r="24" spans="1:36" s="393" customFormat="1" ht="28.5">
      <c r="A24" s="397" t="s">
        <v>1696</v>
      </c>
      <c r="B24" s="394" t="s">
        <v>1706</v>
      </c>
      <c r="C24" s="274" t="s">
        <v>1713</v>
      </c>
      <c r="D24" s="396">
        <v>3</v>
      </c>
      <c r="E24" s="385">
        <f t="shared" si="10"/>
        <v>7118</v>
      </c>
      <c r="F24" s="368">
        <v>7118</v>
      </c>
      <c r="G24" s="368"/>
      <c r="H24" s="385">
        <f t="shared" ref="H24:H43" si="13">SUM(I24:O24)</f>
        <v>2000</v>
      </c>
      <c r="I24" s="371"/>
      <c r="J24" s="371"/>
      <c r="K24" s="371"/>
      <c r="L24" s="371"/>
      <c r="M24" s="371"/>
      <c r="N24" s="371"/>
      <c r="O24" s="580">
        <v>2000</v>
      </c>
      <c r="P24" s="386">
        <f t="shared" si="11"/>
        <v>5118</v>
      </c>
      <c r="Q24" s="371"/>
      <c r="R24" s="371"/>
      <c r="S24" s="371"/>
      <c r="T24" s="371"/>
      <c r="U24" s="371"/>
      <c r="V24" s="371"/>
      <c r="W24" s="371"/>
      <c r="X24" s="371"/>
      <c r="Y24" s="371"/>
      <c r="Z24" s="371"/>
      <c r="AA24" s="371"/>
      <c r="AB24" s="371"/>
      <c r="AC24" s="371"/>
      <c r="AD24" s="371"/>
      <c r="AE24" s="579">
        <v>5118</v>
      </c>
      <c r="AF24" s="385">
        <f t="shared" si="12"/>
        <v>0</v>
      </c>
      <c r="AG24" s="371"/>
      <c r="AH24" s="371"/>
      <c r="AI24" s="387">
        <f t="shared" si="1"/>
        <v>0</v>
      </c>
      <c r="AJ24" s="496"/>
    </row>
    <row r="25" spans="1:36" s="393" customFormat="1" ht="14.25">
      <c r="A25" s="397" t="s">
        <v>1696</v>
      </c>
      <c r="B25" s="394" t="s">
        <v>1706</v>
      </c>
      <c r="C25" s="274" t="s">
        <v>1714</v>
      </c>
      <c r="D25" s="396">
        <v>3</v>
      </c>
      <c r="E25" s="385">
        <f t="shared" si="10"/>
        <v>16223</v>
      </c>
      <c r="F25" s="368">
        <f>8695</f>
        <v>8695</v>
      </c>
      <c r="G25" s="368">
        <f>3452+4076</f>
        <v>7528</v>
      </c>
      <c r="H25" s="385">
        <f t="shared" si="13"/>
        <v>3452</v>
      </c>
      <c r="I25" s="371"/>
      <c r="J25" s="371"/>
      <c r="K25" s="371"/>
      <c r="L25" s="371"/>
      <c r="M25" s="371"/>
      <c r="N25" s="371"/>
      <c r="O25" s="580">
        <v>3452</v>
      </c>
      <c r="P25" s="386">
        <f t="shared" si="11"/>
        <v>12771</v>
      </c>
      <c r="Q25" s="371"/>
      <c r="R25" s="371"/>
      <c r="S25" s="371">
        <v>2480</v>
      </c>
      <c r="T25" s="371"/>
      <c r="U25" s="371">
        <v>2290</v>
      </c>
      <c r="V25" s="371"/>
      <c r="W25" s="371"/>
      <c r="X25" s="579">
        <f>3360-863</f>
        <v>2497</v>
      </c>
      <c r="Y25" s="579">
        <f>5880-1726</f>
        <v>4154</v>
      </c>
      <c r="Z25" s="579">
        <f>2213-863</f>
        <v>1350</v>
      </c>
      <c r="AA25" s="371"/>
      <c r="AB25" s="371"/>
      <c r="AC25" s="371"/>
      <c r="AD25" s="371"/>
      <c r="AE25" s="371"/>
      <c r="AF25" s="385">
        <f t="shared" si="12"/>
        <v>0</v>
      </c>
      <c r="AG25" s="371"/>
      <c r="AH25" s="371"/>
      <c r="AI25" s="387">
        <f t="shared" si="1"/>
        <v>0</v>
      </c>
      <c r="AJ25" s="496"/>
    </row>
    <row r="26" spans="1:36" s="393" customFormat="1" ht="28.5">
      <c r="A26" s="397" t="s">
        <v>1696</v>
      </c>
      <c r="B26" s="394" t="s">
        <v>1706</v>
      </c>
      <c r="C26" s="274" t="s">
        <v>1715</v>
      </c>
      <c r="D26" s="396">
        <v>3</v>
      </c>
      <c r="E26" s="385">
        <f t="shared" si="10"/>
        <v>2000</v>
      </c>
      <c r="F26" s="368">
        <v>1000</v>
      </c>
      <c r="G26" s="368">
        <v>1000</v>
      </c>
      <c r="H26" s="385">
        <f t="shared" si="13"/>
        <v>0</v>
      </c>
      <c r="I26" s="371"/>
      <c r="J26" s="371"/>
      <c r="K26" s="371"/>
      <c r="L26" s="371"/>
      <c r="M26" s="371"/>
      <c r="N26" s="371"/>
      <c r="O26" s="370"/>
      <c r="P26" s="386">
        <f t="shared" si="11"/>
        <v>2000</v>
      </c>
      <c r="Q26" s="371"/>
      <c r="R26" s="371"/>
      <c r="S26" s="371"/>
      <c r="T26" s="371"/>
      <c r="U26" s="371"/>
      <c r="V26" s="371"/>
      <c r="W26" s="371"/>
      <c r="X26" s="371"/>
      <c r="Y26" s="371">
        <v>200</v>
      </c>
      <c r="Z26" s="371">
        <v>1800</v>
      </c>
      <c r="AA26" s="371"/>
      <c r="AB26" s="371"/>
      <c r="AC26" s="371"/>
      <c r="AD26" s="371"/>
      <c r="AE26" s="371"/>
      <c r="AF26" s="385">
        <f t="shared" si="12"/>
        <v>0</v>
      </c>
      <c r="AG26" s="371"/>
      <c r="AH26" s="371"/>
      <c r="AI26" s="387">
        <f t="shared" si="1"/>
        <v>0</v>
      </c>
      <c r="AJ26" s="496"/>
    </row>
    <row r="27" spans="1:36" s="393" customFormat="1" ht="14.25">
      <c r="A27" s="397" t="s">
        <v>1696</v>
      </c>
      <c r="B27" s="394" t="s">
        <v>1706</v>
      </c>
      <c r="C27" s="274" t="s">
        <v>1716</v>
      </c>
      <c r="D27" s="396">
        <v>5</v>
      </c>
      <c r="E27" s="385">
        <f t="shared" si="10"/>
        <v>56828</v>
      </c>
      <c r="F27" s="919">
        <f>60215-2079-1308</f>
        <v>56828</v>
      </c>
      <c r="G27" s="368"/>
      <c r="H27" s="385">
        <f t="shared" si="13"/>
        <v>5606</v>
      </c>
      <c r="I27" s="371">
        <v>1737</v>
      </c>
      <c r="J27" s="371"/>
      <c r="K27" s="371">
        <v>1519</v>
      </c>
      <c r="L27" s="579">
        <f>1843-1354</f>
        <v>489</v>
      </c>
      <c r="M27" s="371"/>
      <c r="N27" s="371">
        <v>1861</v>
      </c>
      <c r="O27" s="580"/>
      <c r="P27" s="386">
        <f t="shared" si="11"/>
        <v>51222</v>
      </c>
      <c r="Q27" s="371">
        <v>1818</v>
      </c>
      <c r="R27" s="371">
        <v>2165</v>
      </c>
      <c r="S27" s="371">
        <v>1944</v>
      </c>
      <c r="T27" s="371"/>
      <c r="U27" s="371">
        <v>2769</v>
      </c>
      <c r="V27" s="371"/>
      <c r="W27" s="371">
        <v>1160</v>
      </c>
      <c r="X27" s="371">
        <v>6534</v>
      </c>
      <c r="Y27" s="371">
        <v>14548</v>
      </c>
      <c r="Z27" s="371">
        <v>16063</v>
      </c>
      <c r="AA27" s="371"/>
      <c r="AB27" s="371">
        <v>700</v>
      </c>
      <c r="AC27" s="371"/>
      <c r="AD27" s="371"/>
      <c r="AE27" s="579">
        <v>3521</v>
      </c>
      <c r="AF27" s="385">
        <f t="shared" si="12"/>
        <v>0</v>
      </c>
      <c r="AG27" s="371"/>
      <c r="AH27" s="371"/>
      <c r="AI27" s="387">
        <f t="shared" si="1"/>
        <v>0</v>
      </c>
      <c r="AJ27" s="496"/>
    </row>
    <row r="28" spans="1:36" s="393" customFormat="1" ht="14.25">
      <c r="A28" s="397" t="s">
        <v>1696</v>
      </c>
      <c r="B28" s="394" t="s">
        <v>1706</v>
      </c>
      <c r="C28" s="274" t="s">
        <v>1717</v>
      </c>
      <c r="D28" s="396">
        <v>1</v>
      </c>
      <c r="E28" s="385">
        <f t="shared" si="10"/>
        <v>103442</v>
      </c>
      <c r="F28" s="579">
        <f>81600-489</f>
        <v>81111</v>
      </c>
      <c r="G28" s="919">
        <f>24400-1519-550</f>
        <v>22331</v>
      </c>
      <c r="H28" s="385">
        <f t="shared" si="13"/>
        <v>23957</v>
      </c>
      <c r="I28" s="371"/>
      <c r="J28" s="371"/>
      <c r="K28" s="371"/>
      <c r="L28" s="371"/>
      <c r="M28" s="371"/>
      <c r="N28" s="371"/>
      <c r="O28" s="580">
        <v>23957</v>
      </c>
      <c r="P28" s="386">
        <f t="shared" si="11"/>
        <v>79485</v>
      </c>
      <c r="Q28" s="371"/>
      <c r="R28" s="371"/>
      <c r="S28" s="371"/>
      <c r="T28" s="371"/>
      <c r="U28" s="371"/>
      <c r="V28" s="371"/>
      <c r="W28" s="371"/>
      <c r="X28" s="371"/>
      <c r="Y28" s="371"/>
      <c r="Z28" s="371"/>
      <c r="AA28" s="371"/>
      <c r="AB28" s="371"/>
      <c r="AC28" s="371"/>
      <c r="AD28" s="371"/>
      <c r="AE28" s="579">
        <f>52554+4600+22331</f>
        <v>79485</v>
      </c>
      <c r="AF28" s="385">
        <f t="shared" si="12"/>
        <v>0</v>
      </c>
      <c r="AG28" s="371"/>
      <c r="AH28" s="371"/>
      <c r="AI28" s="387">
        <f t="shared" si="1"/>
        <v>0</v>
      </c>
      <c r="AJ28" s="496"/>
    </row>
    <row r="29" spans="1:36" s="393" customFormat="1" ht="14.25">
      <c r="A29" s="397" t="s">
        <v>1696</v>
      </c>
      <c r="B29" s="394" t="s">
        <v>1706</v>
      </c>
      <c r="C29" s="274" t="s">
        <v>1718</v>
      </c>
      <c r="D29" s="396">
        <v>1</v>
      </c>
      <c r="E29" s="385">
        <f t="shared" si="10"/>
        <v>2443</v>
      </c>
      <c r="F29" s="368">
        <v>2443</v>
      </c>
      <c r="G29" s="368"/>
      <c r="H29" s="385">
        <f t="shared" si="13"/>
        <v>0</v>
      </c>
      <c r="I29" s="371"/>
      <c r="J29" s="371"/>
      <c r="K29" s="371"/>
      <c r="L29" s="371"/>
      <c r="M29" s="371"/>
      <c r="N29" s="371"/>
      <c r="O29" s="370"/>
      <c r="P29" s="386">
        <f t="shared" si="11"/>
        <v>2443</v>
      </c>
      <c r="Q29" s="371"/>
      <c r="R29" s="371"/>
      <c r="S29" s="371"/>
      <c r="T29" s="371"/>
      <c r="U29" s="371"/>
      <c r="V29" s="371"/>
      <c r="W29" s="371"/>
      <c r="X29" s="371"/>
      <c r="Y29" s="371"/>
      <c r="Z29" s="371"/>
      <c r="AA29" s="371"/>
      <c r="AB29" s="371"/>
      <c r="AC29" s="371"/>
      <c r="AD29" s="371"/>
      <c r="AE29" s="371">
        <v>2443</v>
      </c>
      <c r="AF29" s="385">
        <f t="shared" si="12"/>
        <v>0</v>
      </c>
      <c r="AG29" s="371"/>
      <c r="AH29" s="371"/>
      <c r="AI29" s="387">
        <f t="shared" si="1"/>
        <v>0</v>
      </c>
      <c r="AJ29" s="496"/>
    </row>
    <row r="30" spans="1:36" s="393" customFormat="1" ht="28.5">
      <c r="A30" s="397" t="s">
        <v>1696</v>
      </c>
      <c r="B30" s="394" t="s">
        <v>1706</v>
      </c>
      <c r="C30" s="274" t="s">
        <v>1719</v>
      </c>
      <c r="D30" s="396">
        <v>1</v>
      </c>
      <c r="E30" s="385">
        <f t="shared" si="10"/>
        <v>1071</v>
      </c>
      <c r="F30" s="579">
        <v>1071</v>
      </c>
      <c r="G30" s="368"/>
      <c r="H30" s="385">
        <f t="shared" si="13"/>
        <v>0</v>
      </c>
      <c r="I30" s="371"/>
      <c r="J30" s="371"/>
      <c r="K30" s="371"/>
      <c r="L30" s="371"/>
      <c r="M30" s="371"/>
      <c r="N30" s="371"/>
      <c r="O30" s="370"/>
      <c r="P30" s="386">
        <f t="shared" si="11"/>
        <v>1071</v>
      </c>
      <c r="Q30" s="371"/>
      <c r="R30" s="371"/>
      <c r="S30" s="371"/>
      <c r="T30" s="371"/>
      <c r="U30" s="371"/>
      <c r="V30" s="371"/>
      <c r="W30" s="371"/>
      <c r="X30" s="371"/>
      <c r="Y30" s="579">
        <v>1071</v>
      </c>
      <c r="Z30" s="371"/>
      <c r="AA30" s="371"/>
      <c r="AB30" s="371"/>
      <c r="AC30" s="371"/>
      <c r="AD30" s="371"/>
      <c r="AE30" s="371"/>
      <c r="AF30" s="385">
        <f t="shared" si="12"/>
        <v>0</v>
      </c>
      <c r="AG30" s="371"/>
      <c r="AH30" s="371"/>
      <c r="AI30" s="387">
        <f t="shared" si="1"/>
        <v>0</v>
      </c>
      <c r="AJ30" s="496"/>
    </row>
    <row r="31" spans="1:36" s="393" customFormat="1" ht="14.25">
      <c r="A31" s="397" t="s">
        <v>1696</v>
      </c>
      <c r="B31" s="394" t="s">
        <v>1706</v>
      </c>
      <c r="C31" s="274" t="s">
        <v>1720</v>
      </c>
      <c r="D31" s="396">
        <v>1</v>
      </c>
      <c r="E31" s="385">
        <f t="shared" si="10"/>
        <v>17648</v>
      </c>
      <c r="F31" s="579">
        <v>17648</v>
      </c>
      <c r="G31" s="368"/>
      <c r="H31" s="385">
        <f t="shared" si="13"/>
        <v>500</v>
      </c>
      <c r="I31" s="371"/>
      <c r="J31" s="371"/>
      <c r="K31" s="371"/>
      <c r="L31" s="371"/>
      <c r="M31" s="371"/>
      <c r="N31" s="371"/>
      <c r="O31" s="580">
        <v>500</v>
      </c>
      <c r="P31" s="386">
        <f t="shared" si="11"/>
        <v>17148</v>
      </c>
      <c r="Q31" s="371"/>
      <c r="R31" s="371">
        <v>64</v>
      </c>
      <c r="S31" s="371">
        <v>108</v>
      </c>
      <c r="T31" s="371"/>
      <c r="U31" s="371">
        <v>108</v>
      </c>
      <c r="V31" s="371"/>
      <c r="W31" s="371"/>
      <c r="X31" s="371">
        <v>1381</v>
      </c>
      <c r="Y31" s="371">
        <v>3123</v>
      </c>
      <c r="Z31" s="371">
        <v>3978</v>
      </c>
      <c r="AA31" s="371"/>
      <c r="AB31" s="371"/>
      <c r="AC31" s="371"/>
      <c r="AD31" s="371"/>
      <c r="AE31" s="579">
        <v>8386</v>
      </c>
      <c r="AF31" s="385">
        <f t="shared" si="12"/>
        <v>0</v>
      </c>
      <c r="AG31" s="371"/>
      <c r="AH31" s="371"/>
      <c r="AI31" s="387">
        <f t="shared" si="1"/>
        <v>0</v>
      </c>
      <c r="AJ31" s="496"/>
    </row>
    <row r="32" spans="1:36" s="393" customFormat="1" ht="14.25">
      <c r="A32" s="397" t="s">
        <v>1696</v>
      </c>
      <c r="B32" s="394" t="s">
        <v>1706</v>
      </c>
      <c r="C32" s="274" t="s">
        <v>1721</v>
      </c>
      <c r="D32" s="396">
        <v>1</v>
      </c>
      <c r="E32" s="385">
        <f t="shared" si="10"/>
        <v>31270</v>
      </c>
      <c r="F32" s="368">
        <v>31270</v>
      </c>
      <c r="G32" s="368"/>
      <c r="H32" s="385">
        <f t="shared" si="13"/>
        <v>7210</v>
      </c>
      <c r="I32" s="371">
        <v>465</v>
      </c>
      <c r="J32" s="371"/>
      <c r="K32" s="371">
        <v>534</v>
      </c>
      <c r="L32" s="371">
        <v>988</v>
      </c>
      <c r="M32" s="371"/>
      <c r="N32" s="371">
        <v>1793</v>
      </c>
      <c r="O32" s="580">
        <v>3430</v>
      </c>
      <c r="P32" s="386">
        <f t="shared" si="11"/>
        <v>24060</v>
      </c>
      <c r="Q32" s="371">
        <v>1699</v>
      </c>
      <c r="R32" s="371">
        <v>1020</v>
      </c>
      <c r="S32" s="371">
        <v>1165</v>
      </c>
      <c r="T32" s="371"/>
      <c r="U32" s="371">
        <v>2158</v>
      </c>
      <c r="V32" s="371"/>
      <c r="W32" s="371">
        <v>623</v>
      </c>
      <c r="X32" s="579">
        <f>7032-3430</f>
        <v>3602</v>
      </c>
      <c r="Y32" s="371">
        <v>6910</v>
      </c>
      <c r="Z32" s="371">
        <v>6883</v>
      </c>
      <c r="AA32" s="371"/>
      <c r="AB32" s="371"/>
      <c r="AC32" s="371"/>
      <c r="AD32" s="371"/>
      <c r="AE32" s="371"/>
      <c r="AF32" s="385">
        <f t="shared" si="12"/>
        <v>0</v>
      </c>
      <c r="AG32" s="371"/>
      <c r="AH32" s="371"/>
      <c r="AI32" s="387">
        <f t="shared" si="1"/>
        <v>0</v>
      </c>
      <c r="AJ32" s="496"/>
    </row>
    <row r="33" spans="1:36" s="393" customFormat="1" ht="14.25">
      <c r="A33" s="397" t="s">
        <v>1696</v>
      </c>
      <c r="B33" s="394" t="s">
        <v>1706</v>
      </c>
      <c r="C33" s="274" t="s">
        <v>1722</v>
      </c>
      <c r="D33" s="396">
        <v>1</v>
      </c>
      <c r="E33" s="385">
        <f t="shared" si="10"/>
        <v>100</v>
      </c>
      <c r="F33" s="368">
        <v>100</v>
      </c>
      <c r="G33" s="368"/>
      <c r="H33" s="385">
        <f t="shared" si="13"/>
        <v>0</v>
      </c>
      <c r="I33" s="371"/>
      <c r="J33" s="371"/>
      <c r="K33" s="371"/>
      <c r="L33" s="371"/>
      <c r="M33" s="371"/>
      <c r="N33" s="371"/>
      <c r="O33" s="370"/>
      <c r="P33" s="386">
        <f t="shared" si="11"/>
        <v>100</v>
      </c>
      <c r="Q33" s="371"/>
      <c r="R33" s="371"/>
      <c r="S33" s="371"/>
      <c r="T33" s="371"/>
      <c r="U33" s="371"/>
      <c r="V33" s="371"/>
      <c r="W33" s="371"/>
      <c r="X33" s="371"/>
      <c r="Y33" s="371">
        <v>100</v>
      </c>
      <c r="Z33" s="371"/>
      <c r="AA33" s="371"/>
      <c r="AB33" s="371"/>
      <c r="AC33" s="371"/>
      <c r="AD33" s="371"/>
      <c r="AE33" s="371"/>
      <c r="AF33" s="385">
        <f t="shared" si="12"/>
        <v>0</v>
      </c>
      <c r="AG33" s="371"/>
      <c r="AH33" s="371"/>
      <c r="AI33" s="387">
        <f t="shared" si="1"/>
        <v>0</v>
      </c>
      <c r="AJ33" s="496"/>
    </row>
    <row r="34" spans="1:36" s="393" customFormat="1" ht="14.25">
      <c r="A34" s="397" t="s">
        <v>1696</v>
      </c>
      <c r="B34" s="394" t="s">
        <v>1706</v>
      </c>
      <c r="C34" s="274" t="s">
        <v>1723</v>
      </c>
      <c r="D34" s="396">
        <v>1</v>
      </c>
      <c r="E34" s="385">
        <f t="shared" si="10"/>
        <v>12748</v>
      </c>
      <c r="F34" s="368">
        <v>11500</v>
      </c>
      <c r="G34" s="368">
        <v>1248</v>
      </c>
      <c r="H34" s="385">
        <f t="shared" si="13"/>
        <v>1543</v>
      </c>
      <c r="I34" s="371"/>
      <c r="J34" s="371"/>
      <c r="K34" s="371">
        <v>60</v>
      </c>
      <c r="L34" s="371">
        <v>1272</v>
      </c>
      <c r="M34" s="371"/>
      <c r="N34" s="371"/>
      <c r="O34" s="580">
        <v>211</v>
      </c>
      <c r="P34" s="386">
        <f t="shared" si="11"/>
        <v>11205</v>
      </c>
      <c r="Q34" s="371">
        <v>18</v>
      </c>
      <c r="R34" s="371">
        <v>1248</v>
      </c>
      <c r="S34" s="371">
        <v>624</v>
      </c>
      <c r="T34" s="371"/>
      <c r="U34" s="371">
        <v>4650</v>
      </c>
      <c r="V34" s="371"/>
      <c r="W34" s="371">
        <v>48</v>
      </c>
      <c r="X34" s="371">
        <v>804</v>
      </c>
      <c r="Y34" s="371">
        <v>638</v>
      </c>
      <c r="Z34" s="371">
        <v>138</v>
      </c>
      <c r="AA34" s="371"/>
      <c r="AB34" s="371"/>
      <c r="AC34" s="371"/>
      <c r="AD34" s="371"/>
      <c r="AE34" s="579">
        <f>3248-211</f>
        <v>3037</v>
      </c>
      <c r="AF34" s="385">
        <f t="shared" si="12"/>
        <v>0</v>
      </c>
      <c r="AG34" s="371"/>
      <c r="AH34" s="371"/>
      <c r="AI34" s="387">
        <f t="shared" si="1"/>
        <v>0</v>
      </c>
      <c r="AJ34" s="496"/>
    </row>
    <row r="35" spans="1:36" s="393" customFormat="1" ht="14.25">
      <c r="A35" s="397" t="s">
        <v>1696</v>
      </c>
      <c r="B35" s="394" t="s">
        <v>1706</v>
      </c>
      <c r="C35" s="274" t="s">
        <v>1724</v>
      </c>
      <c r="D35" s="396">
        <v>1</v>
      </c>
      <c r="E35" s="385">
        <f t="shared" si="10"/>
        <v>7713</v>
      </c>
      <c r="F35" s="368">
        <v>7713</v>
      </c>
      <c r="G35" s="368"/>
      <c r="H35" s="385">
        <f t="shared" si="13"/>
        <v>0</v>
      </c>
      <c r="I35" s="371"/>
      <c r="J35" s="371"/>
      <c r="K35" s="371"/>
      <c r="L35" s="371"/>
      <c r="M35" s="371"/>
      <c r="N35" s="371"/>
      <c r="O35" s="370"/>
      <c r="P35" s="386">
        <f t="shared" si="11"/>
        <v>7713</v>
      </c>
      <c r="Q35" s="371"/>
      <c r="R35" s="371"/>
      <c r="S35" s="371"/>
      <c r="T35" s="371"/>
      <c r="U35" s="371"/>
      <c r="V35" s="371"/>
      <c r="W35" s="371"/>
      <c r="X35" s="371"/>
      <c r="Y35" s="371"/>
      <c r="Z35" s="371"/>
      <c r="AA35" s="371"/>
      <c r="AB35" s="371"/>
      <c r="AC35" s="371"/>
      <c r="AD35" s="371"/>
      <c r="AE35" s="371">
        <v>7713</v>
      </c>
      <c r="AF35" s="385">
        <f t="shared" si="12"/>
        <v>0</v>
      </c>
      <c r="AG35" s="371"/>
      <c r="AH35" s="371"/>
      <c r="AI35" s="387">
        <f t="shared" si="1"/>
        <v>0</v>
      </c>
      <c r="AJ35" s="496"/>
    </row>
    <row r="36" spans="1:36" s="393" customFormat="1" ht="14.25">
      <c r="A36" s="397" t="s">
        <v>1696</v>
      </c>
      <c r="B36" s="394" t="s">
        <v>1706</v>
      </c>
      <c r="C36" s="274" t="s">
        <v>1725</v>
      </c>
      <c r="D36" s="396">
        <v>1</v>
      </c>
      <c r="E36" s="385">
        <f t="shared" si="10"/>
        <v>101710</v>
      </c>
      <c r="F36" s="368">
        <v>23665</v>
      </c>
      <c r="G36" s="919">
        <f>82204-966-3193</f>
        <v>78045</v>
      </c>
      <c r="H36" s="385">
        <f t="shared" si="13"/>
        <v>48186</v>
      </c>
      <c r="I36" s="371">
        <v>2150</v>
      </c>
      <c r="J36" s="371"/>
      <c r="K36" s="371">
        <v>6200</v>
      </c>
      <c r="L36" s="371">
        <v>3750</v>
      </c>
      <c r="M36" s="371">
        <v>1110</v>
      </c>
      <c r="N36" s="371">
        <v>4850</v>
      </c>
      <c r="O36" s="580">
        <v>30126</v>
      </c>
      <c r="P36" s="386">
        <f t="shared" si="11"/>
        <v>53194</v>
      </c>
      <c r="Q36" s="371">
        <v>3200</v>
      </c>
      <c r="R36" s="371">
        <v>4180</v>
      </c>
      <c r="S36" s="371">
        <v>3400</v>
      </c>
      <c r="T36" s="371">
        <v>230</v>
      </c>
      <c r="U36" s="371">
        <v>5250</v>
      </c>
      <c r="V36" s="371">
        <v>150</v>
      </c>
      <c r="W36" s="371">
        <v>230</v>
      </c>
      <c r="X36" s="371">
        <v>9350</v>
      </c>
      <c r="Y36" s="371">
        <v>7850</v>
      </c>
      <c r="Z36" s="371">
        <v>8300</v>
      </c>
      <c r="AA36" s="371">
        <v>115</v>
      </c>
      <c r="AB36" s="371">
        <v>2110</v>
      </c>
      <c r="AC36" s="371">
        <v>230</v>
      </c>
      <c r="AD36" s="371">
        <v>130</v>
      </c>
      <c r="AE36" s="579">
        <v>8469</v>
      </c>
      <c r="AF36" s="385">
        <f t="shared" si="12"/>
        <v>330</v>
      </c>
      <c r="AG36" s="371">
        <v>330</v>
      </c>
      <c r="AH36" s="371"/>
      <c r="AI36" s="387">
        <f t="shared" si="1"/>
        <v>0</v>
      </c>
      <c r="AJ36" s="496"/>
    </row>
    <row r="37" spans="1:36" s="393" customFormat="1" ht="14.25">
      <c r="A37" s="397" t="s">
        <v>1696</v>
      </c>
      <c r="B37" s="394" t="s">
        <v>1706</v>
      </c>
      <c r="C37" s="274" t="s">
        <v>1726</v>
      </c>
      <c r="D37" s="396">
        <v>1</v>
      </c>
      <c r="E37" s="385">
        <f t="shared" si="10"/>
        <v>631750</v>
      </c>
      <c r="F37" s="368"/>
      <c r="G37" s="919">
        <f>665000-20250-13000</f>
        <v>631750</v>
      </c>
      <c r="H37" s="385">
        <f t="shared" si="13"/>
        <v>79800</v>
      </c>
      <c r="I37" s="371"/>
      <c r="J37" s="371"/>
      <c r="K37" s="579">
        <f>77793-37918</f>
        <v>39875</v>
      </c>
      <c r="L37" s="371">
        <v>7931</v>
      </c>
      <c r="M37" s="371"/>
      <c r="N37" s="371">
        <v>31994</v>
      </c>
      <c r="O37" s="370"/>
      <c r="P37" s="386">
        <f t="shared" si="11"/>
        <v>551950</v>
      </c>
      <c r="Q37" s="371">
        <v>26577</v>
      </c>
      <c r="R37" s="371">
        <v>98176</v>
      </c>
      <c r="S37" s="371">
        <v>77891</v>
      </c>
      <c r="T37" s="371"/>
      <c r="U37" s="371">
        <v>72879</v>
      </c>
      <c r="V37" s="371"/>
      <c r="W37" s="371">
        <v>20073</v>
      </c>
      <c r="X37" s="371">
        <f>85804</f>
        <v>85804</v>
      </c>
      <c r="Y37" s="371">
        <f>107588</f>
        <v>107588</v>
      </c>
      <c r="Z37" s="371">
        <v>58294</v>
      </c>
      <c r="AA37" s="371"/>
      <c r="AB37" s="371"/>
      <c r="AC37" s="371"/>
      <c r="AD37" s="371"/>
      <c r="AE37" s="579">
        <v>4668</v>
      </c>
      <c r="AF37" s="385">
        <f t="shared" si="12"/>
        <v>0</v>
      </c>
      <c r="AG37" s="371"/>
      <c r="AH37" s="371"/>
      <c r="AI37" s="387">
        <f t="shared" si="1"/>
        <v>0</v>
      </c>
      <c r="AJ37" s="496"/>
    </row>
    <row r="38" spans="1:36" s="393" customFormat="1" ht="14.25">
      <c r="A38" s="397" t="s">
        <v>1696</v>
      </c>
      <c r="B38" s="394" t="s">
        <v>1706</v>
      </c>
      <c r="C38" s="274" t="s">
        <v>1727</v>
      </c>
      <c r="D38" s="396">
        <v>1</v>
      </c>
      <c r="E38" s="385">
        <f t="shared" si="10"/>
        <v>60000</v>
      </c>
      <c r="F38" s="368"/>
      <c r="G38" s="368">
        <v>60000</v>
      </c>
      <c r="H38" s="385">
        <f t="shared" si="13"/>
        <v>8000</v>
      </c>
      <c r="I38" s="371">
        <v>1000</v>
      </c>
      <c r="J38" s="371"/>
      <c r="K38" s="371">
        <v>4000</v>
      </c>
      <c r="L38" s="371">
        <v>1000</v>
      </c>
      <c r="M38" s="371"/>
      <c r="N38" s="371">
        <v>1000</v>
      </c>
      <c r="O38" s="580">
        <v>1000</v>
      </c>
      <c r="P38" s="386">
        <f t="shared" si="11"/>
        <v>52000</v>
      </c>
      <c r="Q38" s="371">
        <v>5000</v>
      </c>
      <c r="R38" s="371">
        <v>4500</v>
      </c>
      <c r="S38" s="371">
        <v>4500</v>
      </c>
      <c r="T38" s="371"/>
      <c r="U38" s="371">
        <v>5000</v>
      </c>
      <c r="V38" s="371"/>
      <c r="W38" s="371">
        <v>2000</v>
      </c>
      <c r="X38" s="371">
        <v>8000</v>
      </c>
      <c r="Y38" s="371">
        <v>12000</v>
      </c>
      <c r="Z38" s="579">
        <v>11000</v>
      </c>
      <c r="AA38" s="371"/>
      <c r="AB38" s="371"/>
      <c r="AC38" s="371"/>
      <c r="AD38" s="371"/>
      <c r="AE38" s="371"/>
      <c r="AF38" s="385">
        <f t="shared" si="12"/>
        <v>0</v>
      </c>
      <c r="AG38" s="371"/>
      <c r="AH38" s="371"/>
      <c r="AI38" s="387">
        <f t="shared" si="1"/>
        <v>0</v>
      </c>
      <c r="AJ38" s="496"/>
    </row>
    <row r="39" spans="1:36" s="393" customFormat="1" ht="14.25">
      <c r="A39" s="397" t="s">
        <v>1696</v>
      </c>
      <c r="B39" s="394" t="s">
        <v>1706</v>
      </c>
      <c r="C39" s="274" t="s">
        <v>1728</v>
      </c>
      <c r="D39" s="396">
        <v>1</v>
      </c>
      <c r="E39" s="385">
        <f t="shared" si="10"/>
        <v>588</v>
      </c>
      <c r="F39" s="368">
        <v>588</v>
      </c>
      <c r="G39" s="368"/>
      <c r="H39" s="385">
        <f t="shared" si="13"/>
        <v>228</v>
      </c>
      <c r="I39" s="371">
        <v>40</v>
      </c>
      <c r="J39" s="371">
        <v>25</v>
      </c>
      <c r="K39" s="371">
        <v>50</v>
      </c>
      <c r="L39" s="371">
        <v>50</v>
      </c>
      <c r="M39" s="371">
        <v>25</v>
      </c>
      <c r="N39" s="579">
        <v>38</v>
      </c>
      <c r="O39" s="370"/>
      <c r="P39" s="386">
        <f>SUM(Q39:AE39)</f>
        <v>360</v>
      </c>
      <c r="Q39" s="371">
        <v>40</v>
      </c>
      <c r="R39" s="371">
        <v>40</v>
      </c>
      <c r="S39" s="371">
        <v>40</v>
      </c>
      <c r="T39" s="371">
        <v>16</v>
      </c>
      <c r="U39" s="371">
        <v>50</v>
      </c>
      <c r="V39" s="371">
        <v>16</v>
      </c>
      <c r="W39" s="371">
        <v>16</v>
      </c>
      <c r="X39" s="371">
        <v>50</v>
      </c>
      <c r="Y39" s="371"/>
      <c r="Z39" s="371"/>
      <c r="AA39" s="371">
        <v>16</v>
      </c>
      <c r="AB39" s="371">
        <v>25</v>
      </c>
      <c r="AC39" s="371">
        <v>16</v>
      </c>
      <c r="AD39" s="371">
        <v>16</v>
      </c>
      <c r="AE39" s="371">
        <v>19</v>
      </c>
      <c r="AF39" s="385">
        <f t="shared" si="12"/>
        <v>0</v>
      </c>
      <c r="AG39" s="371"/>
      <c r="AH39" s="371"/>
      <c r="AI39" s="387">
        <f t="shared" si="1"/>
        <v>0</v>
      </c>
      <c r="AJ39" s="496"/>
    </row>
    <row r="40" spans="1:36" s="393" customFormat="1" ht="28.5">
      <c r="A40" s="397" t="s">
        <v>1696</v>
      </c>
      <c r="B40" s="394" t="s">
        <v>1706</v>
      </c>
      <c r="C40" s="274" t="s">
        <v>1729</v>
      </c>
      <c r="D40" s="396">
        <v>3</v>
      </c>
      <c r="E40" s="385">
        <f t="shared" si="10"/>
        <v>132563</v>
      </c>
      <c r="F40" s="368">
        <f>132563</f>
        <v>132563</v>
      </c>
      <c r="G40" s="368"/>
      <c r="H40" s="385">
        <f t="shared" si="13"/>
        <v>69236</v>
      </c>
      <c r="I40" s="579">
        <f>1824+21995-358.8-6394</f>
        <v>17066.2</v>
      </c>
      <c r="J40" s="371">
        <f>2950+1685</f>
        <v>4635</v>
      </c>
      <c r="K40" s="579">
        <f>24670+1425.6-6394</f>
        <v>19701.599999999999</v>
      </c>
      <c r="L40" s="371">
        <f>14850+2365.6</f>
        <v>17215.599999999999</v>
      </c>
      <c r="M40" s="371">
        <f>4650+2068.6</f>
        <v>6718.6</v>
      </c>
      <c r="N40" s="371">
        <f>2385+1514</f>
        <v>3899</v>
      </c>
      <c r="O40" s="370"/>
      <c r="P40" s="386">
        <f t="shared" si="11"/>
        <v>63327</v>
      </c>
      <c r="Q40" s="371">
        <f>3950+240</f>
        <v>4190</v>
      </c>
      <c r="R40" s="371">
        <f>6100+1274</f>
        <v>7374</v>
      </c>
      <c r="S40" s="371">
        <f>2350+2164.2</f>
        <v>4514.2</v>
      </c>
      <c r="T40" s="371">
        <f>2530+918.6</f>
        <v>3448.6</v>
      </c>
      <c r="U40" s="371">
        <f>6350+109</f>
        <v>6459</v>
      </c>
      <c r="V40" s="371">
        <f>1200+79</f>
        <v>1279</v>
      </c>
      <c r="W40" s="371">
        <f>925+347</f>
        <v>1272</v>
      </c>
      <c r="X40" s="371">
        <f>8637+2966</f>
        <v>11603</v>
      </c>
      <c r="Y40" s="371">
        <f>1180</f>
        <v>1180</v>
      </c>
      <c r="Z40" s="371">
        <v>1470</v>
      </c>
      <c r="AA40" s="371">
        <f>150+44</f>
        <v>194</v>
      </c>
      <c r="AB40" s="371">
        <f>3600+797.2</f>
        <v>4397.2</v>
      </c>
      <c r="AC40" s="371">
        <f>1740+499</f>
        <v>2239</v>
      </c>
      <c r="AD40" s="371">
        <f>540+379</f>
        <v>919</v>
      </c>
      <c r="AE40" s="579">
        <v>12788</v>
      </c>
      <c r="AF40" s="385">
        <f t="shared" si="12"/>
        <v>0</v>
      </c>
      <c r="AG40" s="371"/>
      <c r="AH40" s="371"/>
      <c r="AI40" s="387">
        <f t="shared" si="1"/>
        <v>0</v>
      </c>
      <c r="AJ40" s="496"/>
    </row>
    <row r="41" spans="1:36" s="393" customFormat="1" ht="28.5">
      <c r="A41" s="397" t="s">
        <v>1730</v>
      </c>
      <c r="B41" s="394" t="s">
        <v>1731</v>
      </c>
      <c r="C41" s="274" t="s">
        <v>1732</v>
      </c>
      <c r="D41" s="396">
        <v>5</v>
      </c>
      <c r="E41" s="385">
        <f t="shared" si="10"/>
        <v>9054.0000000000018</v>
      </c>
      <c r="F41" s="368">
        <f>7286+1804-36</f>
        <v>9054</v>
      </c>
      <c r="G41" s="368"/>
      <c r="H41" s="385">
        <f t="shared" si="13"/>
        <v>5550.0000000000009</v>
      </c>
      <c r="I41" s="579">
        <v>1141</v>
      </c>
      <c r="J41" s="371">
        <f>4973-J40</f>
        <v>338</v>
      </c>
      <c r="K41" s="579">
        <v>2000.2</v>
      </c>
      <c r="L41" s="371">
        <f>18047-L40</f>
        <v>831.40000000000146</v>
      </c>
      <c r="M41" s="371">
        <f>7118-M40</f>
        <v>399.39999999999964</v>
      </c>
      <c r="N41" s="371">
        <f>4739-N40</f>
        <v>840</v>
      </c>
      <c r="O41" s="370"/>
      <c r="P41" s="386">
        <f t="shared" si="11"/>
        <v>3504.0000000000005</v>
      </c>
      <c r="Q41" s="371">
        <f>4527-Q40</f>
        <v>337</v>
      </c>
      <c r="R41" s="371">
        <f>7724-R40</f>
        <v>350</v>
      </c>
      <c r="S41" s="371">
        <f>4824-S40</f>
        <v>309.80000000000018</v>
      </c>
      <c r="T41" s="371">
        <f>3724-T40</f>
        <v>275.40000000000009</v>
      </c>
      <c r="U41" s="579">
        <f>7407-U40-575</f>
        <v>373</v>
      </c>
      <c r="V41" s="371">
        <f>1456-V40</f>
        <v>177</v>
      </c>
      <c r="W41" s="371">
        <f>1506-W40</f>
        <v>234</v>
      </c>
      <c r="X41" s="371">
        <f>12056-X40</f>
        <v>453</v>
      </c>
      <c r="Y41" s="371">
        <f>1180-Y40</f>
        <v>0</v>
      </c>
      <c r="Z41" s="371">
        <f>1470-Z40</f>
        <v>0</v>
      </c>
      <c r="AA41" s="371">
        <f>280-AA40</f>
        <v>86</v>
      </c>
      <c r="AB41" s="371">
        <f>4820-AB40</f>
        <v>422.80000000000018</v>
      </c>
      <c r="AC41" s="371">
        <f>2490-AC40</f>
        <v>251</v>
      </c>
      <c r="AD41" s="371">
        <f>1154-AD40</f>
        <v>235</v>
      </c>
      <c r="AE41" s="371"/>
      <c r="AF41" s="385"/>
      <c r="AG41" s="371"/>
      <c r="AH41" s="371"/>
      <c r="AI41" s="387">
        <f t="shared" si="1"/>
        <v>0</v>
      </c>
      <c r="AJ41" s="496"/>
    </row>
    <row r="42" spans="1:36" s="393" customFormat="1" ht="14.25">
      <c r="A42" s="397" t="s">
        <v>1696</v>
      </c>
      <c r="B42" s="394" t="s">
        <v>1706</v>
      </c>
      <c r="C42" s="274" t="s">
        <v>1733</v>
      </c>
      <c r="D42" s="396">
        <v>1</v>
      </c>
      <c r="E42" s="385">
        <f t="shared" si="10"/>
        <v>590000</v>
      </c>
      <c r="F42" s="368">
        <v>390000</v>
      </c>
      <c r="G42" s="368">
        <v>200000</v>
      </c>
      <c r="H42" s="385">
        <f t="shared" si="13"/>
        <v>59000</v>
      </c>
      <c r="I42" s="371">
        <v>8350</v>
      </c>
      <c r="J42" s="371"/>
      <c r="K42" s="371">
        <v>12050</v>
      </c>
      <c r="L42" s="371">
        <v>10900</v>
      </c>
      <c r="M42" s="371"/>
      <c r="N42" s="579">
        <f>31400-3700</f>
        <v>27700</v>
      </c>
      <c r="O42" s="370"/>
      <c r="P42" s="386">
        <f t="shared" si="11"/>
        <v>531000</v>
      </c>
      <c r="Q42" s="371">
        <v>23550</v>
      </c>
      <c r="R42" s="371">
        <v>30250</v>
      </c>
      <c r="S42" s="371">
        <v>26150</v>
      </c>
      <c r="T42" s="371"/>
      <c r="U42" s="371">
        <v>33700</v>
      </c>
      <c r="V42" s="371"/>
      <c r="W42" s="371">
        <v>10150</v>
      </c>
      <c r="X42" s="371">
        <v>109300</v>
      </c>
      <c r="Y42" s="371">
        <v>150100</v>
      </c>
      <c r="Z42" s="371">
        <v>136700</v>
      </c>
      <c r="AA42" s="371"/>
      <c r="AB42" s="371"/>
      <c r="AC42" s="371"/>
      <c r="AD42" s="371"/>
      <c r="AE42" s="579">
        <f>7400+3700</f>
        <v>11100</v>
      </c>
      <c r="AF42" s="385">
        <f>SUM(AG42:AH42)</f>
        <v>0</v>
      </c>
      <c r="AG42" s="371"/>
      <c r="AH42" s="371"/>
      <c r="AI42" s="387">
        <f t="shared" si="1"/>
        <v>0</v>
      </c>
      <c r="AJ42" s="496"/>
    </row>
    <row r="43" spans="1:36" s="410" customFormat="1" ht="21.6" customHeight="1">
      <c r="A43" s="405" t="s">
        <v>1696</v>
      </c>
      <c r="B43" s="406" t="s">
        <v>1734</v>
      </c>
      <c r="C43" s="407" t="s">
        <v>1735</v>
      </c>
      <c r="D43" s="920">
        <v>3</v>
      </c>
      <c r="E43" s="409">
        <f>H43+P43</f>
        <v>7931</v>
      </c>
      <c r="F43" s="409">
        <f>713-21-13</f>
        <v>679</v>
      </c>
      <c r="G43" s="409">
        <f>7630-229-149</f>
        <v>7252</v>
      </c>
      <c r="H43" s="409">
        <f t="shared" si="13"/>
        <v>2600</v>
      </c>
      <c r="I43" s="409">
        <v>500</v>
      </c>
      <c r="J43" s="409">
        <v>450</v>
      </c>
      <c r="K43" s="409">
        <v>450</v>
      </c>
      <c r="L43" s="409">
        <v>300</v>
      </c>
      <c r="M43" s="409">
        <v>450</v>
      </c>
      <c r="N43" s="409">
        <v>450</v>
      </c>
      <c r="O43" s="409">
        <v>0</v>
      </c>
      <c r="P43" s="409">
        <f t="shared" si="11"/>
        <v>5331</v>
      </c>
      <c r="Q43" s="409">
        <v>532</v>
      </c>
      <c r="R43" s="409">
        <v>500</v>
      </c>
      <c r="S43" s="409">
        <v>570</v>
      </c>
      <c r="T43" s="409">
        <v>300</v>
      </c>
      <c r="U43" s="409">
        <v>0</v>
      </c>
      <c r="V43" s="409">
        <v>0</v>
      </c>
      <c r="W43" s="409">
        <v>300</v>
      </c>
      <c r="X43" s="409">
        <f>1500-250</f>
        <v>1250</v>
      </c>
      <c r="Y43" s="409">
        <v>600</v>
      </c>
      <c r="Z43" s="409">
        <f>1088-162</f>
        <v>926</v>
      </c>
      <c r="AA43" s="409">
        <v>0</v>
      </c>
      <c r="AB43" s="409">
        <v>353</v>
      </c>
      <c r="AC43" s="409"/>
      <c r="AD43" s="409"/>
      <c r="AE43" s="409"/>
      <c r="AF43" s="409">
        <f>SUM(AG43:AH43)</f>
        <v>0</v>
      </c>
      <c r="AG43" s="409"/>
      <c r="AH43" s="409"/>
      <c r="AI43" s="387">
        <f t="shared" si="1"/>
        <v>0</v>
      </c>
      <c r="AJ43" s="496"/>
    </row>
    <row r="44" spans="1:36" s="515" customFormat="1" ht="24" customHeight="1">
      <c r="A44" s="510" t="s">
        <v>1277</v>
      </c>
      <c r="B44" s="511"/>
      <c r="C44" s="512"/>
      <c r="D44" s="513"/>
      <c r="E44" s="514">
        <f t="shared" ref="E44:AH44" si="14">SUM(E45:E58)</f>
        <v>667974</v>
      </c>
      <c r="F44" s="514">
        <f t="shared" si="14"/>
        <v>357005</v>
      </c>
      <c r="G44" s="514">
        <f t="shared" si="14"/>
        <v>310969</v>
      </c>
      <c r="H44" s="514">
        <f t="shared" si="14"/>
        <v>227856</v>
      </c>
      <c r="I44" s="514">
        <f t="shared" si="14"/>
        <v>39193</v>
      </c>
      <c r="J44" s="514">
        <f t="shared" si="14"/>
        <v>0</v>
      </c>
      <c r="K44" s="514">
        <f t="shared" si="14"/>
        <v>42706</v>
      </c>
      <c r="L44" s="514">
        <f t="shared" si="14"/>
        <v>27949</v>
      </c>
      <c r="M44" s="514">
        <f t="shared" si="14"/>
        <v>32390</v>
      </c>
      <c r="N44" s="514">
        <f t="shared" si="14"/>
        <v>70349</v>
      </c>
      <c r="O44" s="514">
        <f t="shared" si="14"/>
        <v>15269</v>
      </c>
      <c r="P44" s="514">
        <f t="shared" si="14"/>
        <v>440118</v>
      </c>
      <c r="Q44" s="514">
        <f t="shared" si="14"/>
        <v>19240</v>
      </c>
      <c r="R44" s="514">
        <f t="shared" si="14"/>
        <v>35371</v>
      </c>
      <c r="S44" s="514">
        <f t="shared" si="14"/>
        <v>42072</v>
      </c>
      <c r="T44" s="514">
        <f t="shared" si="14"/>
        <v>20674</v>
      </c>
      <c r="U44" s="514">
        <f t="shared" si="14"/>
        <v>35455</v>
      </c>
      <c r="V44" s="514">
        <f t="shared" si="14"/>
        <v>29464</v>
      </c>
      <c r="W44" s="514">
        <f t="shared" si="14"/>
        <v>23113</v>
      </c>
      <c r="X44" s="514">
        <f t="shared" si="14"/>
        <v>56616</v>
      </c>
      <c r="Y44" s="514">
        <f t="shared" si="14"/>
        <v>40266</v>
      </c>
      <c r="Z44" s="514">
        <f t="shared" si="14"/>
        <v>51310</v>
      </c>
      <c r="AA44" s="514">
        <f t="shared" si="14"/>
        <v>7115</v>
      </c>
      <c r="AB44" s="514">
        <f t="shared" si="14"/>
        <v>12277</v>
      </c>
      <c r="AC44" s="514">
        <f t="shared" si="14"/>
        <v>24483</v>
      </c>
      <c r="AD44" s="514">
        <f t="shared" si="14"/>
        <v>16972</v>
      </c>
      <c r="AE44" s="514">
        <f t="shared" si="14"/>
        <v>25690</v>
      </c>
      <c r="AF44" s="514">
        <f t="shared" si="14"/>
        <v>0</v>
      </c>
      <c r="AG44" s="514">
        <f t="shared" si="14"/>
        <v>0</v>
      </c>
      <c r="AH44" s="514">
        <f t="shared" si="14"/>
        <v>0</v>
      </c>
      <c r="AI44" s="387">
        <f t="shared" si="1"/>
        <v>0</v>
      </c>
    </row>
    <row r="45" spans="1:36" s="393" customFormat="1" ht="14.25">
      <c r="A45" s="397" t="s">
        <v>1696</v>
      </c>
      <c r="B45" s="394" t="s">
        <v>1697</v>
      </c>
      <c r="C45" s="497" t="s">
        <v>1698</v>
      </c>
      <c r="D45" s="914">
        <v>3</v>
      </c>
      <c r="E45" s="385">
        <f>SUM(F45:G45)</f>
        <v>569</v>
      </c>
      <c r="F45" s="368">
        <v>569</v>
      </c>
      <c r="G45" s="368">
        <v>0</v>
      </c>
      <c r="H45" s="385">
        <f>SUM(I45:O45)</f>
        <v>334</v>
      </c>
      <c r="I45" s="371">
        <v>0</v>
      </c>
      <c r="J45" s="371">
        <v>0</v>
      </c>
      <c r="K45" s="371">
        <v>95</v>
      </c>
      <c r="L45" s="371">
        <v>95</v>
      </c>
      <c r="M45" s="371">
        <v>42</v>
      </c>
      <c r="N45" s="371">
        <v>102</v>
      </c>
      <c r="O45" s="370">
        <v>0</v>
      </c>
      <c r="P45" s="386">
        <f>SUM(Q45:AE45)</f>
        <v>235</v>
      </c>
      <c r="Q45" s="371">
        <v>25</v>
      </c>
      <c r="R45" s="371">
        <v>50</v>
      </c>
      <c r="S45" s="371">
        <v>50</v>
      </c>
      <c r="T45" s="371">
        <v>0</v>
      </c>
      <c r="U45" s="371">
        <v>20</v>
      </c>
      <c r="V45" s="371">
        <v>0</v>
      </c>
      <c r="W45" s="371">
        <v>0</v>
      </c>
      <c r="X45" s="371">
        <v>40</v>
      </c>
      <c r="Y45" s="371">
        <v>25</v>
      </c>
      <c r="Z45" s="371">
        <v>25</v>
      </c>
      <c r="AA45" s="371">
        <v>0</v>
      </c>
      <c r="AB45" s="371">
        <v>0</v>
      </c>
      <c r="AC45" s="371">
        <v>0</v>
      </c>
      <c r="AD45" s="371">
        <v>0</v>
      </c>
      <c r="AE45" s="371">
        <v>0</v>
      </c>
      <c r="AF45" s="385">
        <f>SUM(AG45:AH45)</f>
        <v>0</v>
      </c>
      <c r="AG45" s="371">
        <v>0</v>
      </c>
      <c r="AH45" s="371">
        <v>0</v>
      </c>
      <c r="AI45" s="387">
        <f t="shared" ref="AI45:AI57" si="15">IF(AND(+F45+G45=E45,AF45+P45+H45=E45),0,FALSE)</f>
        <v>0</v>
      </c>
      <c r="AJ45" s="496"/>
    </row>
    <row r="46" spans="1:36" s="393" customFormat="1" ht="14.25">
      <c r="A46" s="397" t="s">
        <v>1696</v>
      </c>
      <c r="B46" s="394" t="s">
        <v>1697</v>
      </c>
      <c r="C46" s="497" t="s">
        <v>1699</v>
      </c>
      <c r="D46" s="914">
        <v>3</v>
      </c>
      <c r="E46" s="385">
        <f t="shared" ref="E46:E57" si="16">SUM(F46:G46)</f>
        <v>969</v>
      </c>
      <c r="F46" s="368">
        <v>969</v>
      </c>
      <c r="G46" s="368">
        <v>0</v>
      </c>
      <c r="H46" s="385">
        <f t="shared" ref="H46:H57" si="17">SUM(I46:O46)</f>
        <v>469</v>
      </c>
      <c r="I46" s="371">
        <v>0</v>
      </c>
      <c r="J46" s="371">
        <v>0</v>
      </c>
      <c r="K46" s="371">
        <v>0</v>
      </c>
      <c r="L46" s="371">
        <v>0</v>
      </c>
      <c r="M46" s="371">
        <v>0</v>
      </c>
      <c r="N46" s="371">
        <v>0</v>
      </c>
      <c r="O46" s="370">
        <v>469</v>
      </c>
      <c r="P46" s="386">
        <f t="shared" ref="P46:P57" si="18">SUM(Q46:AE46)</f>
        <v>500</v>
      </c>
      <c r="Q46" s="371">
        <v>0</v>
      </c>
      <c r="R46" s="371">
        <v>0</v>
      </c>
      <c r="S46" s="371">
        <v>0</v>
      </c>
      <c r="T46" s="371">
        <v>0</v>
      </c>
      <c r="U46" s="371">
        <v>0</v>
      </c>
      <c r="V46" s="371">
        <v>0</v>
      </c>
      <c r="W46" s="371">
        <v>0</v>
      </c>
      <c r="X46" s="371">
        <v>0</v>
      </c>
      <c r="Y46" s="371">
        <v>0</v>
      </c>
      <c r="Z46" s="371">
        <v>0</v>
      </c>
      <c r="AA46" s="371">
        <v>0</v>
      </c>
      <c r="AB46" s="371">
        <v>0</v>
      </c>
      <c r="AC46" s="371">
        <v>0</v>
      </c>
      <c r="AD46" s="371">
        <v>0</v>
      </c>
      <c r="AE46" s="371">
        <v>500</v>
      </c>
      <c r="AF46" s="385">
        <f>SUM(AG46:AH46)</f>
        <v>0</v>
      </c>
      <c r="AG46" s="371">
        <v>0</v>
      </c>
      <c r="AH46" s="371">
        <v>0</v>
      </c>
      <c r="AI46" s="387">
        <f t="shared" si="15"/>
        <v>0</v>
      </c>
      <c r="AJ46" s="496"/>
    </row>
    <row r="47" spans="1:36" s="393" customFormat="1" ht="14.25">
      <c r="A47" s="397" t="s">
        <v>1696</v>
      </c>
      <c r="B47" s="394" t="s">
        <v>1697</v>
      </c>
      <c r="C47" s="497" t="s">
        <v>1700</v>
      </c>
      <c r="D47" s="915">
        <v>3</v>
      </c>
      <c r="E47" s="385">
        <f t="shared" si="16"/>
        <v>33000</v>
      </c>
      <c r="F47" s="368">
        <v>33000</v>
      </c>
      <c r="G47" s="368">
        <v>0</v>
      </c>
      <c r="H47" s="385">
        <f t="shared" si="17"/>
        <v>12000</v>
      </c>
      <c r="I47" s="371">
        <v>0</v>
      </c>
      <c r="J47" s="371">
        <v>0</v>
      </c>
      <c r="K47" s="371">
        <v>0</v>
      </c>
      <c r="L47" s="371">
        <v>0</v>
      </c>
      <c r="M47" s="371">
        <v>0</v>
      </c>
      <c r="N47" s="371">
        <v>0</v>
      </c>
      <c r="O47" s="370">
        <v>12000</v>
      </c>
      <c r="P47" s="386">
        <f t="shared" si="18"/>
        <v>21000</v>
      </c>
      <c r="Q47" s="371">
        <v>0</v>
      </c>
      <c r="R47" s="371">
        <v>0</v>
      </c>
      <c r="S47" s="371">
        <v>0</v>
      </c>
      <c r="T47" s="371">
        <v>0</v>
      </c>
      <c r="U47" s="371">
        <v>0</v>
      </c>
      <c r="V47" s="371">
        <v>0</v>
      </c>
      <c r="W47" s="371">
        <v>0</v>
      </c>
      <c r="X47" s="371">
        <v>0</v>
      </c>
      <c r="Y47" s="371">
        <v>0</v>
      </c>
      <c r="Z47" s="371">
        <v>0</v>
      </c>
      <c r="AA47" s="371">
        <v>0</v>
      </c>
      <c r="AB47" s="371">
        <v>0</v>
      </c>
      <c r="AC47" s="371">
        <v>0</v>
      </c>
      <c r="AD47" s="371">
        <v>0</v>
      </c>
      <c r="AE47" s="371">
        <v>21000</v>
      </c>
      <c r="AF47" s="385">
        <f>SUM(AG47:AH47)</f>
        <v>0</v>
      </c>
      <c r="AG47" s="371">
        <v>0</v>
      </c>
      <c r="AH47" s="371">
        <v>0</v>
      </c>
      <c r="AI47" s="387">
        <f t="shared" si="15"/>
        <v>0</v>
      </c>
      <c r="AJ47" s="496"/>
    </row>
    <row r="48" spans="1:36" s="393" customFormat="1" ht="14.25">
      <c r="A48" s="397" t="s">
        <v>1696</v>
      </c>
      <c r="B48" s="394" t="s">
        <v>1697</v>
      </c>
      <c r="C48" s="274" t="s">
        <v>1319</v>
      </c>
      <c r="D48" s="915">
        <v>3</v>
      </c>
      <c r="E48" s="385">
        <f t="shared" si="16"/>
        <v>15714</v>
      </c>
      <c r="F48" s="368">
        <v>15714</v>
      </c>
      <c r="G48" s="368">
        <v>0</v>
      </c>
      <c r="H48" s="385">
        <f t="shared" si="17"/>
        <v>5238</v>
      </c>
      <c r="I48" s="371">
        <v>0</v>
      </c>
      <c r="J48" s="371">
        <v>0</v>
      </c>
      <c r="K48" s="371">
        <v>2619</v>
      </c>
      <c r="L48" s="371">
        <v>2619</v>
      </c>
      <c r="M48" s="371">
        <v>0</v>
      </c>
      <c r="N48" s="371">
        <v>0</v>
      </c>
      <c r="O48" s="370">
        <v>0</v>
      </c>
      <c r="P48" s="386">
        <f t="shared" si="18"/>
        <v>10476</v>
      </c>
      <c r="Q48" s="371">
        <v>0</v>
      </c>
      <c r="R48" s="371">
        <v>5238</v>
      </c>
      <c r="S48" s="371">
        <v>5238</v>
      </c>
      <c r="T48" s="371">
        <v>0</v>
      </c>
      <c r="U48" s="371">
        <v>0</v>
      </c>
      <c r="V48" s="371">
        <v>0</v>
      </c>
      <c r="W48" s="371">
        <v>0</v>
      </c>
      <c r="X48" s="371">
        <v>0</v>
      </c>
      <c r="Y48" s="371">
        <v>0</v>
      </c>
      <c r="Z48" s="371">
        <v>0</v>
      </c>
      <c r="AA48" s="371">
        <v>0</v>
      </c>
      <c r="AB48" s="371">
        <v>0</v>
      </c>
      <c r="AC48" s="371">
        <v>0</v>
      </c>
      <c r="AD48" s="371">
        <v>0</v>
      </c>
      <c r="AE48" s="371">
        <v>0</v>
      </c>
      <c r="AF48" s="385">
        <v>0</v>
      </c>
      <c r="AG48" s="371">
        <v>0</v>
      </c>
      <c r="AH48" s="371">
        <v>0</v>
      </c>
      <c r="AI48" s="387">
        <f t="shared" si="15"/>
        <v>0</v>
      </c>
      <c r="AJ48" s="496"/>
    </row>
    <row r="49" spans="1:36" s="393" customFormat="1" ht="28.5">
      <c r="A49" s="397" t="s">
        <v>1696</v>
      </c>
      <c r="B49" s="394" t="s">
        <v>1697</v>
      </c>
      <c r="C49" s="274" t="s">
        <v>1320</v>
      </c>
      <c r="D49" s="915">
        <v>3</v>
      </c>
      <c r="E49" s="385">
        <f t="shared" si="16"/>
        <v>144856</v>
      </c>
      <c r="F49" s="368">
        <v>9276</v>
      </c>
      <c r="G49" s="368">
        <v>135580</v>
      </c>
      <c r="H49" s="385">
        <f t="shared" si="17"/>
        <v>43437</v>
      </c>
      <c r="I49" s="371">
        <v>8743</v>
      </c>
      <c r="J49" s="371">
        <v>0</v>
      </c>
      <c r="K49" s="371">
        <v>2914</v>
      </c>
      <c r="L49" s="371">
        <v>1554</v>
      </c>
      <c r="M49" s="371">
        <v>9131</v>
      </c>
      <c r="N49" s="371">
        <v>21095</v>
      </c>
      <c r="O49" s="370">
        <v>0</v>
      </c>
      <c r="P49" s="386">
        <f t="shared" si="18"/>
        <v>101419</v>
      </c>
      <c r="Q49" s="371">
        <v>7290</v>
      </c>
      <c r="R49" s="371">
        <v>2916</v>
      </c>
      <c r="S49" s="371">
        <v>2270</v>
      </c>
      <c r="T49" s="371">
        <v>8748</v>
      </c>
      <c r="U49" s="371">
        <v>9429</v>
      </c>
      <c r="V49" s="371">
        <v>8748</v>
      </c>
      <c r="W49" s="371">
        <v>6416</v>
      </c>
      <c r="X49" s="371">
        <v>10693</v>
      </c>
      <c r="Y49" s="371">
        <v>10693</v>
      </c>
      <c r="Z49" s="371">
        <v>12637</v>
      </c>
      <c r="AA49" s="371">
        <v>2430</v>
      </c>
      <c r="AB49" s="371">
        <v>3402</v>
      </c>
      <c r="AC49" s="371">
        <v>9429</v>
      </c>
      <c r="AD49" s="371">
        <v>6318</v>
      </c>
      <c r="AE49" s="371">
        <v>0</v>
      </c>
      <c r="AF49" s="385">
        <v>0</v>
      </c>
      <c r="AG49" s="371">
        <v>0</v>
      </c>
      <c r="AH49" s="371">
        <v>0</v>
      </c>
      <c r="AI49" s="387">
        <f t="shared" si="15"/>
        <v>0</v>
      </c>
      <c r="AJ49" s="496"/>
    </row>
    <row r="50" spans="1:36" s="393" customFormat="1" ht="28.5">
      <c r="A50" s="397" t="s">
        <v>1696</v>
      </c>
      <c r="B50" s="394" t="s">
        <v>1697</v>
      </c>
      <c r="C50" s="274" t="s">
        <v>1321</v>
      </c>
      <c r="D50" s="915">
        <v>3</v>
      </c>
      <c r="E50" s="385">
        <f t="shared" si="16"/>
        <v>155656</v>
      </c>
      <c r="F50" s="368">
        <v>11806</v>
      </c>
      <c r="G50" s="368">
        <v>143850</v>
      </c>
      <c r="H50" s="385">
        <f t="shared" si="17"/>
        <v>46677</v>
      </c>
      <c r="I50" s="371">
        <v>11680</v>
      </c>
      <c r="J50" s="371">
        <v>0</v>
      </c>
      <c r="K50" s="371">
        <v>3558</v>
      </c>
      <c r="L50" s="371">
        <v>2920</v>
      </c>
      <c r="M50" s="371">
        <v>12167</v>
      </c>
      <c r="N50" s="371">
        <v>16352</v>
      </c>
      <c r="O50" s="370">
        <v>0</v>
      </c>
      <c r="P50" s="386">
        <f t="shared" si="18"/>
        <v>108979</v>
      </c>
      <c r="Q50" s="371">
        <v>6525</v>
      </c>
      <c r="R50" s="371">
        <v>3214</v>
      </c>
      <c r="S50" s="371">
        <v>3214</v>
      </c>
      <c r="T50" s="371">
        <v>6526</v>
      </c>
      <c r="U50" s="371">
        <v>12661</v>
      </c>
      <c r="V50" s="371">
        <v>8766</v>
      </c>
      <c r="W50" s="371">
        <v>7597</v>
      </c>
      <c r="X50" s="371">
        <v>15583</v>
      </c>
      <c r="Y50" s="371">
        <v>13148</v>
      </c>
      <c r="Z50" s="371">
        <v>13148</v>
      </c>
      <c r="AA50" s="371">
        <v>3214</v>
      </c>
      <c r="AB50" s="371">
        <v>4475</v>
      </c>
      <c r="AC50" s="371">
        <v>5454</v>
      </c>
      <c r="AD50" s="371">
        <v>5454</v>
      </c>
      <c r="AE50" s="371">
        <v>0</v>
      </c>
      <c r="AF50" s="385">
        <v>0</v>
      </c>
      <c r="AG50" s="371">
        <v>0</v>
      </c>
      <c r="AH50" s="371">
        <v>0</v>
      </c>
      <c r="AI50" s="387">
        <f t="shared" si="15"/>
        <v>0</v>
      </c>
      <c r="AJ50" s="496"/>
    </row>
    <row r="51" spans="1:36" s="393" customFormat="1" ht="14.25">
      <c r="A51" s="397" t="s">
        <v>1696</v>
      </c>
      <c r="B51" s="394" t="s">
        <v>1697</v>
      </c>
      <c r="C51" s="274" t="s">
        <v>957</v>
      </c>
      <c r="D51" s="915">
        <v>3</v>
      </c>
      <c r="E51" s="385">
        <f t="shared" si="16"/>
        <v>57107</v>
      </c>
      <c r="F51" s="368">
        <v>57107</v>
      </c>
      <c r="G51" s="368">
        <v>0</v>
      </c>
      <c r="H51" s="385">
        <f t="shared" si="17"/>
        <v>19036</v>
      </c>
      <c r="I51" s="371">
        <v>6800</v>
      </c>
      <c r="J51" s="371">
        <v>0</v>
      </c>
      <c r="K51" s="371">
        <v>920</v>
      </c>
      <c r="L51" s="371">
        <v>316</v>
      </c>
      <c r="M51" s="371">
        <v>2800</v>
      </c>
      <c r="N51" s="371">
        <v>8200</v>
      </c>
      <c r="O51" s="370">
        <v>0</v>
      </c>
      <c r="P51" s="386">
        <f t="shared" si="18"/>
        <v>38071</v>
      </c>
      <c r="Q51" s="371">
        <v>1800</v>
      </c>
      <c r="R51" s="371">
        <v>1900</v>
      </c>
      <c r="S51" s="371">
        <v>1000</v>
      </c>
      <c r="T51" s="371">
        <v>1300</v>
      </c>
      <c r="U51" s="371">
        <v>1300</v>
      </c>
      <c r="V51" s="371">
        <v>3200</v>
      </c>
      <c r="W51" s="371">
        <v>3500</v>
      </c>
      <c r="X51" s="371">
        <v>6200</v>
      </c>
      <c r="Y51" s="371">
        <v>6200</v>
      </c>
      <c r="Z51" s="371">
        <v>6200</v>
      </c>
      <c r="AA51" s="371">
        <v>571</v>
      </c>
      <c r="AB51" s="371">
        <v>900</v>
      </c>
      <c r="AC51" s="371">
        <v>2000</v>
      </c>
      <c r="AD51" s="371">
        <v>2000</v>
      </c>
      <c r="AE51" s="371">
        <v>0</v>
      </c>
      <c r="AF51" s="385">
        <v>0</v>
      </c>
      <c r="AG51" s="371">
        <v>0</v>
      </c>
      <c r="AH51" s="371">
        <v>0</v>
      </c>
      <c r="AI51" s="387">
        <f t="shared" si="15"/>
        <v>0</v>
      </c>
      <c r="AJ51" s="496"/>
    </row>
    <row r="52" spans="1:36" s="393" customFormat="1" ht="28.5">
      <c r="A52" s="397" t="s">
        <v>1696</v>
      </c>
      <c r="B52" s="394" t="s">
        <v>1697</v>
      </c>
      <c r="C52" s="274" t="s">
        <v>958</v>
      </c>
      <c r="D52" s="915">
        <v>3</v>
      </c>
      <c r="E52" s="385">
        <f t="shared" si="16"/>
        <v>37648</v>
      </c>
      <c r="F52" s="368">
        <v>6979</v>
      </c>
      <c r="G52" s="368">
        <v>30669</v>
      </c>
      <c r="H52" s="385">
        <f t="shared" si="17"/>
        <v>11295</v>
      </c>
      <c r="I52" s="371">
        <v>3500</v>
      </c>
      <c r="J52" s="371">
        <v>0</v>
      </c>
      <c r="K52" s="371">
        <v>1000</v>
      </c>
      <c r="L52" s="371">
        <v>845</v>
      </c>
      <c r="M52" s="371">
        <v>2450</v>
      </c>
      <c r="N52" s="371">
        <v>3500</v>
      </c>
      <c r="O52" s="370">
        <v>0</v>
      </c>
      <c r="P52" s="386">
        <f t="shared" si="18"/>
        <v>26353</v>
      </c>
      <c r="Q52" s="371">
        <v>900</v>
      </c>
      <c r="R52" s="371">
        <v>1153</v>
      </c>
      <c r="S52" s="371">
        <v>1300</v>
      </c>
      <c r="T52" s="371">
        <v>900</v>
      </c>
      <c r="U52" s="371">
        <v>2000</v>
      </c>
      <c r="V52" s="371">
        <v>3000</v>
      </c>
      <c r="W52" s="371">
        <v>1800</v>
      </c>
      <c r="X52" s="371">
        <v>3500</v>
      </c>
      <c r="Y52" s="371">
        <v>3600</v>
      </c>
      <c r="Z52" s="371">
        <v>4100</v>
      </c>
      <c r="AA52" s="371">
        <v>900</v>
      </c>
      <c r="AB52" s="371">
        <v>1000</v>
      </c>
      <c r="AC52" s="371">
        <v>1500</v>
      </c>
      <c r="AD52" s="371">
        <v>700</v>
      </c>
      <c r="AE52" s="371">
        <v>0</v>
      </c>
      <c r="AF52" s="385">
        <v>0</v>
      </c>
      <c r="AG52" s="371">
        <v>0</v>
      </c>
      <c r="AH52" s="371">
        <v>0</v>
      </c>
      <c r="AI52" s="387">
        <f t="shared" si="15"/>
        <v>0</v>
      </c>
      <c r="AJ52" s="496"/>
    </row>
    <row r="53" spans="1:36" s="393" customFormat="1" ht="14.25">
      <c r="A53" s="397" t="s">
        <v>1696</v>
      </c>
      <c r="B53" s="394" t="s">
        <v>1697</v>
      </c>
      <c r="C53" s="274" t="s">
        <v>1701</v>
      </c>
      <c r="D53" s="915">
        <v>3</v>
      </c>
      <c r="E53" s="385">
        <f t="shared" si="16"/>
        <v>113245</v>
      </c>
      <c r="F53" s="371">
        <v>113245</v>
      </c>
      <c r="G53" s="371">
        <v>0</v>
      </c>
      <c r="H53" s="385">
        <f t="shared" si="17"/>
        <v>37000</v>
      </c>
      <c r="I53" s="371">
        <v>5000</v>
      </c>
      <c r="J53" s="371">
        <v>0</v>
      </c>
      <c r="K53" s="371">
        <v>10000</v>
      </c>
      <c r="L53" s="371">
        <v>10000</v>
      </c>
      <c r="M53" s="371">
        <v>2000</v>
      </c>
      <c r="N53" s="371">
        <v>10000</v>
      </c>
      <c r="O53" s="370">
        <v>0</v>
      </c>
      <c r="P53" s="386">
        <f t="shared" si="18"/>
        <v>76245</v>
      </c>
      <c r="Q53" s="371">
        <v>2000</v>
      </c>
      <c r="R53" s="371">
        <v>13000</v>
      </c>
      <c r="S53" s="371">
        <v>12500</v>
      </c>
      <c r="T53" s="371">
        <v>2000</v>
      </c>
      <c r="U53" s="371">
        <v>7245</v>
      </c>
      <c r="V53" s="371">
        <v>4000</v>
      </c>
      <c r="W53" s="371">
        <v>3000</v>
      </c>
      <c r="X53" s="371">
        <v>12500</v>
      </c>
      <c r="Y53" s="371">
        <v>4000</v>
      </c>
      <c r="Z53" s="371">
        <v>8000</v>
      </c>
      <c r="AA53" s="371">
        <v>0</v>
      </c>
      <c r="AB53" s="371">
        <v>2000</v>
      </c>
      <c r="AC53" s="371">
        <v>4000</v>
      </c>
      <c r="AD53" s="371">
        <v>2000</v>
      </c>
      <c r="AE53" s="371">
        <v>0</v>
      </c>
      <c r="AF53" s="385">
        <f>SUM(AG53:AH53)</f>
        <v>0</v>
      </c>
      <c r="AG53" s="371">
        <v>0</v>
      </c>
      <c r="AH53" s="371">
        <v>0</v>
      </c>
      <c r="AI53" s="916">
        <f t="shared" si="15"/>
        <v>0</v>
      </c>
      <c r="AJ53" s="496"/>
    </row>
    <row r="54" spans="1:36" s="564" customFormat="1" ht="14.25">
      <c r="A54" s="397" t="s">
        <v>1696</v>
      </c>
      <c r="B54" s="394" t="s">
        <v>1697</v>
      </c>
      <c r="C54" s="274" t="s">
        <v>1702</v>
      </c>
      <c r="D54" s="915">
        <v>3</v>
      </c>
      <c r="E54" s="385">
        <f t="shared" si="16"/>
        <v>33627</v>
      </c>
      <c r="F54" s="371">
        <v>33627</v>
      </c>
      <c r="G54" s="371">
        <v>0</v>
      </c>
      <c r="H54" s="385">
        <f t="shared" si="17"/>
        <v>15750</v>
      </c>
      <c r="I54" s="371">
        <v>1000</v>
      </c>
      <c r="J54" s="371">
        <v>0</v>
      </c>
      <c r="K54" s="371">
        <v>9000</v>
      </c>
      <c r="L54" s="371">
        <v>4000</v>
      </c>
      <c r="M54" s="371">
        <v>200</v>
      </c>
      <c r="N54" s="371">
        <v>500</v>
      </c>
      <c r="O54" s="370">
        <v>1050</v>
      </c>
      <c r="P54" s="386">
        <f t="shared" si="18"/>
        <v>17877</v>
      </c>
      <c r="Q54" s="371">
        <v>500</v>
      </c>
      <c r="R54" s="371">
        <v>2100</v>
      </c>
      <c r="S54" s="371">
        <v>5000</v>
      </c>
      <c r="T54" s="371">
        <v>0</v>
      </c>
      <c r="U54" s="371">
        <v>1500</v>
      </c>
      <c r="V54" s="371">
        <v>200</v>
      </c>
      <c r="W54" s="371">
        <v>0</v>
      </c>
      <c r="X54" s="371">
        <v>1000</v>
      </c>
      <c r="Y54" s="371">
        <v>1200</v>
      </c>
      <c r="Z54" s="371">
        <v>2000</v>
      </c>
      <c r="AA54" s="371">
        <v>0</v>
      </c>
      <c r="AB54" s="371">
        <v>0</v>
      </c>
      <c r="AC54" s="371">
        <v>1500</v>
      </c>
      <c r="AD54" s="371">
        <v>0</v>
      </c>
      <c r="AE54" s="371">
        <v>2877</v>
      </c>
      <c r="AF54" s="562">
        <f>SUM(AG54:AH54)</f>
        <v>0</v>
      </c>
      <c r="AG54" s="555">
        <v>0</v>
      </c>
      <c r="AH54" s="555">
        <v>0</v>
      </c>
      <c r="AI54" s="917">
        <f t="shared" si="15"/>
        <v>0</v>
      </c>
      <c r="AJ54" s="563"/>
    </row>
    <row r="55" spans="1:36" s="564" customFormat="1" ht="14.25">
      <c r="A55" s="397" t="s">
        <v>1696</v>
      </c>
      <c r="B55" s="394" t="s">
        <v>1697</v>
      </c>
      <c r="C55" s="274" t="s">
        <v>1703</v>
      </c>
      <c r="D55" s="915">
        <v>3</v>
      </c>
      <c r="E55" s="385">
        <f t="shared" si="16"/>
        <v>47870</v>
      </c>
      <c r="F55" s="371">
        <v>47000</v>
      </c>
      <c r="G55" s="371">
        <v>870</v>
      </c>
      <c r="H55" s="385">
        <f t="shared" si="17"/>
        <v>23370</v>
      </c>
      <c r="I55" s="371">
        <v>2370</v>
      </c>
      <c r="J55" s="371">
        <v>0</v>
      </c>
      <c r="K55" s="371">
        <v>8000</v>
      </c>
      <c r="L55" s="371">
        <v>2500</v>
      </c>
      <c r="M55" s="371">
        <v>3000</v>
      </c>
      <c r="N55" s="371">
        <v>7000</v>
      </c>
      <c r="O55" s="370">
        <v>500</v>
      </c>
      <c r="P55" s="386">
        <f t="shared" si="18"/>
        <v>24500</v>
      </c>
      <c r="Q55" s="371">
        <v>200</v>
      </c>
      <c r="R55" s="371">
        <v>3500</v>
      </c>
      <c r="S55" s="371">
        <v>8000</v>
      </c>
      <c r="T55" s="371">
        <v>700</v>
      </c>
      <c r="U55" s="371">
        <v>800</v>
      </c>
      <c r="V55" s="371">
        <v>1000</v>
      </c>
      <c r="W55" s="371">
        <v>800</v>
      </c>
      <c r="X55" s="371">
        <v>4300</v>
      </c>
      <c r="Y55" s="371">
        <v>900</v>
      </c>
      <c r="Z55" s="371">
        <v>2300</v>
      </c>
      <c r="AA55" s="371">
        <v>0</v>
      </c>
      <c r="AB55" s="371">
        <v>500</v>
      </c>
      <c r="AC55" s="371">
        <v>500</v>
      </c>
      <c r="AD55" s="371">
        <v>500</v>
      </c>
      <c r="AE55" s="371">
        <v>500</v>
      </c>
      <c r="AF55" s="562">
        <f>SUM(AG55:AH55)</f>
        <v>0</v>
      </c>
      <c r="AG55" s="555">
        <v>0</v>
      </c>
      <c r="AH55" s="555">
        <v>0</v>
      </c>
      <c r="AI55" s="917">
        <f t="shared" si="15"/>
        <v>0</v>
      </c>
      <c r="AJ55" s="563"/>
    </row>
    <row r="56" spans="1:36" s="393" customFormat="1" ht="14.25">
      <c r="A56" s="397" t="s">
        <v>1696</v>
      </c>
      <c r="B56" s="394" t="s">
        <v>1697</v>
      </c>
      <c r="C56" s="497" t="s">
        <v>1704</v>
      </c>
      <c r="D56" s="915">
        <v>3</v>
      </c>
      <c r="E56" s="385">
        <f t="shared" si="16"/>
        <v>4500</v>
      </c>
      <c r="F56" s="368">
        <v>4500</v>
      </c>
      <c r="G56" s="368">
        <v>0</v>
      </c>
      <c r="H56" s="385">
        <f t="shared" si="17"/>
        <v>2250</v>
      </c>
      <c r="I56" s="371">
        <v>100</v>
      </c>
      <c r="J56" s="371">
        <v>0</v>
      </c>
      <c r="K56" s="371">
        <v>600</v>
      </c>
      <c r="L56" s="371">
        <v>600</v>
      </c>
      <c r="M56" s="371">
        <v>100</v>
      </c>
      <c r="N56" s="371">
        <v>600</v>
      </c>
      <c r="O56" s="370">
        <v>250</v>
      </c>
      <c r="P56" s="386">
        <f t="shared" si="18"/>
        <v>2250</v>
      </c>
      <c r="Q56" s="371">
        <v>0</v>
      </c>
      <c r="R56" s="371">
        <v>300</v>
      </c>
      <c r="S56" s="371">
        <v>500</v>
      </c>
      <c r="T56" s="371">
        <v>0</v>
      </c>
      <c r="U56" s="371">
        <v>0</v>
      </c>
      <c r="V56" s="371">
        <v>50</v>
      </c>
      <c r="W56" s="371">
        <v>0</v>
      </c>
      <c r="X56" s="371">
        <v>300</v>
      </c>
      <c r="Y56" s="371">
        <v>100</v>
      </c>
      <c r="Z56" s="371">
        <v>400</v>
      </c>
      <c r="AA56" s="371">
        <v>0</v>
      </c>
      <c r="AB56" s="371">
        <v>0</v>
      </c>
      <c r="AC56" s="371">
        <v>100</v>
      </c>
      <c r="AD56" s="371">
        <v>0</v>
      </c>
      <c r="AE56" s="371">
        <v>500</v>
      </c>
      <c r="AF56" s="385">
        <f>SUM(AG56:AH56)</f>
        <v>0</v>
      </c>
      <c r="AG56" s="371">
        <v>0</v>
      </c>
      <c r="AH56" s="371">
        <v>0</v>
      </c>
      <c r="AI56" s="916">
        <f t="shared" si="15"/>
        <v>0</v>
      </c>
      <c r="AJ56" s="496"/>
    </row>
    <row r="57" spans="1:36" s="393" customFormat="1" ht="14.25">
      <c r="A57" s="397" t="s">
        <v>1696</v>
      </c>
      <c r="B57" s="394" t="s">
        <v>1697</v>
      </c>
      <c r="C57" s="918" t="s">
        <v>1705</v>
      </c>
      <c r="D57" s="915">
        <v>3</v>
      </c>
      <c r="E57" s="385">
        <f t="shared" si="16"/>
        <v>23213</v>
      </c>
      <c r="F57" s="368">
        <v>23213</v>
      </c>
      <c r="G57" s="368">
        <v>0</v>
      </c>
      <c r="H57" s="385">
        <f t="shared" si="17"/>
        <v>11000</v>
      </c>
      <c r="I57" s="371">
        <v>0</v>
      </c>
      <c r="J57" s="371">
        <v>0</v>
      </c>
      <c r="K57" s="371">
        <v>4000</v>
      </c>
      <c r="L57" s="371">
        <v>2500</v>
      </c>
      <c r="M57" s="371">
        <v>500</v>
      </c>
      <c r="N57" s="371">
        <v>3000</v>
      </c>
      <c r="O57" s="370">
        <v>1000</v>
      </c>
      <c r="P57" s="386">
        <f t="shared" si="18"/>
        <v>12213</v>
      </c>
      <c r="Q57" s="371">
        <v>0</v>
      </c>
      <c r="R57" s="371">
        <v>2000</v>
      </c>
      <c r="S57" s="371">
        <v>3000</v>
      </c>
      <c r="T57" s="371">
        <v>500</v>
      </c>
      <c r="U57" s="371">
        <v>500</v>
      </c>
      <c r="V57" s="371">
        <v>500</v>
      </c>
      <c r="W57" s="371">
        <v>0</v>
      </c>
      <c r="X57" s="371">
        <v>2500</v>
      </c>
      <c r="Y57" s="371">
        <v>400</v>
      </c>
      <c r="Z57" s="371">
        <v>2500</v>
      </c>
      <c r="AA57" s="371">
        <v>0</v>
      </c>
      <c r="AB57" s="371">
        <v>0</v>
      </c>
      <c r="AC57" s="371">
        <v>0</v>
      </c>
      <c r="AD57" s="371">
        <v>0</v>
      </c>
      <c r="AE57" s="371">
        <v>313</v>
      </c>
      <c r="AF57" s="385">
        <f>SUM(AG57:AH57)</f>
        <v>0</v>
      </c>
      <c r="AG57" s="371">
        <v>0</v>
      </c>
      <c r="AH57" s="371">
        <v>0</v>
      </c>
      <c r="AI57" s="916">
        <f t="shared" si="15"/>
        <v>0</v>
      </c>
      <c r="AJ57" s="496"/>
    </row>
    <row r="58" spans="1:36" s="393" customFormat="1" ht="14.25" hidden="1">
      <c r="A58" s="397"/>
      <c r="B58" s="394"/>
      <c r="C58" s="497"/>
      <c r="D58" s="396"/>
      <c r="E58" s="385"/>
      <c r="F58" s="368"/>
      <c r="G58" s="368"/>
      <c r="H58" s="385"/>
      <c r="I58" s="371"/>
      <c r="J58" s="371"/>
      <c r="K58" s="371"/>
      <c r="L58" s="371"/>
      <c r="M58" s="371"/>
      <c r="N58" s="371"/>
      <c r="O58" s="370"/>
      <c r="P58" s="386"/>
      <c r="Q58" s="371"/>
      <c r="R58" s="371"/>
      <c r="S58" s="371"/>
      <c r="T58" s="371"/>
      <c r="U58" s="371"/>
      <c r="V58" s="371"/>
      <c r="W58" s="371"/>
      <c r="X58" s="371"/>
      <c r="Y58" s="371"/>
      <c r="Z58" s="371"/>
      <c r="AA58" s="371"/>
      <c r="AB58" s="371"/>
      <c r="AC58" s="371"/>
      <c r="AD58" s="371"/>
      <c r="AE58" s="371"/>
      <c r="AF58" s="385"/>
      <c r="AG58" s="371"/>
      <c r="AH58" s="371"/>
      <c r="AI58" s="387"/>
      <c r="AJ58" s="496"/>
    </row>
    <row r="59" spans="1:36" s="515" customFormat="1" ht="24" customHeight="1">
      <c r="A59" s="510" t="s">
        <v>1276</v>
      </c>
      <c r="B59" s="511"/>
      <c r="C59" s="512"/>
      <c r="D59" s="513"/>
      <c r="E59" s="514">
        <f>E60+E71+E84+E98+E103+E104+E82</f>
        <v>15996496</v>
      </c>
      <c r="F59" s="514">
        <f t="shared" ref="F59:AH59" si="19">F60+F71+F84+F98+F103+F104+F82</f>
        <v>1506356</v>
      </c>
      <c r="G59" s="514">
        <f t="shared" si="19"/>
        <v>14490140</v>
      </c>
      <c r="H59" s="514">
        <f t="shared" si="19"/>
        <v>9158543</v>
      </c>
      <c r="I59" s="514">
        <f t="shared" si="19"/>
        <v>2925571</v>
      </c>
      <c r="J59" s="514">
        <f t="shared" si="19"/>
        <v>140410</v>
      </c>
      <c r="K59" s="514">
        <f t="shared" si="19"/>
        <v>894021</v>
      </c>
      <c r="L59" s="514">
        <f t="shared" si="19"/>
        <v>1556844</v>
      </c>
      <c r="M59" s="514">
        <f t="shared" si="19"/>
        <v>1244424</v>
      </c>
      <c r="N59" s="514">
        <f t="shared" si="19"/>
        <v>2367365</v>
      </c>
      <c r="O59" s="514">
        <f t="shared" si="19"/>
        <v>29908</v>
      </c>
      <c r="P59" s="514">
        <f t="shared" si="19"/>
        <v>6562926</v>
      </c>
      <c r="Q59" s="514">
        <f t="shared" si="19"/>
        <v>680668</v>
      </c>
      <c r="R59" s="514">
        <f t="shared" si="19"/>
        <v>482966</v>
      </c>
      <c r="S59" s="514">
        <f t="shared" si="19"/>
        <v>639657</v>
      </c>
      <c r="T59" s="514">
        <f t="shared" si="19"/>
        <v>912385</v>
      </c>
      <c r="U59" s="514">
        <f t="shared" si="19"/>
        <v>632554</v>
      </c>
      <c r="V59" s="514">
        <f t="shared" si="19"/>
        <v>241116</v>
      </c>
      <c r="W59" s="514">
        <f t="shared" si="19"/>
        <v>200255</v>
      </c>
      <c r="X59" s="514">
        <f t="shared" si="19"/>
        <v>535275</v>
      </c>
      <c r="Y59" s="514">
        <f t="shared" si="19"/>
        <v>412677</v>
      </c>
      <c r="Z59" s="514">
        <f t="shared" si="19"/>
        <v>326210</v>
      </c>
      <c r="AA59" s="514">
        <f t="shared" si="19"/>
        <v>138380</v>
      </c>
      <c r="AB59" s="514">
        <f t="shared" si="19"/>
        <v>258943</v>
      </c>
      <c r="AC59" s="514">
        <f t="shared" si="19"/>
        <v>378489</v>
      </c>
      <c r="AD59" s="514">
        <f t="shared" si="19"/>
        <v>560520</v>
      </c>
      <c r="AE59" s="514">
        <f t="shared" si="19"/>
        <v>162831</v>
      </c>
      <c r="AF59" s="514">
        <f t="shared" si="19"/>
        <v>275027</v>
      </c>
      <c r="AG59" s="514">
        <f t="shared" si="19"/>
        <v>170607</v>
      </c>
      <c r="AH59" s="514">
        <f t="shared" si="19"/>
        <v>104420</v>
      </c>
      <c r="AI59" s="387">
        <f t="shared" si="1"/>
        <v>0</v>
      </c>
    </row>
    <row r="60" spans="1:36" s="410" customFormat="1" ht="21.6" customHeight="1">
      <c r="A60" s="405" t="s">
        <v>1249</v>
      </c>
      <c r="B60" s="406"/>
      <c r="C60" s="407"/>
      <c r="D60" s="408"/>
      <c r="E60" s="409">
        <f>SUM(E61:E70)</f>
        <v>576424</v>
      </c>
      <c r="F60" s="409">
        <f t="shared" ref="F60:AH60" si="20">SUM(F61:F70)</f>
        <v>240105</v>
      </c>
      <c r="G60" s="409">
        <f t="shared" si="20"/>
        <v>336319</v>
      </c>
      <c r="H60" s="409">
        <f t="shared" si="20"/>
        <v>148328</v>
      </c>
      <c r="I60" s="409">
        <f t="shared" si="20"/>
        <v>25890</v>
      </c>
      <c r="J60" s="409">
        <f t="shared" si="20"/>
        <v>10676</v>
      </c>
      <c r="K60" s="409">
        <f t="shared" si="20"/>
        <v>27701</v>
      </c>
      <c r="L60" s="409">
        <f t="shared" si="20"/>
        <v>19334</v>
      </c>
      <c r="M60" s="409">
        <f t="shared" si="20"/>
        <v>20704</v>
      </c>
      <c r="N60" s="409">
        <f t="shared" si="20"/>
        <v>19023</v>
      </c>
      <c r="O60" s="409">
        <f t="shared" si="20"/>
        <v>25000</v>
      </c>
      <c r="P60" s="409">
        <f t="shared" si="20"/>
        <v>417151</v>
      </c>
      <c r="Q60" s="409">
        <f t="shared" si="20"/>
        <v>3603</v>
      </c>
      <c r="R60" s="409">
        <f t="shared" si="20"/>
        <v>7848</v>
      </c>
      <c r="S60" s="409">
        <f t="shared" si="20"/>
        <v>41271</v>
      </c>
      <c r="T60" s="409">
        <f t="shared" si="20"/>
        <v>32550</v>
      </c>
      <c r="U60" s="409">
        <f t="shared" si="20"/>
        <v>12033</v>
      </c>
      <c r="V60" s="409">
        <f t="shared" si="20"/>
        <v>13753</v>
      </c>
      <c r="W60" s="409">
        <f t="shared" si="20"/>
        <v>22892</v>
      </c>
      <c r="X60" s="409">
        <f t="shared" si="20"/>
        <v>63115</v>
      </c>
      <c r="Y60" s="409">
        <f t="shared" si="20"/>
        <v>7363</v>
      </c>
      <c r="Z60" s="409">
        <f t="shared" si="20"/>
        <v>16779</v>
      </c>
      <c r="AA60" s="409">
        <f t="shared" si="20"/>
        <v>29050</v>
      </c>
      <c r="AB60" s="409">
        <f t="shared" si="20"/>
        <v>725</v>
      </c>
      <c r="AC60" s="409">
        <f t="shared" si="20"/>
        <v>5821</v>
      </c>
      <c r="AD60" s="409">
        <f t="shared" si="20"/>
        <v>1699</v>
      </c>
      <c r="AE60" s="409">
        <f t="shared" si="20"/>
        <v>158649</v>
      </c>
      <c r="AF60" s="409">
        <f t="shared" si="20"/>
        <v>10945</v>
      </c>
      <c r="AG60" s="409">
        <f t="shared" si="20"/>
        <v>4605</v>
      </c>
      <c r="AH60" s="409">
        <f t="shared" si="20"/>
        <v>6340</v>
      </c>
      <c r="AI60" s="387">
        <f t="shared" si="1"/>
        <v>0</v>
      </c>
      <c r="AJ60" s="496"/>
    </row>
    <row r="61" spans="1:36" s="393" customFormat="1" ht="14.25">
      <c r="A61" s="397" t="s">
        <v>1939</v>
      </c>
      <c r="B61" s="394" t="s">
        <v>1940</v>
      </c>
      <c r="C61" s="497" t="s">
        <v>1941</v>
      </c>
      <c r="D61" s="396">
        <v>1</v>
      </c>
      <c r="E61" s="385">
        <f t="shared" ref="E61:E70" si="21">F61+G61</f>
        <v>144796</v>
      </c>
      <c r="F61" s="949"/>
      <c r="G61" s="950">
        <v>144796</v>
      </c>
      <c r="H61" s="949">
        <f t="shared" ref="H61:H70" si="22">SUM(I61:O61)</f>
        <v>0</v>
      </c>
      <c r="I61" s="371"/>
      <c r="J61" s="371"/>
      <c r="K61" s="371"/>
      <c r="L61" s="371"/>
      <c r="M61" s="371"/>
      <c r="N61" s="371"/>
      <c r="O61" s="370"/>
      <c r="P61" s="951">
        <f t="shared" ref="P61:P70" si="23">SUM(Q61:AE61)</f>
        <v>144796</v>
      </c>
      <c r="Q61" s="371"/>
      <c r="R61" s="371"/>
      <c r="S61" s="950">
        <v>31477</v>
      </c>
      <c r="T61" s="371">
        <v>16376</v>
      </c>
      <c r="U61" s="371"/>
      <c r="V61" s="371"/>
      <c r="W61" s="371"/>
      <c r="X61" s="371">
        <v>44070</v>
      </c>
      <c r="Y61" s="371"/>
      <c r="Z61" s="371"/>
      <c r="AA61" s="371">
        <v>19800</v>
      </c>
      <c r="AB61" s="371"/>
      <c r="AC61" s="950">
        <v>4000</v>
      </c>
      <c r="AD61" s="950"/>
      <c r="AE61" s="950">
        <v>29073</v>
      </c>
      <c r="AF61" s="949">
        <f t="shared" ref="AF61:AF70" si="24">SUM(AG61:AH61)</f>
        <v>0</v>
      </c>
      <c r="AG61" s="949"/>
      <c r="AH61" s="949"/>
      <c r="AI61" s="387">
        <f t="shared" si="1"/>
        <v>0</v>
      </c>
      <c r="AJ61" s="496"/>
    </row>
    <row r="62" spans="1:36" s="393" customFormat="1" ht="14.25">
      <c r="A62" s="397" t="s">
        <v>1939</v>
      </c>
      <c r="B62" s="394" t="s">
        <v>1940</v>
      </c>
      <c r="C62" s="497" t="s">
        <v>1942</v>
      </c>
      <c r="D62" s="396">
        <v>1</v>
      </c>
      <c r="E62" s="385">
        <f t="shared" si="21"/>
        <v>9506</v>
      </c>
      <c r="F62" s="949">
        <v>9506</v>
      </c>
      <c r="G62" s="949"/>
      <c r="H62" s="949">
        <f t="shared" si="22"/>
        <v>130</v>
      </c>
      <c r="I62" s="371"/>
      <c r="J62" s="371"/>
      <c r="K62" s="371"/>
      <c r="L62" s="371"/>
      <c r="M62" s="371"/>
      <c r="N62" s="371">
        <v>130</v>
      </c>
      <c r="O62" s="370"/>
      <c r="P62" s="951">
        <f t="shared" si="23"/>
        <v>9376</v>
      </c>
      <c r="Q62" s="371"/>
      <c r="R62" s="371"/>
      <c r="S62" s="371"/>
      <c r="T62" s="371"/>
      <c r="U62" s="371"/>
      <c r="V62" s="371"/>
      <c r="W62" s="371"/>
      <c r="X62" s="371"/>
      <c r="Y62" s="371"/>
      <c r="Z62" s="371"/>
      <c r="AA62" s="371"/>
      <c r="AB62" s="371"/>
      <c r="AC62" s="371"/>
      <c r="AD62" s="371"/>
      <c r="AE62" s="949">
        <v>9376</v>
      </c>
      <c r="AF62" s="949">
        <f t="shared" si="24"/>
        <v>0</v>
      </c>
      <c r="AG62" s="949"/>
      <c r="AH62" s="949"/>
      <c r="AI62" s="387">
        <f t="shared" si="1"/>
        <v>0</v>
      </c>
      <c r="AJ62" s="496"/>
    </row>
    <row r="63" spans="1:36" s="393" customFormat="1" ht="14.25">
      <c r="A63" s="397" t="s">
        <v>1939</v>
      </c>
      <c r="B63" s="394" t="s">
        <v>1940</v>
      </c>
      <c r="C63" s="497" t="s">
        <v>1943</v>
      </c>
      <c r="D63" s="396">
        <v>1</v>
      </c>
      <c r="E63" s="385">
        <f t="shared" si="21"/>
        <v>155200</v>
      </c>
      <c r="F63" s="949"/>
      <c r="G63" s="949">
        <v>155200</v>
      </c>
      <c r="H63" s="949">
        <f t="shared" si="22"/>
        <v>25000</v>
      </c>
      <c r="I63" s="949"/>
      <c r="J63" s="949"/>
      <c r="K63" s="949"/>
      <c r="L63" s="949"/>
      <c r="M63" s="949"/>
      <c r="N63" s="949"/>
      <c r="O63" s="951">
        <v>25000</v>
      </c>
      <c r="P63" s="951">
        <f t="shared" si="23"/>
        <v>120200</v>
      </c>
      <c r="Q63" s="949"/>
      <c r="R63" s="949"/>
      <c r="S63" s="949"/>
      <c r="T63" s="949"/>
      <c r="U63" s="949"/>
      <c r="V63" s="949"/>
      <c r="W63" s="949"/>
      <c r="X63" s="949"/>
      <c r="Y63" s="949"/>
      <c r="Z63" s="949"/>
      <c r="AA63" s="949"/>
      <c r="AB63" s="949"/>
      <c r="AC63" s="949"/>
      <c r="AD63" s="949"/>
      <c r="AE63" s="949">
        <v>120200</v>
      </c>
      <c r="AF63" s="949">
        <f t="shared" si="24"/>
        <v>10000</v>
      </c>
      <c r="AG63" s="949">
        <v>4000</v>
      </c>
      <c r="AH63" s="949">
        <v>6000</v>
      </c>
      <c r="AI63" s="387">
        <f t="shared" si="1"/>
        <v>0</v>
      </c>
      <c r="AJ63" s="496"/>
    </row>
    <row r="64" spans="1:36" s="393" customFormat="1" ht="14.25">
      <c r="A64" s="397" t="s">
        <v>1939</v>
      </c>
      <c r="B64" s="394" t="s">
        <v>1940</v>
      </c>
      <c r="C64" s="497" t="s">
        <v>1944</v>
      </c>
      <c r="D64" s="396">
        <v>1</v>
      </c>
      <c r="E64" s="385">
        <f t="shared" si="21"/>
        <v>19745</v>
      </c>
      <c r="F64" s="950">
        <v>19745</v>
      </c>
      <c r="G64" s="949">
        <v>0</v>
      </c>
      <c r="H64" s="949">
        <f t="shared" si="22"/>
        <v>9050</v>
      </c>
      <c r="I64" s="949">
        <v>3524</v>
      </c>
      <c r="J64" s="949">
        <v>332</v>
      </c>
      <c r="K64" s="949">
        <v>1296</v>
      </c>
      <c r="L64" s="949">
        <v>1313</v>
      </c>
      <c r="M64" s="949">
        <v>1968</v>
      </c>
      <c r="N64" s="949">
        <v>617</v>
      </c>
      <c r="O64" s="951"/>
      <c r="P64" s="951">
        <f t="shared" si="23"/>
        <v>10430</v>
      </c>
      <c r="Q64" s="949">
        <v>652</v>
      </c>
      <c r="R64" s="949">
        <v>564</v>
      </c>
      <c r="S64" s="950">
        <v>1032</v>
      </c>
      <c r="T64" s="950">
        <v>1561</v>
      </c>
      <c r="U64" s="949">
        <v>460</v>
      </c>
      <c r="V64" s="949">
        <v>422</v>
      </c>
      <c r="W64" s="950">
        <v>2900</v>
      </c>
      <c r="X64" s="949">
        <v>577</v>
      </c>
      <c r="Y64" s="949">
        <v>240</v>
      </c>
      <c r="Z64" s="949">
        <v>247</v>
      </c>
      <c r="AA64" s="949">
        <v>1075</v>
      </c>
      <c r="AB64" s="949">
        <v>239</v>
      </c>
      <c r="AC64" s="949">
        <v>231</v>
      </c>
      <c r="AD64" s="949">
        <v>230</v>
      </c>
      <c r="AE64" s="949">
        <v>0</v>
      </c>
      <c r="AF64" s="949">
        <f t="shared" si="24"/>
        <v>265</v>
      </c>
      <c r="AG64" s="949">
        <v>265</v>
      </c>
      <c r="AH64" s="949">
        <v>0</v>
      </c>
      <c r="AI64" s="387">
        <f t="shared" si="1"/>
        <v>0</v>
      </c>
      <c r="AJ64" s="496"/>
    </row>
    <row r="65" spans="1:36" s="393" customFormat="1" ht="28.5">
      <c r="A65" s="397" t="s">
        <v>1939</v>
      </c>
      <c r="B65" s="394" t="s">
        <v>1940</v>
      </c>
      <c r="C65" s="497" t="s">
        <v>1945</v>
      </c>
      <c r="D65" s="396">
        <v>1</v>
      </c>
      <c r="E65" s="385">
        <f t="shared" si="21"/>
        <v>1569</v>
      </c>
      <c r="F65" s="949">
        <v>0</v>
      </c>
      <c r="G65" s="950">
        <v>1569</v>
      </c>
      <c r="H65" s="949">
        <f t="shared" si="22"/>
        <v>0</v>
      </c>
      <c r="I65" s="949">
        <v>0</v>
      </c>
      <c r="J65" s="949">
        <v>0</v>
      </c>
      <c r="K65" s="949">
        <v>0</v>
      </c>
      <c r="L65" s="949">
        <v>0</v>
      </c>
      <c r="M65" s="949">
        <v>0</v>
      </c>
      <c r="N65" s="949">
        <v>0</v>
      </c>
      <c r="O65" s="951">
        <v>0</v>
      </c>
      <c r="P65" s="951">
        <f t="shared" si="23"/>
        <v>1569</v>
      </c>
      <c r="Q65" s="950">
        <v>143</v>
      </c>
      <c r="R65" s="950">
        <v>143</v>
      </c>
      <c r="S65" s="950">
        <v>0</v>
      </c>
      <c r="T65" s="950">
        <v>142</v>
      </c>
      <c r="U65" s="950">
        <v>143</v>
      </c>
      <c r="V65" s="950">
        <v>0</v>
      </c>
      <c r="W65" s="950">
        <v>143</v>
      </c>
      <c r="X65" s="950">
        <v>143</v>
      </c>
      <c r="Y65" s="950">
        <v>143</v>
      </c>
      <c r="Z65" s="950">
        <v>143</v>
      </c>
      <c r="AA65" s="950">
        <v>142</v>
      </c>
      <c r="AB65" s="950">
        <v>0</v>
      </c>
      <c r="AC65" s="950">
        <v>142</v>
      </c>
      <c r="AD65" s="950">
        <v>142</v>
      </c>
      <c r="AE65" s="949">
        <v>0</v>
      </c>
      <c r="AF65" s="949">
        <f t="shared" si="24"/>
        <v>0</v>
      </c>
      <c r="AG65" s="949">
        <v>0</v>
      </c>
      <c r="AH65" s="949">
        <v>0</v>
      </c>
      <c r="AI65" s="387">
        <f t="shared" si="1"/>
        <v>0</v>
      </c>
      <c r="AJ65" s="496"/>
    </row>
    <row r="66" spans="1:36" s="393" customFormat="1" ht="14.25">
      <c r="A66" s="397" t="s">
        <v>1939</v>
      </c>
      <c r="B66" s="394" t="s">
        <v>1940</v>
      </c>
      <c r="C66" s="497" t="s">
        <v>1946</v>
      </c>
      <c r="D66" s="396">
        <v>1</v>
      </c>
      <c r="E66" s="385">
        <f t="shared" si="21"/>
        <v>39022</v>
      </c>
      <c r="F66" s="949">
        <v>4268</v>
      </c>
      <c r="G66" s="950">
        <v>34754</v>
      </c>
      <c r="H66" s="949">
        <f t="shared" si="22"/>
        <v>18760</v>
      </c>
      <c r="I66" s="949">
        <v>1508</v>
      </c>
      <c r="J66" s="950">
        <v>10344</v>
      </c>
      <c r="K66" s="949">
        <v>1362</v>
      </c>
      <c r="L66" s="949">
        <v>1800</v>
      </c>
      <c r="M66" s="949">
        <v>1800</v>
      </c>
      <c r="N66" s="949">
        <v>1946</v>
      </c>
      <c r="O66" s="951">
        <v>0</v>
      </c>
      <c r="P66" s="951">
        <f t="shared" si="23"/>
        <v>19582</v>
      </c>
      <c r="Q66" s="949">
        <v>486</v>
      </c>
      <c r="R66" s="949">
        <v>632</v>
      </c>
      <c r="S66" s="949">
        <v>1070</v>
      </c>
      <c r="T66" s="949">
        <v>1362</v>
      </c>
      <c r="U66" s="949">
        <v>924</v>
      </c>
      <c r="V66" s="949">
        <v>1070</v>
      </c>
      <c r="W66" s="950">
        <v>10052</v>
      </c>
      <c r="X66" s="949">
        <v>1070</v>
      </c>
      <c r="Y66" s="949">
        <v>778</v>
      </c>
      <c r="Z66" s="949">
        <v>632</v>
      </c>
      <c r="AA66" s="949">
        <v>340</v>
      </c>
      <c r="AB66" s="949">
        <v>486</v>
      </c>
      <c r="AC66" s="949">
        <v>340</v>
      </c>
      <c r="AD66" s="949">
        <v>340</v>
      </c>
      <c r="AE66" s="949">
        <v>0</v>
      </c>
      <c r="AF66" s="949">
        <f t="shared" si="24"/>
        <v>680</v>
      </c>
      <c r="AG66" s="949">
        <v>340</v>
      </c>
      <c r="AH66" s="949">
        <v>340</v>
      </c>
      <c r="AI66" s="387">
        <f t="shared" si="1"/>
        <v>0</v>
      </c>
      <c r="AJ66" s="496"/>
    </row>
    <row r="67" spans="1:36" s="393" customFormat="1" ht="28.5">
      <c r="A67" s="397" t="s">
        <v>1939</v>
      </c>
      <c r="B67" s="394" t="s">
        <v>1940</v>
      </c>
      <c r="C67" s="497" t="s">
        <v>1947</v>
      </c>
      <c r="D67" s="396">
        <v>5</v>
      </c>
      <c r="E67" s="385">
        <f t="shared" si="21"/>
        <v>572</v>
      </c>
      <c r="F67" s="949">
        <v>572</v>
      </c>
      <c r="G67" s="949">
        <v>0</v>
      </c>
      <c r="H67" s="949">
        <f t="shared" si="22"/>
        <v>0</v>
      </c>
      <c r="I67" s="949"/>
      <c r="J67" s="949"/>
      <c r="K67" s="949"/>
      <c r="L67" s="949"/>
      <c r="M67" s="949"/>
      <c r="N67" s="949"/>
      <c r="O67" s="951"/>
      <c r="P67" s="951">
        <f t="shared" si="23"/>
        <v>572</v>
      </c>
      <c r="Q67" s="949"/>
      <c r="R67" s="949"/>
      <c r="S67" s="949"/>
      <c r="T67" s="949"/>
      <c r="U67" s="949"/>
      <c r="V67" s="949"/>
      <c r="W67" s="949"/>
      <c r="X67" s="949"/>
      <c r="Y67" s="949">
        <v>572</v>
      </c>
      <c r="Z67" s="949"/>
      <c r="AA67" s="949"/>
      <c r="AB67" s="949"/>
      <c r="AC67" s="949"/>
      <c r="AD67" s="949"/>
      <c r="AE67" s="949"/>
      <c r="AF67" s="949">
        <f t="shared" si="24"/>
        <v>0</v>
      </c>
      <c r="AG67" s="949"/>
      <c r="AH67" s="949"/>
      <c r="AI67" s="387">
        <f t="shared" si="1"/>
        <v>0</v>
      </c>
      <c r="AJ67" s="496"/>
    </row>
    <row r="68" spans="1:36" s="393" customFormat="1" ht="14.25">
      <c r="A68" s="397" t="s">
        <v>1939</v>
      </c>
      <c r="B68" s="394" t="s">
        <v>1940</v>
      </c>
      <c r="C68" s="497" t="s">
        <v>1948</v>
      </c>
      <c r="D68" s="396">
        <v>1</v>
      </c>
      <c r="E68" s="385">
        <f t="shared" si="21"/>
        <v>2852</v>
      </c>
      <c r="F68" s="950">
        <v>2852</v>
      </c>
      <c r="G68" s="949">
        <v>0</v>
      </c>
      <c r="H68" s="949">
        <f t="shared" si="22"/>
        <v>0</v>
      </c>
      <c r="I68" s="949"/>
      <c r="J68" s="949"/>
      <c r="K68" s="949"/>
      <c r="L68" s="949"/>
      <c r="M68" s="949"/>
      <c r="N68" s="949"/>
      <c r="O68" s="951"/>
      <c r="P68" s="951">
        <f t="shared" si="23"/>
        <v>2852</v>
      </c>
      <c r="Q68" s="950">
        <v>1426</v>
      </c>
      <c r="R68" s="949"/>
      <c r="S68" s="949"/>
      <c r="T68" s="949"/>
      <c r="U68" s="950">
        <v>1426</v>
      </c>
      <c r="V68" s="949"/>
      <c r="W68" s="949"/>
      <c r="X68" s="949"/>
      <c r="Y68" s="949"/>
      <c r="Z68" s="949"/>
      <c r="AA68" s="949"/>
      <c r="AB68" s="949"/>
      <c r="AC68" s="949"/>
      <c r="AD68" s="949"/>
      <c r="AE68" s="949"/>
      <c r="AF68" s="949">
        <f t="shared" si="24"/>
        <v>0</v>
      </c>
      <c r="AG68" s="949"/>
      <c r="AH68" s="949"/>
      <c r="AI68" s="387">
        <f t="shared" si="1"/>
        <v>0</v>
      </c>
      <c r="AJ68" s="496"/>
    </row>
    <row r="69" spans="1:36" s="393" customFormat="1" ht="14.25">
      <c r="A69" s="397" t="s">
        <v>1939</v>
      </c>
      <c r="B69" s="394" t="s">
        <v>1940</v>
      </c>
      <c r="C69" s="497" t="s">
        <v>1949</v>
      </c>
      <c r="D69" s="396">
        <v>1</v>
      </c>
      <c r="E69" s="385">
        <f t="shared" si="21"/>
        <v>179874</v>
      </c>
      <c r="F69" s="950">
        <v>179874</v>
      </c>
      <c r="G69" s="949"/>
      <c r="H69" s="949">
        <f t="shared" si="22"/>
        <v>86044</v>
      </c>
      <c r="I69" s="950">
        <v>19526</v>
      </c>
      <c r="J69" s="950"/>
      <c r="K69" s="950">
        <v>22224</v>
      </c>
      <c r="L69" s="950">
        <v>13525</v>
      </c>
      <c r="M69" s="950">
        <v>16568</v>
      </c>
      <c r="N69" s="950">
        <v>14201</v>
      </c>
      <c r="O69" s="952"/>
      <c r="P69" s="951">
        <f t="shared" si="23"/>
        <v>93830</v>
      </c>
      <c r="Q69" s="950"/>
      <c r="R69" s="950">
        <v>6509</v>
      </c>
      <c r="S69" s="950">
        <v>7692</v>
      </c>
      <c r="T69" s="950">
        <v>12257</v>
      </c>
      <c r="U69" s="950">
        <v>7354</v>
      </c>
      <c r="V69" s="950">
        <v>12261</v>
      </c>
      <c r="W69" s="950">
        <v>7051</v>
      </c>
      <c r="X69" s="950">
        <v>16026</v>
      </c>
      <c r="Y69" s="950">
        <v>4486</v>
      </c>
      <c r="Z69" s="950">
        <v>12501</v>
      </c>
      <c r="AA69" s="950">
        <v>7693</v>
      </c>
      <c r="AB69" s="950"/>
      <c r="AC69" s="950"/>
      <c r="AD69" s="950"/>
      <c r="AE69" s="950"/>
      <c r="AF69" s="949">
        <f t="shared" si="24"/>
        <v>0</v>
      </c>
      <c r="AG69" s="949"/>
      <c r="AH69" s="949"/>
      <c r="AI69" s="387">
        <f t="shared" si="1"/>
        <v>0</v>
      </c>
      <c r="AJ69" s="496"/>
    </row>
    <row r="70" spans="1:36" s="393" customFormat="1" ht="28.5">
      <c r="A70" s="397" t="s">
        <v>1939</v>
      </c>
      <c r="B70" s="394" t="s">
        <v>1940</v>
      </c>
      <c r="C70" s="497" t="s">
        <v>1950</v>
      </c>
      <c r="D70" s="396">
        <v>1</v>
      </c>
      <c r="E70" s="385">
        <f t="shared" si="21"/>
        <v>23288</v>
      </c>
      <c r="F70" s="950">
        <v>23288</v>
      </c>
      <c r="G70" s="949"/>
      <c r="H70" s="949">
        <f t="shared" si="22"/>
        <v>9344</v>
      </c>
      <c r="I70" s="950">
        <v>1332</v>
      </c>
      <c r="J70" s="950"/>
      <c r="K70" s="950">
        <v>2819</v>
      </c>
      <c r="L70" s="950">
        <v>2696</v>
      </c>
      <c r="M70" s="950">
        <v>368</v>
      </c>
      <c r="N70" s="950">
        <v>2129</v>
      </c>
      <c r="O70" s="952"/>
      <c r="P70" s="951">
        <f t="shared" si="23"/>
        <v>13944</v>
      </c>
      <c r="Q70" s="950">
        <v>896</v>
      </c>
      <c r="R70" s="950"/>
      <c r="S70" s="950"/>
      <c r="T70" s="950">
        <v>852</v>
      </c>
      <c r="U70" s="950">
        <v>1726</v>
      </c>
      <c r="V70" s="950"/>
      <c r="W70" s="950">
        <v>2746</v>
      </c>
      <c r="X70" s="950">
        <v>1229</v>
      </c>
      <c r="Y70" s="950">
        <v>1144</v>
      </c>
      <c r="Z70" s="950">
        <v>3256</v>
      </c>
      <c r="AA70" s="950"/>
      <c r="AB70" s="950"/>
      <c r="AC70" s="950">
        <v>1108</v>
      </c>
      <c r="AD70" s="950">
        <v>987</v>
      </c>
      <c r="AE70" s="950"/>
      <c r="AF70" s="949">
        <f t="shared" si="24"/>
        <v>0</v>
      </c>
      <c r="AG70" s="949"/>
      <c r="AH70" s="949"/>
      <c r="AI70" s="387">
        <f>IF(AND(+F70+G70=E70,AF70+P70+H70=E70,SUM(I70:O70,Q70:AE70,AG70:AH70)=E70),0,FALSE)</f>
        <v>0</v>
      </c>
      <c r="AJ70" s="496"/>
    </row>
    <row r="71" spans="1:36" s="410" customFormat="1" ht="21.6" customHeight="1">
      <c r="A71" s="405" t="s">
        <v>1250</v>
      </c>
      <c r="B71" s="406"/>
      <c r="C71" s="407"/>
      <c r="D71" s="408"/>
      <c r="E71" s="409">
        <f>SUM(E72:E81)</f>
        <v>14159888</v>
      </c>
      <c r="F71" s="556">
        <f t="shared" ref="F71:AH71" si="25">SUM(F72:F81)</f>
        <v>403179</v>
      </c>
      <c r="G71" s="556">
        <f t="shared" si="25"/>
        <v>13756709</v>
      </c>
      <c r="H71" s="556">
        <f t="shared" si="25"/>
        <v>8313689</v>
      </c>
      <c r="I71" s="556">
        <f t="shared" si="25"/>
        <v>2745484</v>
      </c>
      <c r="J71" s="556">
        <f t="shared" si="25"/>
        <v>30137</v>
      </c>
      <c r="K71" s="556">
        <f t="shared" si="25"/>
        <v>782511</v>
      </c>
      <c r="L71" s="556">
        <f t="shared" si="25"/>
        <v>1427973</v>
      </c>
      <c r="M71" s="556">
        <f t="shared" si="25"/>
        <v>1116623</v>
      </c>
      <c r="N71" s="556">
        <f t="shared" si="25"/>
        <v>2206603</v>
      </c>
      <c r="O71" s="556">
        <f t="shared" si="25"/>
        <v>4358</v>
      </c>
      <c r="P71" s="556">
        <f t="shared" si="25"/>
        <v>5605239</v>
      </c>
      <c r="Q71" s="556">
        <f t="shared" si="25"/>
        <v>641341</v>
      </c>
      <c r="R71" s="556">
        <f t="shared" si="25"/>
        <v>445143</v>
      </c>
      <c r="S71" s="556">
        <f t="shared" si="25"/>
        <v>556722</v>
      </c>
      <c r="T71" s="556">
        <f t="shared" si="25"/>
        <v>808660</v>
      </c>
      <c r="U71" s="556">
        <f t="shared" si="25"/>
        <v>584169</v>
      </c>
      <c r="V71" s="556">
        <f t="shared" si="25"/>
        <v>184139</v>
      </c>
      <c r="W71" s="556">
        <f t="shared" si="25"/>
        <v>138406</v>
      </c>
      <c r="X71" s="556">
        <f t="shared" si="25"/>
        <v>408539</v>
      </c>
      <c r="Y71" s="556">
        <f t="shared" si="25"/>
        <v>354908</v>
      </c>
      <c r="Z71" s="556">
        <f t="shared" si="25"/>
        <v>277492</v>
      </c>
      <c r="AA71" s="556">
        <f t="shared" si="25"/>
        <v>90629</v>
      </c>
      <c r="AB71" s="556">
        <f t="shared" si="25"/>
        <v>231352</v>
      </c>
      <c r="AC71" s="556">
        <f t="shared" si="25"/>
        <v>347157</v>
      </c>
      <c r="AD71" s="556">
        <f t="shared" si="25"/>
        <v>534145</v>
      </c>
      <c r="AE71" s="556">
        <f t="shared" si="25"/>
        <v>2437</v>
      </c>
      <c r="AF71" s="556">
        <f t="shared" si="25"/>
        <v>240960</v>
      </c>
      <c r="AG71" s="556">
        <f t="shared" si="25"/>
        <v>153523</v>
      </c>
      <c r="AH71" s="556">
        <f t="shared" si="25"/>
        <v>87437</v>
      </c>
      <c r="AI71" s="387">
        <f t="shared" ref="AI71:AI133" si="26">IF(AND(+F71+G71=E71,AF71+P71+H71=E71,SUM(I71:O71,Q71:AE71,AG71:AH71)=E71),0,FALSE)</f>
        <v>0</v>
      </c>
      <c r="AJ71" s="496"/>
    </row>
    <row r="72" spans="1:36" s="393" customFormat="1" ht="14.25">
      <c r="A72" s="397" t="s">
        <v>1939</v>
      </c>
      <c r="B72" s="394" t="s">
        <v>1951</v>
      </c>
      <c r="C72" s="497" t="s">
        <v>1952</v>
      </c>
      <c r="D72" s="396">
        <v>4</v>
      </c>
      <c r="E72" s="385">
        <f t="shared" ref="E72:E81" si="27">F72+G72</f>
        <v>2910</v>
      </c>
      <c r="F72" s="953">
        <v>2910</v>
      </c>
      <c r="G72" s="953">
        <v>0</v>
      </c>
      <c r="H72" s="949">
        <f t="shared" ref="H72:H81" si="28">SUM(I72:O72)</f>
        <v>0</v>
      </c>
      <c r="I72" s="953">
        <v>0</v>
      </c>
      <c r="J72" s="953">
        <v>0</v>
      </c>
      <c r="K72" s="953">
        <v>0</v>
      </c>
      <c r="L72" s="953">
        <v>0</v>
      </c>
      <c r="M72" s="953">
        <v>0</v>
      </c>
      <c r="N72" s="953">
        <v>0</v>
      </c>
      <c r="O72" s="954">
        <v>0</v>
      </c>
      <c r="P72" s="951">
        <f t="shared" ref="P72:P81" si="29">SUM(Q72:AE72)</f>
        <v>1940</v>
      </c>
      <c r="Q72" s="953">
        <v>0</v>
      </c>
      <c r="R72" s="953">
        <v>0</v>
      </c>
      <c r="S72" s="953">
        <v>0</v>
      </c>
      <c r="T72" s="953">
        <v>0</v>
      </c>
      <c r="U72" s="953">
        <v>0</v>
      </c>
      <c r="V72" s="953">
        <v>0</v>
      </c>
      <c r="W72" s="953">
        <v>0</v>
      </c>
      <c r="X72" s="953">
        <v>0</v>
      </c>
      <c r="Y72" s="953">
        <v>0</v>
      </c>
      <c r="Z72" s="953">
        <v>0</v>
      </c>
      <c r="AA72" s="953">
        <v>0</v>
      </c>
      <c r="AB72" s="953">
        <v>0</v>
      </c>
      <c r="AC72" s="953">
        <v>0</v>
      </c>
      <c r="AD72" s="953">
        <v>0</v>
      </c>
      <c r="AE72" s="953">
        <v>1940</v>
      </c>
      <c r="AF72" s="949">
        <f t="shared" ref="AF72:AF80" si="30">SUM(AG72:AH72)</f>
        <v>970</v>
      </c>
      <c r="AG72" s="949">
        <v>485</v>
      </c>
      <c r="AH72" s="949">
        <v>485</v>
      </c>
      <c r="AI72" s="387">
        <f t="shared" si="26"/>
        <v>0</v>
      </c>
      <c r="AJ72" s="496"/>
    </row>
    <row r="73" spans="1:36" s="393" customFormat="1" ht="14.25">
      <c r="A73" s="397" t="s">
        <v>1939</v>
      </c>
      <c r="B73" s="394" t="s">
        <v>1951</v>
      </c>
      <c r="C73" s="497" t="s">
        <v>1953</v>
      </c>
      <c r="D73" s="396">
        <v>4</v>
      </c>
      <c r="E73" s="385">
        <f t="shared" si="27"/>
        <v>22158</v>
      </c>
      <c r="F73" s="955">
        <v>22158</v>
      </c>
      <c r="G73" s="953">
        <v>0</v>
      </c>
      <c r="H73" s="949">
        <f t="shared" si="28"/>
        <v>9700</v>
      </c>
      <c r="I73" s="953">
        <v>1746</v>
      </c>
      <c r="J73" s="953">
        <v>970</v>
      </c>
      <c r="K73" s="953">
        <v>1746</v>
      </c>
      <c r="L73" s="953">
        <v>1746</v>
      </c>
      <c r="M73" s="953">
        <v>1746</v>
      </c>
      <c r="N73" s="953">
        <v>1746</v>
      </c>
      <c r="O73" s="954">
        <v>0</v>
      </c>
      <c r="P73" s="951">
        <f t="shared" si="29"/>
        <v>11973</v>
      </c>
      <c r="Q73" s="955">
        <v>873</v>
      </c>
      <c r="R73" s="955">
        <v>873</v>
      </c>
      <c r="S73" s="955">
        <v>873</v>
      </c>
      <c r="T73" s="955">
        <v>873</v>
      </c>
      <c r="U73" s="955">
        <v>873</v>
      </c>
      <c r="V73" s="955">
        <v>873</v>
      </c>
      <c r="W73" s="955">
        <v>873</v>
      </c>
      <c r="X73" s="955">
        <v>873</v>
      </c>
      <c r="Y73" s="955">
        <v>790</v>
      </c>
      <c r="Z73" s="955">
        <v>790</v>
      </c>
      <c r="AA73" s="955">
        <v>790</v>
      </c>
      <c r="AB73" s="955">
        <v>873</v>
      </c>
      <c r="AC73" s="955">
        <v>873</v>
      </c>
      <c r="AD73" s="955">
        <v>873</v>
      </c>
      <c r="AE73" s="953">
        <v>0</v>
      </c>
      <c r="AF73" s="949">
        <f t="shared" si="30"/>
        <v>485</v>
      </c>
      <c r="AG73" s="949">
        <v>242</v>
      </c>
      <c r="AH73" s="949">
        <v>243</v>
      </c>
      <c r="AI73" s="387">
        <f t="shared" si="26"/>
        <v>0</v>
      </c>
      <c r="AJ73" s="496"/>
    </row>
    <row r="74" spans="1:36" s="393" customFormat="1" ht="14.25">
      <c r="A74" s="397" t="s">
        <v>1939</v>
      </c>
      <c r="B74" s="394" t="s">
        <v>1951</v>
      </c>
      <c r="C74" s="497" t="s">
        <v>1954</v>
      </c>
      <c r="D74" s="396">
        <v>4</v>
      </c>
      <c r="E74" s="385">
        <f t="shared" si="27"/>
        <v>1397</v>
      </c>
      <c r="F74" s="953">
        <v>1397</v>
      </c>
      <c r="G74" s="953">
        <v>0</v>
      </c>
      <c r="H74" s="949">
        <f t="shared" si="28"/>
        <v>407</v>
      </c>
      <c r="I74" s="953">
        <v>68</v>
      </c>
      <c r="J74" s="953">
        <v>67</v>
      </c>
      <c r="K74" s="953">
        <v>68</v>
      </c>
      <c r="L74" s="953">
        <v>68</v>
      </c>
      <c r="M74" s="953">
        <v>68</v>
      </c>
      <c r="N74" s="953">
        <v>68</v>
      </c>
      <c r="O74" s="954">
        <v>0</v>
      </c>
      <c r="P74" s="951">
        <f t="shared" si="29"/>
        <v>883</v>
      </c>
      <c r="Q74" s="953">
        <v>64</v>
      </c>
      <c r="R74" s="953">
        <v>63</v>
      </c>
      <c r="S74" s="953">
        <v>63</v>
      </c>
      <c r="T74" s="953">
        <v>63</v>
      </c>
      <c r="U74" s="953">
        <v>63</v>
      </c>
      <c r="V74" s="953">
        <v>63</v>
      </c>
      <c r="W74" s="953">
        <v>63</v>
      </c>
      <c r="X74" s="953">
        <v>63</v>
      </c>
      <c r="Y74" s="953">
        <v>63</v>
      </c>
      <c r="Z74" s="953">
        <v>63</v>
      </c>
      <c r="AA74" s="953">
        <v>63</v>
      </c>
      <c r="AB74" s="953">
        <v>63</v>
      </c>
      <c r="AC74" s="953">
        <v>63</v>
      </c>
      <c r="AD74" s="953">
        <v>63</v>
      </c>
      <c r="AE74" s="953">
        <v>0</v>
      </c>
      <c r="AF74" s="949">
        <f t="shared" si="30"/>
        <v>107</v>
      </c>
      <c r="AG74" s="949">
        <v>53</v>
      </c>
      <c r="AH74" s="949">
        <v>54</v>
      </c>
      <c r="AI74" s="387">
        <f t="shared" si="26"/>
        <v>0</v>
      </c>
      <c r="AJ74" s="496"/>
    </row>
    <row r="75" spans="1:36" s="393" customFormat="1" ht="14.25">
      <c r="A75" s="397" t="s">
        <v>1939</v>
      </c>
      <c r="B75" s="394" t="s">
        <v>1951</v>
      </c>
      <c r="C75" s="497" t="s">
        <v>1955</v>
      </c>
      <c r="D75" s="396">
        <v>4</v>
      </c>
      <c r="E75" s="385">
        <f t="shared" si="27"/>
        <v>73671</v>
      </c>
      <c r="F75" s="953">
        <v>0</v>
      </c>
      <c r="G75" s="955">
        <v>73671</v>
      </c>
      <c r="H75" s="949">
        <f t="shared" si="28"/>
        <v>27440</v>
      </c>
      <c r="I75" s="955">
        <v>5000</v>
      </c>
      <c r="J75" s="955">
        <v>0</v>
      </c>
      <c r="K75" s="955">
        <v>0</v>
      </c>
      <c r="L75" s="955">
        <v>8400</v>
      </c>
      <c r="M75" s="955">
        <v>7250</v>
      </c>
      <c r="N75" s="955">
        <v>6790</v>
      </c>
      <c r="O75" s="956">
        <v>0</v>
      </c>
      <c r="P75" s="951">
        <f t="shared" si="29"/>
        <v>42933</v>
      </c>
      <c r="Q75" s="955">
        <v>3400</v>
      </c>
      <c r="R75" s="955">
        <v>2000</v>
      </c>
      <c r="S75" s="955">
        <v>3000</v>
      </c>
      <c r="T75" s="955">
        <v>2815</v>
      </c>
      <c r="U75" s="955">
        <v>0</v>
      </c>
      <c r="V75" s="955">
        <v>3880</v>
      </c>
      <c r="W75" s="955">
        <v>7300</v>
      </c>
      <c r="X75" s="955">
        <v>7600</v>
      </c>
      <c r="Y75" s="955">
        <v>2838</v>
      </c>
      <c r="Z75" s="955">
        <v>3000</v>
      </c>
      <c r="AA75" s="955">
        <v>1100</v>
      </c>
      <c r="AB75" s="955">
        <v>1000</v>
      </c>
      <c r="AC75" s="955">
        <v>3000</v>
      </c>
      <c r="AD75" s="955">
        <v>2000</v>
      </c>
      <c r="AE75" s="957">
        <v>0</v>
      </c>
      <c r="AF75" s="949">
        <f t="shared" si="30"/>
        <v>3298</v>
      </c>
      <c r="AG75" s="949">
        <v>1358</v>
      </c>
      <c r="AH75" s="949">
        <v>1940</v>
      </c>
      <c r="AI75" s="387">
        <f t="shared" si="26"/>
        <v>0</v>
      </c>
      <c r="AJ75" s="496"/>
    </row>
    <row r="76" spans="1:36" s="393" customFormat="1" ht="28.5">
      <c r="A76" s="397" t="s">
        <v>1939</v>
      </c>
      <c r="B76" s="394" t="s">
        <v>1951</v>
      </c>
      <c r="C76" s="497" t="s">
        <v>1956</v>
      </c>
      <c r="D76" s="396">
        <v>4</v>
      </c>
      <c r="E76" s="385">
        <f t="shared" si="27"/>
        <v>422542</v>
      </c>
      <c r="F76" s="955">
        <v>44727</v>
      </c>
      <c r="G76" s="953">
        <v>377815</v>
      </c>
      <c r="H76" s="949">
        <f t="shared" si="28"/>
        <v>174600</v>
      </c>
      <c r="I76" s="953">
        <v>29100</v>
      </c>
      <c r="J76" s="953">
        <v>29100</v>
      </c>
      <c r="K76" s="953">
        <v>29100</v>
      </c>
      <c r="L76" s="953">
        <v>29100</v>
      </c>
      <c r="M76" s="953">
        <v>29100</v>
      </c>
      <c r="N76" s="953">
        <v>29100</v>
      </c>
      <c r="O76" s="954">
        <v>0</v>
      </c>
      <c r="P76" s="951">
        <f t="shared" si="29"/>
        <v>212537</v>
      </c>
      <c r="Q76" s="955">
        <v>15181</v>
      </c>
      <c r="R76" s="955">
        <v>15181</v>
      </c>
      <c r="S76" s="955">
        <v>15181</v>
      </c>
      <c r="T76" s="955">
        <v>15181</v>
      </c>
      <c r="U76" s="955">
        <v>15181</v>
      </c>
      <c r="V76" s="955">
        <v>15181</v>
      </c>
      <c r="W76" s="955">
        <v>15181</v>
      </c>
      <c r="X76" s="955">
        <v>15181</v>
      </c>
      <c r="Y76" s="955">
        <v>15181</v>
      </c>
      <c r="Z76" s="955">
        <v>15181</v>
      </c>
      <c r="AA76" s="955">
        <v>15181</v>
      </c>
      <c r="AB76" s="955">
        <v>15182</v>
      </c>
      <c r="AC76" s="955">
        <v>15182</v>
      </c>
      <c r="AD76" s="955">
        <v>15182</v>
      </c>
      <c r="AE76" s="953">
        <v>0</v>
      </c>
      <c r="AF76" s="949">
        <f t="shared" si="30"/>
        <v>35405</v>
      </c>
      <c r="AG76" s="949">
        <v>17702</v>
      </c>
      <c r="AH76" s="949">
        <v>17703</v>
      </c>
      <c r="AI76" s="387">
        <f t="shared" si="26"/>
        <v>0</v>
      </c>
      <c r="AJ76" s="496"/>
    </row>
    <row r="77" spans="1:36" s="393" customFormat="1" ht="14.25">
      <c r="A77" s="397" t="s">
        <v>1939</v>
      </c>
      <c r="B77" s="394" t="s">
        <v>1951</v>
      </c>
      <c r="C77" s="497" t="s">
        <v>1957</v>
      </c>
      <c r="D77" s="396">
        <v>4</v>
      </c>
      <c r="E77" s="385">
        <f t="shared" si="27"/>
        <v>1235780</v>
      </c>
      <c r="F77" s="953">
        <v>0</v>
      </c>
      <c r="G77" s="955">
        <v>1235780</v>
      </c>
      <c r="H77" s="949">
        <f t="shared" si="28"/>
        <v>485000</v>
      </c>
      <c r="I77" s="953">
        <v>97000</v>
      </c>
      <c r="J77" s="953">
        <v>0</v>
      </c>
      <c r="K77" s="953">
        <v>97000</v>
      </c>
      <c r="L77" s="953">
        <v>77600</v>
      </c>
      <c r="M77" s="953">
        <v>145500</v>
      </c>
      <c r="N77" s="953">
        <v>67900</v>
      </c>
      <c r="O77" s="954">
        <v>0</v>
      </c>
      <c r="P77" s="951">
        <f t="shared" si="29"/>
        <v>653780</v>
      </c>
      <c r="Q77" s="953">
        <v>48500</v>
      </c>
      <c r="R77" s="953">
        <v>48500</v>
      </c>
      <c r="S77" s="953">
        <v>48500</v>
      </c>
      <c r="T77" s="953">
        <v>145500</v>
      </c>
      <c r="U77" s="953">
        <v>48500</v>
      </c>
      <c r="V77" s="953">
        <v>29100</v>
      </c>
      <c r="W77" s="953">
        <v>29100</v>
      </c>
      <c r="X77" s="953">
        <v>48500</v>
      </c>
      <c r="Y77" s="953">
        <v>29100</v>
      </c>
      <c r="Z77" s="953">
        <v>29100</v>
      </c>
      <c r="AA77" s="953">
        <v>29100</v>
      </c>
      <c r="AB77" s="953">
        <v>0</v>
      </c>
      <c r="AC77" s="955">
        <v>66350</v>
      </c>
      <c r="AD77" s="955">
        <v>53930</v>
      </c>
      <c r="AE77" s="953">
        <v>0</v>
      </c>
      <c r="AF77" s="949">
        <f t="shared" si="30"/>
        <v>97000</v>
      </c>
      <c r="AG77" s="949">
        <v>48500</v>
      </c>
      <c r="AH77" s="949">
        <v>48500</v>
      </c>
      <c r="AI77" s="387">
        <f t="shared" si="26"/>
        <v>0</v>
      </c>
      <c r="AJ77" s="496"/>
    </row>
    <row r="78" spans="1:36" s="393" customFormat="1" ht="14.25">
      <c r="A78" s="397" t="s">
        <v>1939</v>
      </c>
      <c r="B78" s="394" t="s">
        <v>1951</v>
      </c>
      <c r="C78" s="497" t="s">
        <v>1958</v>
      </c>
      <c r="D78" s="396">
        <v>6</v>
      </c>
      <c r="E78" s="385">
        <f t="shared" si="27"/>
        <v>12347341</v>
      </c>
      <c r="F78" s="953">
        <v>278734</v>
      </c>
      <c r="G78" s="955">
        <v>12068607</v>
      </c>
      <c r="H78" s="949">
        <f t="shared" si="28"/>
        <v>7597581</v>
      </c>
      <c r="I78" s="953">
        <v>2610890</v>
      </c>
      <c r="J78" s="953">
        <v>0</v>
      </c>
      <c r="K78" s="953">
        <v>654597</v>
      </c>
      <c r="L78" s="953">
        <v>1305218</v>
      </c>
      <c r="M78" s="955">
        <v>931979</v>
      </c>
      <c r="N78" s="953">
        <v>2094897</v>
      </c>
      <c r="O78" s="954">
        <v>0</v>
      </c>
      <c r="P78" s="951">
        <f t="shared" si="29"/>
        <v>4646565</v>
      </c>
      <c r="Q78" s="955">
        <v>572378</v>
      </c>
      <c r="R78" s="955">
        <v>378006</v>
      </c>
      <c r="S78" s="955">
        <v>488565</v>
      </c>
      <c r="T78" s="955">
        <v>643242</v>
      </c>
      <c r="U78" s="955">
        <v>518617</v>
      </c>
      <c r="V78" s="955">
        <v>129361</v>
      </c>
      <c r="W78" s="955">
        <v>84795</v>
      </c>
      <c r="X78" s="955">
        <v>332650</v>
      </c>
      <c r="Y78" s="955">
        <v>298263</v>
      </c>
      <c r="Z78" s="955">
        <v>218913</v>
      </c>
      <c r="AA78" s="955">
        <v>44395</v>
      </c>
      <c r="AB78" s="955">
        <v>213594</v>
      </c>
      <c r="AC78" s="955">
        <v>261689</v>
      </c>
      <c r="AD78" s="955">
        <v>462097</v>
      </c>
      <c r="AE78" s="953">
        <v>0</v>
      </c>
      <c r="AF78" s="949">
        <f t="shared" si="30"/>
        <v>103195</v>
      </c>
      <c r="AG78" s="949">
        <v>84933</v>
      </c>
      <c r="AH78" s="949">
        <v>18262</v>
      </c>
      <c r="AI78" s="387">
        <f t="shared" si="26"/>
        <v>0</v>
      </c>
      <c r="AJ78" s="496"/>
    </row>
    <row r="79" spans="1:36" s="393" customFormat="1" ht="14.25">
      <c r="A79" s="397" t="s">
        <v>1939</v>
      </c>
      <c r="B79" s="394" t="s">
        <v>1959</v>
      </c>
      <c r="C79" s="497" t="s">
        <v>1960</v>
      </c>
      <c r="D79" s="396">
        <v>4</v>
      </c>
      <c r="E79" s="385">
        <f t="shared" si="27"/>
        <v>13968</v>
      </c>
      <c r="F79" s="953">
        <v>13968</v>
      </c>
      <c r="G79" s="953">
        <v>0</v>
      </c>
      <c r="H79" s="949">
        <f t="shared" si="28"/>
        <v>0</v>
      </c>
      <c r="I79" s="953">
        <v>0</v>
      </c>
      <c r="J79" s="953">
        <v>0</v>
      </c>
      <c r="K79" s="953">
        <v>0</v>
      </c>
      <c r="L79" s="953">
        <v>0</v>
      </c>
      <c r="M79" s="953">
        <v>0</v>
      </c>
      <c r="N79" s="953">
        <v>0</v>
      </c>
      <c r="O79" s="954">
        <v>0</v>
      </c>
      <c r="P79" s="951">
        <f t="shared" si="29"/>
        <v>13968</v>
      </c>
      <c r="Q79" s="953">
        <v>0</v>
      </c>
      <c r="R79" s="953">
        <v>0</v>
      </c>
      <c r="S79" s="953">
        <v>0</v>
      </c>
      <c r="T79" s="953">
        <v>0</v>
      </c>
      <c r="U79" s="953">
        <v>0</v>
      </c>
      <c r="V79" s="953">
        <v>0</v>
      </c>
      <c r="W79" s="953">
        <v>0</v>
      </c>
      <c r="X79" s="953">
        <v>0</v>
      </c>
      <c r="Y79" s="953">
        <v>6984</v>
      </c>
      <c r="Z79" s="953">
        <v>6984</v>
      </c>
      <c r="AA79" s="953">
        <v>0</v>
      </c>
      <c r="AB79" s="953">
        <v>0</v>
      </c>
      <c r="AC79" s="953">
        <v>0</v>
      </c>
      <c r="AD79" s="953">
        <v>0</v>
      </c>
      <c r="AE79" s="953">
        <v>0</v>
      </c>
      <c r="AF79" s="949">
        <f t="shared" si="30"/>
        <v>0</v>
      </c>
      <c r="AG79" s="949">
        <v>0</v>
      </c>
      <c r="AH79" s="949">
        <v>0</v>
      </c>
      <c r="AI79" s="387">
        <f t="shared" si="26"/>
        <v>0</v>
      </c>
      <c r="AJ79" s="496"/>
    </row>
    <row r="80" spans="1:36" s="393" customFormat="1" ht="14.25">
      <c r="A80" s="397" t="s">
        <v>1939</v>
      </c>
      <c r="B80" s="394" t="s">
        <v>1959</v>
      </c>
      <c r="C80" s="958" t="s">
        <v>1961</v>
      </c>
      <c r="D80" s="396">
        <v>4</v>
      </c>
      <c r="E80" s="385">
        <f t="shared" si="27"/>
        <v>22661</v>
      </c>
      <c r="F80" s="953">
        <v>21825</v>
      </c>
      <c r="G80" s="955">
        <v>836</v>
      </c>
      <c r="H80" s="949">
        <f t="shared" si="28"/>
        <v>11078</v>
      </c>
      <c r="I80" s="955">
        <v>1680</v>
      </c>
      <c r="J80" s="955">
        <v>0</v>
      </c>
      <c r="K80" s="955">
        <v>0</v>
      </c>
      <c r="L80" s="955">
        <v>700</v>
      </c>
      <c r="M80" s="955">
        <v>980</v>
      </c>
      <c r="N80" s="955">
        <v>3360</v>
      </c>
      <c r="O80" s="956">
        <v>4358</v>
      </c>
      <c r="P80" s="951">
        <f t="shared" si="29"/>
        <v>11083</v>
      </c>
      <c r="Q80" s="955">
        <v>0</v>
      </c>
      <c r="R80" s="955">
        <v>520</v>
      </c>
      <c r="S80" s="955">
        <v>540</v>
      </c>
      <c r="T80" s="955">
        <v>986</v>
      </c>
      <c r="U80" s="955">
        <v>935</v>
      </c>
      <c r="V80" s="955">
        <v>1700</v>
      </c>
      <c r="W80" s="955">
        <v>810</v>
      </c>
      <c r="X80" s="955">
        <v>3060</v>
      </c>
      <c r="Y80" s="955">
        <v>1395</v>
      </c>
      <c r="Z80" s="955">
        <v>0</v>
      </c>
      <c r="AA80" s="955">
        <v>0</v>
      </c>
      <c r="AB80" s="955">
        <v>640</v>
      </c>
      <c r="AC80" s="955">
        <v>0</v>
      </c>
      <c r="AD80" s="955">
        <v>0</v>
      </c>
      <c r="AE80" s="955">
        <v>497</v>
      </c>
      <c r="AF80" s="949">
        <f t="shared" si="30"/>
        <v>500</v>
      </c>
      <c r="AG80" s="955">
        <v>250</v>
      </c>
      <c r="AH80" s="955">
        <v>250</v>
      </c>
      <c r="AI80" s="387">
        <f t="shared" si="26"/>
        <v>0</v>
      </c>
      <c r="AJ80" s="496"/>
    </row>
    <row r="81" spans="1:36" s="393" customFormat="1" ht="14.25">
      <c r="A81" s="397" t="s">
        <v>1939</v>
      </c>
      <c r="B81" s="394" t="s">
        <v>1959</v>
      </c>
      <c r="C81" s="497" t="s">
        <v>1962</v>
      </c>
      <c r="D81" s="396">
        <v>4</v>
      </c>
      <c r="E81" s="385">
        <f t="shared" si="27"/>
        <v>17460</v>
      </c>
      <c r="F81" s="953">
        <v>17460</v>
      </c>
      <c r="G81" s="953">
        <v>0</v>
      </c>
      <c r="H81" s="949">
        <f t="shared" si="28"/>
        <v>7883</v>
      </c>
      <c r="I81" s="953">
        <v>0</v>
      </c>
      <c r="J81" s="953">
        <v>0</v>
      </c>
      <c r="K81" s="953">
        <v>0</v>
      </c>
      <c r="L81" s="953">
        <v>5141</v>
      </c>
      <c r="M81" s="953">
        <v>0</v>
      </c>
      <c r="N81" s="953">
        <v>2742</v>
      </c>
      <c r="O81" s="954">
        <v>0</v>
      </c>
      <c r="P81" s="951">
        <f t="shared" si="29"/>
        <v>9577</v>
      </c>
      <c r="Q81" s="953">
        <v>945</v>
      </c>
      <c r="R81" s="953">
        <v>0</v>
      </c>
      <c r="S81" s="953">
        <v>0</v>
      </c>
      <c r="T81" s="953">
        <v>0</v>
      </c>
      <c r="U81" s="953">
        <v>0</v>
      </c>
      <c r="V81" s="953">
        <v>3981</v>
      </c>
      <c r="W81" s="953">
        <v>284</v>
      </c>
      <c r="X81" s="953">
        <v>612</v>
      </c>
      <c r="Y81" s="953">
        <v>294</v>
      </c>
      <c r="Z81" s="953">
        <v>3461</v>
      </c>
      <c r="AA81" s="953">
        <v>0</v>
      </c>
      <c r="AB81" s="953">
        <v>0</v>
      </c>
      <c r="AC81" s="953">
        <v>0</v>
      </c>
      <c r="AD81" s="953">
        <v>0</v>
      </c>
      <c r="AE81" s="953">
        <v>0</v>
      </c>
      <c r="AF81" s="949">
        <f>SUM(AG81:AH81)</f>
        <v>0</v>
      </c>
      <c r="AG81" s="949">
        <v>0</v>
      </c>
      <c r="AH81" s="949">
        <v>0</v>
      </c>
      <c r="AI81" s="387">
        <f t="shared" si="26"/>
        <v>0</v>
      </c>
      <c r="AJ81" s="496"/>
    </row>
    <row r="82" spans="1:36" s="410" customFormat="1" ht="21.6" customHeight="1">
      <c r="A82" s="405" t="s">
        <v>1286</v>
      </c>
      <c r="B82" s="406"/>
      <c r="C82" s="407"/>
      <c r="D82" s="408"/>
      <c r="E82" s="409">
        <f>E83</f>
        <v>377474</v>
      </c>
      <c r="F82" s="556">
        <f t="shared" ref="F82:AH82" si="31">F83</f>
        <v>377474</v>
      </c>
      <c r="G82" s="556">
        <f t="shared" si="31"/>
        <v>0</v>
      </c>
      <c r="H82" s="556">
        <f t="shared" si="31"/>
        <v>250051</v>
      </c>
      <c r="I82" s="556">
        <f t="shared" si="31"/>
        <v>58608</v>
      </c>
      <c r="J82" s="556">
        <f t="shared" si="31"/>
        <v>47236</v>
      </c>
      <c r="K82" s="556">
        <f t="shared" si="31"/>
        <v>26580</v>
      </c>
      <c r="L82" s="556">
        <f t="shared" si="31"/>
        <v>43707</v>
      </c>
      <c r="M82" s="556">
        <f t="shared" si="31"/>
        <v>27363</v>
      </c>
      <c r="N82" s="556">
        <f t="shared" si="31"/>
        <v>46557</v>
      </c>
      <c r="O82" s="556">
        <f t="shared" si="31"/>
        <v>0</v>
      </c>
      <c r="P82" s="556">
        <f t="shared" si="31"/>
        <v>125155</v>
      </c>
      <c r="Q82" s="556">
        <f t="shared" si="31"/>
        <v>9662</v>
      </c>
      <c r="R82" s="556">
        <f t="shared" si="31"/>
        <v>8097</v>
      </c>
      <c r="S82" s="556">
        <f t="shared" si="31"/>
        <v>8413</v>
      </c>
      <c r="T82" s="556">
        <f t="shared" si="31"/>
        <v>19006</v>
      </c>
      <c r="U82" s="556">
        <f t="shared" si="31"/>
        <v>8980</v>
      </c>
      <c r="V82" s="556">
        <f t="shared" si="31"/>
        <v>10358</v>
      </c>
      <c r="W82" s="556">
        <f t="shared" si="31"/>
        <v>8800</v>
      </c>
      <c r="X82" s="556">
        <f t="shared" si="31"/>
        <v>12345</v>
      </c>
      <c r="Y82" s="556">
        <f t="shared" si="31"/>
        <v>6697</v>
      </c>
      <c r="Z82" s="556">
        <f t="shared" si="31"/>
        <v>8348</v>
      </c>
      <c r="AA82" s="556">
        <f t="shared" si="31"/>
        <v>4651</v>
      </c>
      <c r="AB82" s="556">
        <f t="shared" si="31"/>
        <v>8047</v>
      </c>
      <c r="AC82" s="556">
        <f t="shared" si="31"/>
        <v>6640</v>
      </c>
      <c r="AD82" s="556">
        <f t="shared" si="31"/>
        <v>5111</v>
      </c>
      <c r="AE82" s="556">
        <f t="shared" si="31"/>
        <v>0</v>
      </c>
      <c r="AF82" s="556">
        <f t="shared" si="31"/>
        <v>2268</v>
      </c>
      <c r="AG82" s="556">
        <f t="shared" si="31"/>
        <v>1730</v>
      </c>
      <c r="AH82" s="556">
        <f t="shared" si="31"/>
        <v>538</v>
      </c>
      <c r="AI82" s="387">
        <f t="shared" si="26"/>
        <v>0</v>
      </c>
      <c r="AJ82" s="496"/>
    </row>
    <row r="83" spans="1:36" s="393" customFormat="1" ht="14.25">
      <c r="A83" s="397" t="s">
        <v>1963</v>
      </c>
      <c r="B83" s="394" t="s">
        <v>1964</v>
      </c>
      <c r="C83" s="497" t="s">
        <v>1965</v>
      </c>
      <c r="D83" s="396">
        <v>1</v>
      </c>
      <c r="E83" s="385">
        <f>F83+G83</f>
        <v>377474</v>
      </c>
      <c r="F83" s="950">
        <f>H83+P83+AF83</f>
        <v>377474</v>
      </c>
      <c r="G83" s="949">
        <v>0</v>
      </c>
      <c r="H83" s="949">
        <f>SUM(I83:O83)</f>
        <v>250051</v>
      </c>
      <c r="I83" s="949">
        <v>58608</v>
      </c>
      <c r="J83" s="950">
        <f>54940-7704</f>
        <v>47236</v>
      </c>
      <c r="K83" s="949">
        <v>26580</v>
      </c>
      <c r="L83" s="949">
        <v>43707</v>
      </c>
      <c r="M83" s="949">
        <v>27363</v>
      </c>
      <c r="N83" s="949">
        <v>46557</v>
      </c>
      <c r="O83" s="951">
        <v>0</v>
      </c>
      <c r="P83" s="951">
        <f>SUM(Q83:AE83)</f>
        <v>125155</v>
      </c>
      <c r="Q83" s="949">
        <v>9662</v>
      </c>
      <c r="R83" s="949">
        <v>8097</v>
      </c>
      <c r="S83" s="949">
        <v>8413</v>
      </c>
      <c r="T83" s="949">
        <v>19006</v>
      </c>
      <c r="U83" s="949">
        <v>8980</v>
      </c>
      <c r="V83" s="949">
        <v>10358</v>
      </c>
      <c r="W83" s="949">
        <v>8800</v>
      </c>
      <c r="X83" s="949">
        <v>12345</v>
      </c>
      <c r="Y83" s="949">
        <v>6697</v>
      </c>
      <c r="Z83" s="949">
        <v>8348</v>
      </c>
      <c r="AA83" s="949">
        <v>4651</v>
      </c>
      <c r="AB83" s="949">
        <v>8047</v>
      </c>
      <c r="AC83" s="949">
        <v>6640</v>
      </c>
      <c r="AD83" s="949">
        <v>5111</v>
      </c>
      <c r="AE83" s="949">
        <v>0</v>
      </c>
      <c r="AF83" s="949">
        <f>SUM(AG83:AH83)</f>
        <v>2268</v>
      </c>
      <c r="AG83" s="949">
        <v>1730</v>
      </c>
      <c r="AH83" s="949">
        <v>538</v>
      </c>
      <c r="AI83" s="387">
        <f t="shared" si="26"/>
        <v>0</v>
      </c>
      <c r="AJ83" s="496"/>
    </row>
    <row r="84" spans="1:36" s="410" customFormat="1" ht="21.6" customHeight="1">
      <c r="A84" s="405" t="s">
        <v>1251</v>
      </c>
      <c r="B84" s="406"/>
      <c r="C84" s="407"/>
      <c r="D84" s="408"/>
      <c r="E84" s="409">
        <f>SUM(E85:E97)</f>
        <v>341179</v>
      </c>
      <c r="F84" s="556">
        <f t="shared" ref="F84:AH84" si="32">SUM(F85:F97)</f>
        <v>103290</v>
      </c>
      <c r="G84" s="556">
        <f t="shared" si="32"/>
        <v>237889</v>
      </c>
      <c r="H84" s="556">
        <f t="shared" si="32"/>
        <v>112684</v>
      </c>
      <c r="I84" s="556">
        <f t="shared" si="32"/>
        <v>14105</v>
      </c>
      <c r="J84" s="556">
        <f t="shared" si="32"/>
        <v>6354</v>
      </c>
      <c r="K84" s="556">
        <f t="shared" si="32"/>
        <v>17478</v>
      </c>
      <c r="L84" s="556">
        <f t="shared" si="32"/>
        <v>19558</v>
      </c>
      <c r="M84" s="556">
        <f t="shared" si="32"/>
        <v>33275</v>
      </c>
      <c r="N84" s="556">
        <f t="shared" si="32"/>
        <v>21914</v>
      </c>
      <c r="O84" s="556">
        <f t="shared" si="32"/>
        <v>0</v>
      </c>
      <c r="P84" s="556">
        <f t="shared" si="32"/>
        <v>213217</v>
      </c>
      <c r="Q84" s="556">
        <f t="shared" si="32"/>
        <v>12912</v>
      </c>
      <c r="R84" s="556">
        <f t="shared" si="32"/>
        <v>10764</v>
      </c>
      <c r="S84" s="556">
        <f t="shared" si="32"/>
        <v>22351</v>
      </c>
      <c r="T84" s="556">
        <f t="shared" si="32"/>
        <v>12844</v>
      </c>
      <c r="U84" s="556">
        <f t="shared" si="32"/>
        <v>13964</v>
      </c>
      <c r="V84" s="556">
        <f t="shared" si="32"/>
        <v>15435</v>
      </c>
      <c r="W84" s="556">
        <f t="shared" si="32"/>
        <v>17058</v>
      </c>
      <c r="X84" s="556">
        <f t="shared" si="32"/>
        <v>32021</v>
      </c>
      <c r="Y84" s="556">
        <f t="shared" si="32"/>
        <v>18929</v>
      </c>
      <c r="Z84" s="556">
        <f t="shared" si="32"/>
        <v>16672</v>
      </c>
      <c r="AA84" s="556">
        <f t="shared" si="32"/>
        <v>11019</v>
      </c>
      <c r="AB84" s="556">
        <f t="shared" si="32"/>
        <v>7646</v>
      </c>
      <c r="AC84" s="556">
        <f t="shared" si="32"/>
        <v>10045</v>
      </c>
      <c r="AD84" s="556">
        <f t="shared" si="32"/>
        <v>9978</v>
      </c>
      <c r="AE84" s="556">
        <f t="shared" si="32"/>
        <v>1579</v>
      </c>
      <c r="AF84" s="556">
        <f t="shared" si="32"/>
        <v>15278</v>
      </c>
      <c r="AG84" s="556">
        <f t="shared" si="32"/>
        <v>6271</v>
      </c>
      <c r="AH84" s="556">
        <f t="shared" si="32"/>
        <v>9007</v>
      </c>
      <c r="AI84" s="387">
        <f t="shared" si="26"/>
        <v>0</v>
      </c>
      <c r="AJ84" s="496"/>
    </row>
    <row r="85" spans="1:36" s="393" customFormat="1" ht="14.25">
      <c r="A85" s="397" t="s">
        <v>1939</v>
      </c>
      <c r="B85" s="394" t="s">
        <v>1966</v>
      </c>
      <c r="C85" s="497" t="s">
        <v>1967</v>
      </c>
      <c r="D85" s="396">
        <v>1</v>
      </c>
      <c r="E85" s="385">
        <f t="shared" ref="E85:E97" si="33">F85+G85</f>
        <v>0</v>
      </c>
      <c r="F85" s="949"/>
      <c r="G85" s="949"/>
      <c r="H85" s="949">
        <f t="shared" ref="H85:H97" si="34">SUM(I85:O85)</f>
        <v>0</v>
      </c>
      <c r="I85" s="949"/>
      <c r="J85" s="949"/>
      <c r="K85" s="949"/>
      <c r="L85" s="949"/>
      <c r="M85" s="949"/>
      <c r="N85" s="949"/>
      <c r="O85" s="951"/>
      <c r="P85" s="951">
        <f t="shared" ref="P85:P97" si="35">SUM(Q85:AE85)</f>
        <v>0</v>
      </c>
      <c r="Q85" s="949"/>
      <c r="R85" s="949"/>
      <c r="S85" s="949"/>
      <c r="T85" s="949"/>
      <c r="U85" s="949"/>
      <c r="V85" s="949"/>
      <c r="W85" s="949"/>
      <c r="X85" s="949"/>
      <c r="Y85" s="949"/>
      <c r="Z85" s="949"/>
      <c r="AA85" s="949"/>
      <c r="AB85" s="949"/>
      <c r="AC85" s="949"/>
      <c r="AD85" s="949"/>
      <c r="AE85" s="949"/>
      <c r="AF85" s="949">
        <f t="shared" ref="AF85:AF97" si="36">SUM(AG85:AH85)</f>
        <v>0</v>
      </c>
      <c r="AG85" s="949"/>
      <c r="AH85" s="949"/>
      <c r="AI85" s="387">
        <f t="shared" si="26"/>
        <v>0</v>
      </c>
      <c r="AJ85" s="496"/>
    </row>
    <row r="86" spans="1:36" s="393" customFormat="1" ht="14.25">
      <c r="A86" s="397" t="s">
        <v>1939</v>
      </c>
      <c r="B86" s="394" t="s">
        <v>1966</v>
      </c>
      <c r="C86" s="497" t="s">
        <v>1968</v>
      </c>
      <c r="D86" s="396">
        <v>1</v>
      </c>
      <c r="E86" s="385">
        <f t="shared" si="33"/>
        <v>88268</v>
      </c>
      <c r="F86" s="950">
        <v>86090</v>
      </c>
      <c r="G86" s="950">
        <v>2178</v>
      </c>
      <c r="H86" s="949">
        <f t="shared" si="34"/>
        <v>29354</v>
      </c>
      <c r="I86" s="950">
        <v>4902</v>
      </c>
      <c r="J86" s="950">
        <v>2409</v>
      </c>
      <c r="K86" s="950">
        <v>3578</v>
      </c>
      <c r="L86" s="950">
        <v>5297</v>
      </c>
      <c r="M86" s="950">
        <v>6417</v>
      </c>
      <c r="N86" s="950">
        <v>6751</v>
      </c>
      <c r="O86" s="951"/>
      <c r="P86" s="951">
        <f t="shared" si="35"/>
        <v>53430</v>
      </c>
      <c r="Q86" s="950">
        <v>3573</v>
      </c>
      <c r="R86" s="950">
        <v>3923</v>
      </c>
      <c r="S86" s="950">
        <v>4130</v>
      </c>
      <c r="T86" s="950">
        <v>4794</v>
      </c>
      <c r="U86" s="950">
        <v>3845</v>
      </c>
      <c r="V86" s="950">
        <v>4096</v>
      </c>
      <c r="W86" s="950">
        <v>4171</v>
      </c>
      <c r="X86" s="950">
        <v>5535</v>
      </c>
      <c r="Y86" s="950">
        <v>4116</v>
      </c>
      <c r="Z86" s="950">
        <v>4044</v>
      </c>
      <c r="AA86" s="950">
        <v>2953</v>
      </c>
      <c r="AB86" s="950">
        <v>2988</v>
      </c>
      <c r="AC86" s="950">
        <v>2706</v>
      </c>
      <c r="AD86" s="950">
        <v>2556</v>
      </c>
      <c r="AE86" s="949"/>
      <c r="AF86" s="949">
        <f t="shared" si="36"/>
        <v>5484</v>
      </c>
      <c r="AG86" s="950">
        <v>2736</v>
      </c>
      <c r="AH86" s="950">
        <v>2748</v>
      </c>
      <c r="AI86" s="387">
        <f t="shared" si="26"/>
        <v>0</v>
      </c>
      <c r="AJ86" s="496"/>
    </row>
    <row r="87" spans="1:36" s="393" customFormat="1" ht="28.5">
      <c r="A87" s="397" t="s">
        <v>1939</v>
      </c>
      <c r="B87" s="394" t="s">
        <v>1966</v>
      </c>
      <c r="C87" s="497" t="s">
        <v>1969</v>
      </c>
      <c r="D87" s="396">
        <v>1</v>
      </c>
      <c r="E87" s="385">
        <f t="shared" si="33"/>
        <v>2698</v>
      </c>
      <c r="F87" s="950">
        <v>2698</v>
      </c>
      <c r="G87" s="949"/>
      <c r="H87" s="949">
        <f t="shared" si="34"/>
        <v>1806</v>
      </c>
      <c r="I87" s="950">
        <v>410</v>
      </c>
      <c r="J87" s="950">
        <v>428</v>
      </c>
      <c r="K87" s="950">
        <v>248</v>
      </c>
      <c r="L87" s="950">
        <v>387</v>
      </c>
      <c r="M87" s="950">
        <v>144</v>
      </c>
      <c r="N87" s="950">
        <v>189</v>
      </c>
      <c r="O87" s="951"/>
      <c r="P87" s="951">
        <f t="shared" si="35"/>
        <v>855</v>
      </c>
      <c r="Q87" s="950">
        <v>40</v>
      </c>
      <c r="R87" s="950">
        <v>163</v>
      </c>
      <c r="S87" s="950">
        <v>61</v>
      </c>
      <c r="T87" s="950">
        <v>81</v>
      </c>
      <c r="U87" s="950">
        <v>39</v>
      </c>
      <c r="V87" s="950">
        <v>63</v>
      </c>
      <c r="W87" s="950">
        <v>39</v>
      </c>
      <c r="X87" s="950">
        <v>45</v>
      </c>
      <c r="Y87" s="950">
        <v>24</v>
      </c>
      <c r="Z87" s="950">
        <v>36</v>
      </c>
      <c r="AA87" s="950">
        <v>21</v>
      </c>
      <c r="AB87" s="950">
        <v>87</v>
      </c>
      <c r="AC87" s="950">
        <v>108</v>
      </c>
      <c r="AD87" s="950">
        <v>48</v>
      </c>
      <c r="AE87" s="949"/>
      <c r="AF87" s="949">
        <f t="shared" si="36"/>
        <v>37</v>
      </c>
      <c r="AG87" s="950">
        <v>37</v>
      </c>
      <c r="AH87" s="950">
        <v>0</v>
      </c>
      <c r="AI87" s="387">
        <f t="shared" si="26"/>
        <v>0</v>
      </c>
      <c r="AJ87" s="496"/>
    </row>
    <row r="88" spans="1:36" s="393" customFormat="1" ht="14.25">
      <c r="A88" s="397" t="s">
        <v>1939</v>
      </c>
      <c r="B88" s="394" t="s">
        <v>1966</v>
      </c>
      <c r="C88" s="497" t="s">
        <v>1970</v>
      </c>
      <c r="D88" s="396">
        <v>1</v>
      </c>
      <c r="E88" s="385">
        <f t="shared" si="33"/>
        <v>2877</v>
      </c>
      <c r="F88" s="950">
        <v>2877</v>
      </c>
      <c r="G88" s="949"/>
      <c r="H88" s="949">
        <f t="shared" si="34"/>
        <v>1817</v>
      </c>
      <c r="I88" s="950">
        <v>397</v>
      </c>
      <c r="J88" s="950">
        <v>270</v>
      </c>
      <c r="K88" s="950">
        <v>230</v>
      </c>
      <c r="L88" s="950">
        <v>312</v>
      </c>
      <c r="M88" s="950">
        <v>256</v>
      </c>
      <c r="N88" s="950">
        <v>352</v>
      </c>
      <c r="O88" s="951"/>
      <c r="P88" s="951">
        <f t="shared" si="35"/>
        <v>1002</v>
      </c>
      <c r="Q88" s="950">
        <v>63</v>
      </c>
      <c r="R88" s="950">
        <v>64</v>
      </c>
      <c r="S88" s="950">
        <v>78</v>
      </c>
      <c r="T88" s="950">
        <v>172</v>
      </c>
      <c r="U88" s="950">
        <v>73</v>
      </c>
      <c r="V88" s="950">
        <v>97</v>
      </c>
      <c r="W88" s="950">
        <v>79</v>
      </c>
      <c r="X88" s="950">
        <v>125</v>
      </c>
      <c r="Y88" s="950">
        <v>33</v>
      </c>
      <c r="Z88" s="950">
        <v>51</v>
      </c>
      <c r="AA88" s="950">
        <v>29</v>
      </c>
      <c r="AB88" s="950">
        <v>51</v>
      </c>
      <c r="AC88" s="950">
        <v>51</v>
      </c>
      <c r="AD88" s="950">
        <v>36</v>
      </c>
      <c r="AE88" s="949"/>
      <c r="AF88" s="949">
        <f t="shared" si="36"/>
        <v>58</v>
      </c>
      <c r="AG88" s="950">
        <v>29</v>
      </c>
      <c r="AH88" s="950">
        <v>29</v>
      </c>
      <c r="AI88" s="387">
        <f t="shared" si="26"/>
        <v>0</v>
      </c>
      <c r="AJ88" s="496"/>
    </row>
    <row r="89" spans="1:36" s="393" customFormat="1" ht="14.25">
      <c r="A89" s="397" t="s">
        <v>1939</v>
      </c>
      <c r="B89" s="394" t="s">
        <v>1966</v>
      </c>
      <c r="C89" s="497" t="s">
        <v>1971</v>
      </c>
      <c r="D89" s="396">
        <v>1</v>
      </c>
      <c r="E89" s="385">
        <f t="shared" si="33"/>
        <v>75236</v>
      </c>
      <c r="F89" s="949"/>
      <c r="G89" s="950">
        <v>75236</v>
      </c>
      <c r="H89" s="949">
        <f t="shared" si="34"/>
        <v>28756</v>
      </c>
      <c r="I89" s="950">
        <v>5034</v>
      </c>
      <c r="J89" s="950">
        <v>1587</v>
      </c>
      <c r="K89" s="950">
        <v>6952</v>
      </c>
      <c r="L89" s="950">
        <v>3358</v>
      </c>
      <c r="M89" s="950">
        <v>5135</v>
      </c>
      <c r="N89" s="950">
        <v>6690</v>
      </c>
      <c r="O89" s="951"/>
      <c r="P89" s="951">
        <f t="shared" si="35"/>
        <v>46230</v>
      </c>
      <c r="Q89" s="950">
        <v>1881</v>
      </c>
      <c r="R89" s="950">
        <v>2935</v>
      </c>
      <c r="S89" s="950">
        <v>4664</v>
      </c>
      <c r="T89" s="950">
        <v>3251</v>
      </c>
      <c r="U89" s="950">
        <v>2658</v>
      </c>
      <c r="V89" s="950">
        <v>3606</v>
      </c>
      <c r="W89" s="950">
        <v>6986</v>
      </c>
      <c r="X89" s="950">
        <v>8448</v>
      </c>
      <c r="Y89" s="950">
        <v>2766</v>
      </c>
      <c r="Z89" s="950">
        <v>3222</v>
      </c>
      <c r="AA89" s="950">
        <v>2048</v>
      </c>
      <c r="AB89" s="950">
        <v>841</v>
      </c>
      <c r="AC89" s="950">
        <v>1336</v>
      </c>
      <c r="AD89" s="950">
        <v>1223</v>
      </c>
      <c r="AE89" s="950">
        <v>365</v>
      </c>
      <c r="AF89" s="949">
        <f t="shared" si="36"/>
        <v>250</v>
      </c>
      <c r="AG89" s="950">
        <v>0</v>
      </c>
      <c r="AH89" s="950">
        <v>250</v>
      </c>
      <c r="AI89" s="387">
        <f t="shared" si="26"/>
        <v>0</v>
      </c>
      <c r="AJ89" s="496"/>
    </row>
    <row r="90" spans="1:36" s="393" customFormat="1" ht="14.25">
      <c r="A90" s="397" t="s">
        <v>1939</v>
      </c>
      <c r="B90" s="394" t="s">
        <v>1966</v>
      </c>
      <c r="C90" s="497" t="s">
        <v>1972</v>
      </c>
      <c r="D90" s="396">
        <v>1</v>
      </c>
      <c r="E90" s="385">
        <f t="shared" si="33"/>
        <v>225</v>
      </c>
      <c r="F90" s="949"/>
      <c r="G90" s="949">
        <v>225</v>
      </c>
      <c r="H90" s="949">
        <f t="shared" si="34"/>
        <v>0</v>
      </c>
      <c r="I90" s="949"/>
      <c r="J90" s="949"/>
      <c r="K90" s="949"/>
      <c r="L90" s="949"/>
      <c r="M90" s="949"/>
      <c r="N90" s="949"/>
      <c r="O90" s="951"/>
      <c r="P90" s="951">
        <f t="shared" si="35"/>
        <v>225</v>
      </c>
      <c r="Q90" s="949"/>
      <c r="R90" s="949"/>
      <c r="S90" s="949"/>
      <c r="T90" s="949"/>
      <c r="U90" s="949"/>
      <c r="V90" s="949"/>
      <c r="W90" s="949"/>
      <c r="X90" s="949"/>
      <c r="Y90" s="949"/>
      <c r="Z90" s="949"/>
      <c r="AA90" s="949">
        <v>225</v>
      </c>
      <c r="AB90" s="949"/>
      <c r="AC90" s="949"/>
      <c r="AD90" s="949"/>
      <c r="AE90" s="949"/>
      <c r="AF90" s="949">
        <f t="shared" si="36"/>
        <v>0</v>
      </c>
      <c r="AG90" s="949"/>
      <c r="AH90" s="949"/>
      <c r="AI90" s="387">
        <f t="shared" si="26"/>
        <v>0</v>
      </c>
      <c r="AJ90" s="496"/>
    </row>
    <row r="91" spans="1:36" s="393" customFormat="1" ht="14.25">
      <c r="A91" s="397" t="s">
        <v>1939</v>
      </c>
      <c r="B91" s="394" t="s">
        <v>1966</v>
      </c>
      <c r="C91" s="497" t="s">
        <v>1973</v>
      </c>
      <c r="D91" s="396">
        <v>1</v>
      </c>
      <c r="E91" s="385">
        <f t="shared" si="33"/>
        <v>392</v>
      </c>
      <c r="F91" s="950">
        <v>392</v>
      </c>
      <c r="G91" s="949"/>
      <c r="H91" s="949">
        <f t="shared" si="34"/>
        <v>0</v>
      </c>
      <c r="I91" s="949"/>
      <c r="J91" s="949"/>
      <c r="K91" s="949"/>
      <c r="L91" s="949"/>
      <c r="M91" s="949"/>
      <c r="N91" s="949"/>
      <c r="O91" s="951"/>
      <c r="P91" s="951">
        <f t="shared" si="35"/>
        <v>392</v>
      </c>
      <c r="Q91" s="949"/>
      <c r="R91" s="949"/>
      <c r="S91" s="949"/>
      <c r="T91" s="949"/>
      <c r="U91" s="949"/>
      <c r="V91" s="949"/>
      <c r="W91" s="949"/>
      <c r="X91" s="949"/>
      <c r="Y91" s="950">
        <v>392</v>
      </c>
      <c r="Z91" s="949"/>
      <c r="AA91" s="949"/>
      <c r="AB91" s="949"/>
      <c r="AC91" s="949"/>
      <c r="AD91" s="949"/>
      <c r="AE91" s="949"/>
      <c r="AF91" s="949">
        <f t="shared" si="36"/>
        <v>0</v>
      </c>
      <c r="AG91" s="949"/>
      <c r="AH91" s="949"/>
      <c r="AI91" s="387">
        <f t="shared" si="26"/>
        <v>0</v>
      </c>
      <c r="AJ91" s="496"/>
    </row>
    <row r="92" spans="1:36" s="393" customFormat="1" ht="14.25">
      <c r="A92" s="397" t="s">
        <v>1939</v>
      </c>
      <c r="B92" s="394" t="s">
        <v>1966</v>
      </c>
      <c r="C92" s="497" t="s">
        <v>1974</v>
      </c>
      <c r="D92" s="396">
        <v>1</v>
      </c>
      <c r="E92" s="385">
        <f t="shared" si="33"/>
        <v>38</v>
      </c>
      <c r="F92" s="949"/>
      <c r="G92" s="949">
        <v>38</v>
      </c>
      <c r="H92" s="949">
        <f t="shared" si="34"/>
        <v>0</v>
      </c>
      <c r="I92" s="949"/>
      <c r="J92" s="949"/>
      <c r="K92" s="949"/>
      <c r="L92" s="949"/>
      <c r="M92" s="949"/>
      <c r="N92" s="949"/>
      <c r="O92" s="951"/>
      <c r="P92" s="951">
        <f t="shared" si="35"/>
        <v>38</v>
      </c>
      <c r="Q92" s="949"/>
      <c r="R92" s="949"/>
      <c r="S92" s="949"/>
      <c r="T92" s="949"/>
      <c r="U92" s="949"/>
      <c r="V92" s="949"/>
      <c r="W92" s="949"/>
      <c r="X92" s="949"/>
      <c r="Y92" s="949"/>
      <c r="Z92" s="949"/>
      <c r="AA92" s="949">
        <v>38</v>
      </c>
      <c r="AB92" s="949"/>
      <c r="AC92" s="949"/>
      <c r="AD92" s="949"/>
      <c r="AE92" s="949"/>
      <c r="AF92" s="949">
        <f t="shared" si="36"/>
        <v>0</v>
      </c>
      <c r="AG92" s="949"/>
      <c r="AH92" s="949"/>
      <c r="AI92" s="387">
        <f t="shared" si="26"/>
        <v>0</v>
      </c>
      <c r="AJ92" s="496"/>
    </row>
    <row r="93" spans="1:36" s="393" customFormat="1" ht="14.25">
      <c r="A93" s="397" t="s">
        <v>1939</v>
      </c>
      <c r="B93" s="394" t="s">
        <v>1966</v>
      </c>
      <c r="C93" s="497" t="s">
        <v>1975</v>
      </c>
      <c r="D93" s="396">
        <v>1</v>
      </c>
      <c r="E93" s="385">
        <f t="shared" si="33"/>
        <v>612</v>
      </c>
      <c r="F93" s="949"/>
      <c r="G93" s="950">
        <v>612</v>
      </c>
      <c r="H93" s="949">
        <f t="shared" si="34"/>
        <v>0</v>
      </c>
      <c r="I93" s="949"/>
      <c r="J93" s="949"/>
      <c r="K93" s="949"/>
      <c r="L93" s="949"/>
      <c r="M93" s="949"/>
      <c r="N93" s="949"/>
      <c r="O93" s="951"/>
      <c r="P93" s="951">
        <f t="shared" si="35"/>
        <v>612</v>
      </c>
      <c r="Q93" s="949"/>
      <c r="R93" s="949"/>
      <c r="S93" s="949"/>
      <c r="T93" s="949"/>
      <c r="U93" s="949"/>
      <c r="V93" s="949"/>
      <c r="W93" s="949"/>
      <c r="X93" s="949"/>
      <c r="Y93" s="949"/>
      <c r="Z93" s="950">
        <v>612</v>
      </c>
      <c r="AA93" s="949"/>
      <c r="AB93" s="949"/>
      <c r="AC93" s="949"/>
      <c r="AD93" s="949"/>
      <c r="AE93" s="949"/>
      <c r="AF93" s="949">
        <f t="shared" si="36"/>
        <v>0</v>
      </c>
      <c r="AG93" s="949"/>
      <c r="AH93" s="949"/>
      <c r="AI93" s="387">
        <f t="shared" si="26"/>
        <v>0</v>
      </c>
      <c r="AJ93" s="496"/>
    </row>
    <row r="94" spans="1:36" s="393" customFormat="1" ht="14.25">
      <c r="A94" s="397" t="s">
        <v>1939</v>
      </c>
      <c r="B94" s="394" t="s">
        <v>1966</v>
      </c>
      <c r="C94" s="497" t="s">
        <v>1976</v>
      </c>
      <c r="D94" s="396">
        <v>1</v>
      </c>
      <c r="E94" s="385">
        <f t="shared" si="33"/>
        <v>77936</v>
      </c>
      <c r="F94" s="950">
        <v>11086</v>
      </c>
      <c r="G94" s="950">
        <v>66850</v>
      </c>
      <c r="H94" s="949">
        <f t="shared" si="34"/>
        <v>36530</v>
      </c>
      <c r="I94" s="950">
        <v>2522</v>
      </c>
      <c r="J94" s="950">
        <v>1660</v>
      </c>
      <c r="K94" s="950">
        <v>4469</v>
      </c>
      <c r="L94" s="950">
        <v>6768</v>
      </c>
      <c r="M94" s="950">
        <v>17277</v>
      </c>
      <c r="N94" s="950">
        <v>3834</v>
      </c>
      <c r="O94" s="951">
        <v>0</v>
      </c>
      <c r="P94" s="951">
        <f t="shared" si="35"/>
        <v>41406</v>
      </c>
      <c r="Q94" s="950">
        <v>2651</v>
      </c>
      <c r="R94" s="950">
        <v>0</v>
      </c>
      <c r="S94" s="950">
        <v>7508</v>
      </c>
      <c r="T94" s="950">
        <v>0</v>
      </c>
      <c r="U94" s="950">
        <v>2855</v>
      </c>
      <c r="V94" s="950">
        <v>3027</v>
      </c>
      <c r="W94" s="950">
        <v>0</v>
      </c>
      <c r="X94" s="950">
        <v>11753</v>
      </c>
      <c r="Y94" s="950">
        <v>5825</v>
      </c>
      <c r="Z94" s="950">
        <v>2934</v>
      </c>
      <c r="AA94" s="950">
        <v>0</v>
      </c>
      <c r="AB94" s="950">
        <v>0</v>
      </c>
      <c r="AC94" s="950">
        <v>2333</v>
      </c>
      <c r="AD94" s="950">
        <v>2520</v>
      </c>
      <c r="AE94" s="949">
        <v>0</v>
      </c>
      <c r="AF94" s="949">
        <f t="shared" si="36"/>
        <v>0</v>
      </c>
      <c r="AG94" s="949"/>
      <c r="AH94" s="949"/>
      <c r="AI94" s="387">
        <f t="shared" si="26"/>
        <v>0</v>
      </c>
      <c r="AJ94" s="496"/>
    </row>
    <row r="95" spans="1:36" s="393" customFormat="1" ht="14.25">
      <c r="A95" s="397" t="s">
        <v>1939</v>
      </c>
      <c r="B95" s="394" t="s">
        <v>1966</v>
      </c>
      <c r="C95" s="497" t="s">
        <v>1977</v>
      </c>
      <c r="D95" s="396">
        <v>1</v>
      </c>
      <c r="E95" s="385">
        <f t="shared" si="33"/>
        <v>1214</v>
      </c>
      <c r="F95" s="949"/>
      <c r="G95" s="950">
        <v>1214</v>
      </c>
      <c r="H95" s="949">
        <f t="shared" si="34"/>
        <v>0</v>
      </c>
      <c r="I95" s="949"/>
      <c r="J95" s="949"/>
      <c r="K95" s="949"/>
      <c r="L95" s="949"/>
      <c r="M95" s="949"/>
      <c r="N95" s="949"/>
      <c r="O95" s="951">
        <v>0</v>
      </c>
      <c r="P95" s="951">
        <f t="shared" si="35"/>
        <v>1214</v>
      </c>
      <c r="Q95" s="949"/>
      <c r="R95" s="949"/>
      <c r="S95" s="949"/>
      <c r="T95" s="949"/>
      <c r="U95" s="949"/>
      <c r="V95" s="949"/>
      <c r="W95" s="949"/>
      <c r="X95" s="949"/>
      <c r="Y95" s="949"/>
      <c r="Z95" s="949"/>
      <c r="AA95" s="949"/>
      <c r="AB95" s="949"/>
      <c r="AC95" s="949"/>
      <c r="AD95" s="949"/>
      <c r="AE95" s="950">
        <v>1214</v>
      </c>
      <c r="AF95" s="949">
        <f t="shared" si="36"/>
        <v>0</v>
      </c>
      <c r="AG95" s="949"/>
      <c r="AH95" s="949"/>
      <c r="AI95" s="387">
        <f t="shared" si="26"/>
        <v>0</v>
      </c>
      <c r="AJ95" s="496"/>
    </row>
    <row r="96" spans="1:36" s="393" customFormat="1" ht="14.25">
      <c r="A96" s="397" t="s">
        <v>1939</v>
      </c>
      <c r="B96" s="394" t="s">
        <v>1966</v>
      </c>
      <c r="C96" s="497" t="s">
        <v>1978</v>
      </c>
      <c r="D96" s="396">
        <v>1</v>
      </c>
      <c r="E96" s="385">
        <f t="shared" si="33"/>
        <v>147</v>
      </c>
      <c r="F96" s="950">
        <v>147</v>
      </c>
      <c r="G96" s="949"/>
      <c r="H96" s="949">
        <f t="shared" si="34"/>
        <v>0</v>
      </c>
      <c r="I96" s="949"/>
      <c r="J96" s="949"/>
      <c r="K96" s="949"/>
      <c r="L96" s="949"/>
      <c r="M96" s="949"/>
      <c r="N96" s="949"/>
      <c r="O96" s="951"/>
      <c r="P96" s="951">
        <f t="shared" si="35"/>
        <v>0</v>
      </c>
      <c r="Q96" s="949"/>
      <c r="R96" s="949"/>
      <c r="S96" s="949"/>
      <c r="T96" s="949"/>
      <c r="U96" s="949"/>
      <c r="V96" s="949"/>
      <c r="W96" s="949"/>
      <c r="X96" s="949"/>
      <c r="Y96" s="949"/>
      <c r="Z96" s="949"/>
      <c r="AA96" s="949"/>
      <c r="AB96" s="949"/>
      <c r="AC96" s="949"/>
      <c r="AD96" s="949"/>
      <c r="AE96" s="949"/>
      <c r="AF96" s="949">
        <f t="shared" si="36"/>
        <v>147</v>
      </c>
      <c r="AG96" s="949"/>
      <c r="AH96" s="950">
        <v>147</v>
      </c>
      <c r="AI96" s="387">
        <f t="shared" si="26"/>
        <v>0</v>
      </c>
      <c r="AJ96" s="496"/>
    </row>
    <row r="97" spans="1:36" s="393" customFormat="1" ht="14.25">
      <c r="A97" s="397" t="s">
        <v>1939</v>
      </c>
      <c r="B97" s="394" t="s">
        <v>1966</v>
      </c>
      <c r="C97" s="497" t="s">
        <v>1979</v>
      </c>
      <c r="D97" s="396">
        <v>1</v>
      </c>
      <c r="E97" s="385">
        <f t="shared" si="33"/>
        <v>91536</v>
      </c>
      <c r="F97" s="949"/>
      <c r="G97" s="950">
        <v>91536</v>
      </c>
      <c r="H97" s="949">
        <f t="shared" si="34"/>
        <v>14421</v>
      </c>
      <c r="I97" s="950">
        <v>840</v>
      </c>
      <c r="J97" s="950">
        <v>0</v>
      </c>
      <c r="K97" s="950">
        <v>2001</v>
      </c>
      <c r="L97" s="950">
        <v>3436</v>
      </c>
      <c r="M97" s="950">
        <v>4046</v>
      </c>
      <c r="N97" s="950">
        <v>4098</v>
      </c>
      <c r="O97" s="951"/>
      <c r="P97" s="951">
        <f t="shared" si="35"/>
        <v>67813</v>
      </c>
      <c r="Q97" s="950">
        <v>4704</v>
      </c>
      <c r="R97" s="950">
        <v>3679</v>
      </c>
      <c r="S97" s="950">
        <v>5910</v>
      </c>
      <c r="T97" s="950">
        <v>4546</v>
      </c>
      <c r="U97" s="950">
        <v>4494</v>
      </c>
      <c r="V97" s="950">
        <v>4546</v>
      </c>
      <c r="W97" s="950">
        <v>5783</v>
      </c>
      <c r="X97" s="950">
        <v>6115</v>
      </c>
      <c r="Y97" s="950">
        <v>5773</v>
      </c>
      <c r="Z97" s="950">
        <v>5773</v>
      </c>
      <c r="AA97" s="950">
        <v>5705</v>
      </c>
      <c r="AB97" s="950">
        <v>3679</v>
      </c>
      <c r="AC97" s="950">
        <v>3511</v>
      </c>
      <c r="AD97" s="950">
        <v>3595</v>
      </c>
      <c r="AE97" s="949"/>
      <c r="AF97" s="949">
        <f t="shared" si="36"/>
        <v>9302</v>
      </c>
      <c r="AG97" s="950">
        <v>3469</v>
      </c>
      <c r="AH97" s="950">
        <v>5833</v>
      </c>
      <c r="AI97" s="387">
        <f t="shared" si="26"/>
        <v>0</v>
      </c>
      <c r="AJ97" s="496"/>
    </row>
    <row r="98" spans="1:36" s="410" customFormat="1" ht="21.6" customHeight="1">
      <c r="A98" s="405" t="s">
        <v>1252</v>
      </c>
      <c r="B98" s="406"/>
      <c r="C98" s="407"/>
      <c r="D98" s="408"/>
      <c r="E98" s="409">
        <f>SUM(E99:E102)</f>
        <v>396270</v>
      </c>
      <c r="F98" s="556">
        <f t="shared" ref="F98:AH98" si="37">SUM(F99:F102)</f>
        <v>379589</v>
      </c>
      <c r="G98" s="556">
        <f t="shared" si="37"/>
        <v>16681</v>
      </c>
      <c r="H98" s="556">
        <f t="shared" si="37"/>
        <v>244749</v>
      </c>
      <c r="I98" s="556">
        <f t="shared" si="37"/>
        <v>61687</v>
      </c>
      <c r="J98" s="556">
        <f t="shared" si="37"/>
        <v>39370</v>
      </c>
      <c r="K98" s="556">
        <f t="shared" si="37"/>
        <v>28852</v>
      </c>
      <c r="L98" s="556">
        <f t="shared" si="37"/>
        <v>41983</v>
      </c>
      <c r="M98" s="556">
        <f t="shared" si="37"/>
        <v>26567</v>
      </c>
      <c r="N98" s="556">
        <f t="shared" si="37"/>
        <v>45740</v>
      </c>
      <c r="O98" s="556">
        <f t="shared" si="37"/>
        <v>550</v>
      </c>
      <c r="P98" s="556">
        <f t="shared" si="37"/>
        <v>146033</v>
      </c>
      <c r="Q98" s="556">
        <f t="shared" si="37"/>
        <v>9682</v>
      </c>
      <c r="R98" s="556">
        <f t="shared" si="37"/>
        <v>8931</v>
      </c>
      <c r="S98" s="556">
        <f t="shared" si="37"/>
        <v>8399</v>
      </c>
      <c r="T98" s="556">
        <f t="shared" si="37"/>
        <v>35134</v>
      </c>
      <c r="U98" s="556">
        <f t="shared" si="37"/>
        <v>9452</v>
      </c>
      <c r="V98" s="556">
        <f t="shared" si="37"/>
        <v>13053</v>
      </c>
      <c r="W98" s="556">
        <f t="shared" si="37"/>
        <v>10284</v>
      </c>
      <c r="X98" s="556">
        <f t="shared" si="37"/>
        <v>14676</v>
      </c>
      <c r="Y98" s="556">
        <f t="shared" si="37"/>
        <v>6210</v>
      </c>
      <c r="Z98" s="556">
        <f t="shared" si="37"/>
        <v>6844</v>
      </c>
      <c r="AA98" s="556">
        <f t="shared" si="37"/>
        <v>2983</v>
      </c>
      <c r="AB98" s="556">
        <f t="shared" si="37"/>
        <v>6631</v>
      </c>
      <c r="AC98" s="556">
        <f t="shared" si="37"/>
        <v>8737</v>
      </c>
      <c r="AD98" s="556">
        <f t="shared" si="37"/>
        <v>4851</v>
      </c>
      <c r="AE98" s="556">
        <f t="shared" si="37"/>
        <v>166</v>
      </c>
      <c r="AF98" s="556">
        <f t="shared" si="37"/>
        <v>5488</v>
      </c>
      <c r="AG98" s="556">
        <f t="shared" si="37"/>
        <v>4430</v>
      </c>
      <c r="AH98" s="556">
        <f t="shared" si="37"/>
        <v>1058</v>
      </c>
      <c r="AI98" s="387">
        <f t="shared" si="26"/>
        <v>0</v>
      </c>
      <c r="AJ98" s="496"/>
    </row>
    <row r="99" spans="1:36" s="393" customFormat="1" ht="14.25">
      <c r="A99" s="397" t="s">
        <v>1939</v>
      </c>
      <c r="B99" s="394" t="s">
        <v>1980</v>
      </c>
      <c r="C99" s="497" t="s">
        <v>1981</v>
      </c>
      <c r="D99" s="396">
        <v>1</v>
      </c>
      <c r="E99" s="385">
        <f t="shared" ref="E99:E104" si="38">F99+G99</f>
        <v>276352</v>
      </c>
      <c r="F99" s="949">
        <v>276352</v>
      </c>
      <c r="G99" s="949"/>
      <c r="H99" s="949">
        <f>SUM(I99:O99)</f>
        <v>190990</v>
      </c>
      <c r="I99" s="949">
        <v>46756</v>
      </c>
      <c r="J99" s="949">
        <v>29000</v>
      </c>
      <c r="K99" s="949">
        <v>26000</v>
      </c>
      <c r="L99" s="949">
        <v>33190</v>
      </c>
      <c r="M99" s="949">
        <v>19144</v>
      </c>
      <c r="N99" s="949">
        <v>36900</v>
      </c>
      <c r="O99" s="951"/>
      <c r="P99" s="951">
        <f>SUM(Q99:AE99)</f>
        <v>84442</v>
      </c>
      <c r="Q99" s="949">
        <v>5781</v>
      </c>
      <c r="R99" s="949">
        <v>6940</v>
      </c>
      <c r="S99" s="949">
        <v>6000</v>
      </c>
      <c r="T99" s="949">
        <v>16158</v>
      </c>
      <c r="U99" s="949">
        <v>5000</v>
      </c>
      <c r="V99" s="949">
        <v>8100</v>
      </c>
      <c r="W99" s="949">
        <v>5200</v>
      </c>
      <c r="X99" s="949">
        <v>10578</v>
      </c>
      <c r="Y99" s="949">
        <v>3200</v>
      </c>
      <c r="Z99" s="949">
        <v>3000</v>
      </c>
      <c r="AA99" s="949">
        <v>800</v>
      </c>
      <c r="AB99" s="949">
        <v>4500</v>
      </c>
      <c r="AC99" s="949">
        <v>5879</v>
      </c>
      <c r="AD99" s="949">
        <v>3306</v>
      </c>
      <c r="AE99" s="949"/>
      <c r="AF99" s="949">
        <f>SUM(AG99:AH99)</f>
        <v>920</v>
      </c>
      <c r="AG99" s="949">
        <v>850</v>
      </c>
      <c r="AH99" s="949">
        <v>70</v>
      </c>
      <c r="AI99" s="387">
        <f t="shared" si="26"/>
        <v>0</v>
      </c>
      <c r="AJ99" s="496"/>
    </row>
    <row r="100" spans="1:36" s="393" customFormat="1" ht="14.25">
      <c r="A100" s="397" t="s">
        <v>1939</v>
      </c>
      <c r="B100" s="394" t="s">
        <v>1980</v>
      </c>
      <c r="C100" s="497" t="s">
        <v>1982</v>
      </c>
      <c r="D100" s="396">
        <v>1</v>
      </c>
      <c r="E100" s="385">
        <f t="shared" si="38"/>
        <v>34920</v>
      </c>
      <c r="F100" s="949">
        <v>18239</v>
      </c>
      <c r="G100" s="949">
        <v>16681</v>
      </c>
      <c r="H100" s="949">
        <f>SUM(I100:O100)</f>
        <v>9084</v>
      </c>
      <c r="I100" s="949">
        <v>2575</v>
      </c>
      <c r="J100" s="949">
        <v>1234</v>
      </c>
      <c r="K100" s="949"/>
      <c r="L100" s="949">
        <v>1063</v>
      </c>
      <c r="M100" s="949">
        <v>1770</v>
      </c>
      <c r="N100" s="949">
        <v>2442</v>
      </c>
      <c r="O100" s="951"/>
      <c r="P100" s="951">
        <f>SUM(Q100:AE100)</f>
        <v>21859</v>
      </c>
      <c r="Q100" s="949">
        <v>1180</v>
      </c>
      <c r="R100" s="949"/>
      <c r="S100" s="949"/>
      <c r="T100" s="949">
        <v>14182</v>
      </c>
      <c r="U100" s="949"/>
      <c r="V100" s="949"/>
      <c r="W100" s="949">
        <v>1174</v>
      </c>
      <c r="X100" s="949"/>
      <c r="Y100" s="949">
        <v>1152</v>
      </c>
      <c r="Z100" s="949">
        <v>1152</v>
      </c>
      <c r="AA100" s="949">
        <v>1222</v>
      </c>
      <c r="AB100" s="949"/>
      <c r="AC100" s="949">
        <v>1797</v>
      </c>
      <c r="AD100" s="949"/>
      <c r="AE100" s="949"/>
      <c r="AF100" s="949">
        <f>SUM(AG100:AH100)</f>
        <v>3977</v>
      </c>
      <c r="AG100" s="949">
        <v>3187</v>
      </c>
      <c r="AH100" s="949">
        <v>790</v>
      </c>
      <c r="AI100" s="387">
        <f t="shared" si="26"/>
        <v>0</v>
      </c>
      <c r="AJ100" s="496"/>
    </row>
    <row r="101" spans="1:36" s="393" customFormat="1" ht="14.25">
      <c r="A101" s="397" t="s">
        <v>1939</v>
      </c>
      <c r="B101" s="394" t="s">
        <v>1980</v>
      </c>
      <c r="C101" s="497" t="s">
        <v>1983</v>
      </c>
      <c r="D101" s="396">
        <v>1</v>
      </c>
      <c r="E101" s="385">
        <f t="shared" si="38"/>
        <v>59664</v>
      </c>
      <c r="F101" s="950">
        <v>59664</v>
      </c>
      <c r="G101" s="949"/>
      <c r="H101" s="949">
        <f>SUM(I101:O101)</f>
        <v>26255</v>
      </c>
      <c r="I101" s="949">
        <v>6504</v>
      </c>
      <c r="J101" s="949">
        <v>5784</v>
      </c>
      <c r="K101" s="949">
        <v>1739</v>
      </c>
      <c r="L101" s="950">
        <v>4439</v>
      </c>
      <c r="M101" s="950">
        <v>3269</v>
      </c>
      <c r="N101" s="949">
        <v>3970</v>
      </c>
      <c r="O101" s="951">
        <v>550</v>
      </c>
      <c r="P101" s="951">
        <f>SUM(Q101:AE101)</f>
        <v>33259</v>
      </c>
      <c r="Q101" s="950">
        <v>2305</v>
      </c>
      <c r="R101" s="950">
        <v>1450</v>
      </c>
      <c r="S101" s="950">
        <v>1973</v>
      </c>
      <c r="T101" s="950">
        <v>3938</v>
      </c>
      <c r="U101" s="950">
        <v>3864</v>
      </c>
      <c r="V101" s="950">
        <v>4543</v>
      </c>
      <c r="W101" s="950">
        <v>3513</v>
      </c>
      <c r="X101" s="950">
        <v>3448</v>
      </c>
      <c r="Y101" s="950">
        <v>1524</v>
      </c>
      <c r="Z101" s="950">
        <v>2182</v>
      </c>
      <c r="AA101" s="950">
        <v>487</v>
      </c>
      <c r="AB101" s="950">
        <v>1763</v>
      </c>
      <c r="AC101" s="950">
        <v>866</v>
      </c>
      <c r="AD101" s="950">
        <v>1237</v>
      </c>
      <c r="AE101" s="949">
        <v>166</v>
      </c>
      <c r="AF101" s="949">
        <f>SUM(AG101:AH101)</f>
        <v>150</v>
      </c>
      <c r="AG101" s="949">
        <v>100</v>
      </c>
      <c r="AH101" s="949">
        <v>50</v>
      </c>
      <c r="AI101" s="387">
        <f t="shared" si="26"/>
        <v>0</v>
      </c>
      <c r="AJ101" s="496"/>
    </row>
    <row r="102" spans="1:36" s="393" customFormat="1" ht="14.25">
      <c r="A102" s="397" t="s">
        <v>1939</v>
      </c>
      <c r="B102" s="394" t="s">
        <v>1980</v>
      </c>
      <c r="C102" s="497" t="s">
        <v>1984</v>
      </c>
      <c r="D102" s="396">
        <v>1</v>
      </c>
      <c r="E102" s="385">
        <f t="shared" si="38"/>
        <v>25334</v>
      </c>
      <c r="F102" s="950">
        <v>25334</v>
      </c>
      <c r="G102" s="949"/>
      <c r="H102" s="949">
        <f>SUM(I102:O102)</f>
        <v>18420</v>
      </c>
      <c r="I102" s="949">
        <v>5852</v>
      </c>
      <c r="J102" s="949">
        <v>3352</v>
      </c>
      <c r="K102" s="950">
        <f>1163-50</f>
        <v>1113</v>
      </c>
      <c r="L102" s="949">
        <v>3291</v>
      </c>
      <c r="M102" s="949">
        <v>2384</v>
      </c>
      <c r="N102" s="950">
        <f>2526-98</f>
        <v>2428</v>
      </c>
      <c r="O102" s="951"/>
      <c r="P102" s="951">
        <f>SUM(Q102:AE102)</f>
        <v>6473</v>
      </c>
      <c r="Q102" s="949">
        <v>416</v>
      </c>
      <c r="R102" s="949">
        <v>541</v>
      </c>
      <c r="S102" s="949">
        <v>426</v>
      </c>
      <c r="T102" s="949">
        <v>856</v>
      </c>
      <c r="U102" s="949">
        <v>588</v>
      </c>
      <c r="V102" s="949">
        <v>410</v>
      </c>
      <c r="W102" s="949">
        <v>397</v>
      </c>
      <c r="X102" s="949">
        <v>650</v>
      </c>
      <c r="Y102" s="949">
        <v>334</v>
      </c>
      <c r="Z102" s="949">
        <v>510</v>
      </c>
      <c r="AA102" s="949">
        <v>474</v>
      </c>
      <c r="AB102" s="949">
        <v>368</v>
      </c>
      <c r="AC102" s="949">
        <v>195</v>
      </c>
      <c r="AD102" s="949">
        <v>308</v>
      </c>
      <c r="AE102" s="949"/>
      <c r="AF102" s="949">
        <f>SUM(AG102:AH102)</f>
        <v>441</v>
      </c>
      <c r="AG102" s="949">
        <v>293</v>
      </c>
      <c r="AH102" s="949">
        <v>148</v>
      </c>
      <c r="AI102" s="387">
        <f t="shared" si="26"/>
        <v>0</v>
      </c>
      <c r="AJ102" s="496"/>
    </row>
    <row r="103" spans="1:36" s="967" customFormat="1" ht="28.5">
      <c r="A103" s="959" t="s">
        <v>1939</v>
      </c>
      <c r="B103" s="960" t="s">
        <v>876</v>
      </c>
      <c r="C103" s="961" t="s">
        <v>1985</v>
      </c>
      <c r="D103" s="962">
        <v>1</v>
      </c>
      <c r="E103" s="409">
        <f t="shared" si="38"/>
        <v>2719</v>
      </c>
      <c r="F103" s="963">
        <v>2719</v>
      </c>
      <c r="G103" s="964">
        <v>0</v>
      </c>
      <c r="H103" s="965">
        <f>SUM(I103:O103)</f>
        <v>1433</v>
      </c>
      <c r="I103" s="963">
        <v>287</v>
      </c>
      <c r="J103" s="963">
        <v>257</v>
      </c>
      <c r="K103" s="963">
        <v>196</v>
      </c>
      <c r="L103" s="963">
        <v>247</v>
      </c>
      <c r="M103" s="963">
        <v>183</v>
      </c>
      <c r="N103" s="963">
        <v>263</v>
      </c>
      <c r="O103" s="964"/>
      <c r="P103" s="965">
        <f>SUM(Q103:AE103)</f>
        <v>1198</v>
      </c>
      <c r="Q103" s="963">
        <v>75</v>
      </c>
      <c r="R103" s="963">
        <v>95</v>
      </c>
      <c r="S103" s="963">
        <v>95</v>
      </c>
      <c r="T103" s="963">
        <v>124</v>
      </c>
      <c r="U103" s="963">
        <v>93</v>
      </c>
      <c r="V103" s="963">
        <v>100</v>
      </c>
      <c r="W103" s="963">
        <v>96</v>
      </c>
      <c r="X103" s="963">
        <v>119</v>
      </c>
      <c r="Y103" s="963">
        <v>48</v>
      </c>
      <c r="Z103" s="963">
        <v>75</v>
      </c>
      <c r="AA103" s="963">
        <v>48</v>
      </c>
      <c r="AB103" s="963">
        <v>93</v>
      </c>
      <c r="AC103" s="963">
        <v>89</v>
      </c>
      <c r="AD103" s="963">
        <v>48</v>
      </c>
      <c r="AE103" s="964"/>
      <c r="AF103" s="965">
        <f>AG103+AH103</f>
        <v>88</v>
      </c>
      <c r="AG103" s="963">
        <v>48</v>
      </c>
      <c r="AH103" s="963">
        <v>40</v>
      </c>
      <c r="AI103" s="387">
        <f t="shared" si="26"/>
        <v>0</v>
      </c>
      <c r="AJ103" s="966"/>
    </row>
    <row r="104" spans="1:36" s="410" customFormat="1" ht="14.25">
      <c r="A104" s="405" t="s">
        <v>1939</v>
      </c>
      <c r="B104" s="406" t="s">
        <v>874</v>
      </c>
      <c r="C104" s="407" t="s">
        <v>875</v>
      </c>
      <c r="D104" s="408">
        <v>3</v>
      </c>
      <c r="E104" s="409">
        <f t="shared" si="38"/>
        <v>142542</v>
      </c>
      <c r="F104" s="556">
        <v>0</v>
      </c>
      <c r="G104" s="968">
        <f>+H104+P104+AF104</f>
        <v>142542</v>
      </c>
      <c r="H104" s="968">
        <f>+SUM(I104:O104)</f>
        <v>87609</v>
      </c>
      <c r="I104" s="968">
        <v>19510</v>
      </c>
      <c r="J104" s="968">
        <f>3833+2547</f>
        <v>6380</v>
      </c>
      <c r="K104" s="968">
        <f>5558+5145</f>
        <v>10703</v>
      </c>
      <c r="L104" s="968">
        <v>4042</v>
      </c>
      <c r="M104" s="968">
        <v>19709</v>
      </c>
      <c r="N104" s="968">
        <f>11780+15485</f>
        <v>27265</v>
      </c>
      <c r="O104" s="968"/>
      <c r="P104" s="968">
        <f>+SUM(Q104:AE104)</f>
        <v>54933</v>
      </c>
      <c r="Q104" s="968">
        <v>3393</v>
      </c>
      <c r="R104" s="968">
        <v>2088</v>
      </c>
      <c r="S104" s="968">
        <v>2406</v>
      </c>
      <c r="T104" s="968">
        <v>4067</v>
      </c>
      <c r="U104" s="968">
        <v>3863</v>
      </c>
      <c r="V104" s="968">
        <v>4278</v>
      </c>
      <c r="W104" s="968">
        <v>2719</v>
      </c>
      <c r="X104" s="968">
        <v>4460</v>
      </c>
      <c r="Y104" s="968">
        <v>18522</v>
      </c>
      <c r="Z104" s="968">
        <v>0</v>
      </c>
      <c r="AA104" s="968">
        <v>0</v>
      </c>
      <c r="AB104" s="968">
        <v>4449</v>
      </c>
      <c r="AC104" s="968">
        <v>0</v>
      </c>
      <c r="AD104" s="968">
        <v>4688</v>
      </c>
      <c r="AE104" s="968"/>
      <c r="AF104" s="968">
        <f>+SUM(AG104:AH104)</f>
        <v>0</v>
      </c>
      <c r="AG104" s="968"/>
      <c r="AH104" s="968"/>
      <c r="AI104" s="387">
        <f t="shared" si="26"/>
        <v>0</v>
      </c>
      <c r="AJ104" s="496"/>
    </row>
    <row r="105" spans="1:36" s="515" customFormat="1" ht="24" customHeight="1">
      <c r="A105" s="510" t="s">
        <v>1275</v>
      </c>
      <c r="B105" s="511"/>
      <c r="C105" s="512"/>
      <c r="D105" s="513"/>
      <c r="E105" s="514">
        <f t="shared" ref="E105:AH105" si="39">E106+E107+E110</f>
        <v>11737749</v>
      </c>
      <c r="F105" s="514">
        <f t="shared" si="39"/>
        <v>11737749</v>
      </c>
      <c r="G105" s="514">
        <f t="shared" si="39"/>
        <v>0</v>
      </c>
      <c r="H105" s="514">
        <f t="shared" si="39"/>
        <v>8004096</v>
      </c>
      <c r="I105" s="514">
        <f t="shared" si="39"/>
        <v>1475480</v>
      </c>
      <c r="J105" s="514">
        <f t="shared" si="39"/>
        <v>2457819</v>
      </c>
      <c r="K105" s="514">
        <f t="shared" si="39"/>
        <v>786009</v>
      </c>
      <c r="L105" s="514">
        <f t="shared" si="39"/>
        <v>1144513</v>
      </c>
      <c r="M105" s="514">
        <f t="shared" si="39"/>
        <v>862512</v>
      </c>
      <c r="N105" s="514">
        <f t="shared" si="39"/>
        <v>1277763</v>
      </c>
      <c r="O105" s="514">
        <f t="shared" si="39"/>
        <v>0</v>
      </c>
      <c r="P105" s="514">
        <f t="shared" si="39"/>
        <v>3626004</v>
      </c>
      <c r="Q105" s="514">
        <f t="shared" si="39"/>
        <v>201683</v>
      </c>
      <c r="R105" s="514">
        <f t="shared" si="39"/>
        <v>230376</v>
      </c>
      <c r="S105" s="514">
        <f t="shared" si="39"/>
        <v>273441</v>
      </c>
      <c r="T105" s="514">
        <f t="shared" si="39"/>
        <v>493637</v>
      </c>
      <c r="U105" s="514">
        <f t="shared" si="39"/>
        <v>289777</v>
      </c>
      <c r="V105" s="514">
        <f t="shared" si="39"/>
        <v>360455</v>
      </c>
      <c r="W105" s="514">
        <f t="shared" si="39"/>
        <v>275124</v>
      </c>
      <c r="X105" s="514">
        <f t="shared" si="39"/>
        <v>429613</v>
      </c>
      <c r="Y105" s="514">
        <f t="shared" si="39"/>
        <v>211914</v>
      </c>
      <c r="Z105" s="514">
        <f t="shared" si="39"/>
        <v>222104</v>
      </c>
      <c r="AA105" s="514">
        <f t="shared" si="39"/>
        <v>106418</v>
      </c>
      <c r="AB105" s="514">
        <f t="shared" si="39"/>
        <v>182718</v>
      </c>
      <c r="AC105" s="514">
        <f t="shared" si="39"/>
        <v>182826</v>
      </c>
      <c r="AD105" s="514">
        <f t="shared" si="39"/>
        <v>165918</v>
      </c>
      <c r="AE105" s="514">
        <f t="shared" si="39"/>
        <v>0</v>
      </c>
      <c r="AF105" s="514">
        <f t="shared" si="39"/>
        <v>107649</v>
      </c>
      <c r="AG105" s="514">
        <f t="shared" si="39"/>
        <v>81001</v>
      </c>
      <c r="AH105" s="514">
        <f t="shared" si="39"/>
        <v>26648</v>
      </c>
      <c r="AI105" s="387">
        <f t="shared" si="26"/>
        <v>0</v>
      </c>
    </row>
    <row r="106" spans="1:36" s="410" customFormat="1" ht="21.6" customHeight="1">
      <c r="A106" s="405" t="s">
        <v>1736</v>
      </c>
      <c r="B106" s="406" t="s">
        <v>1737</v>
      </c>
      <c r="C106" s="407" t="s">
        <v>1738</v>
      </c>
      <c r="D106" s="408">
        <v>1</v>
      </c>
      <c r="E106" s="921">
        <v>26159</v>
      </c>
      <c r="F106" s="921">
        <v>26159</v>
      </c>
      <c r="G106" s="921"/>
      <c r="H106" s="921">
        <v>5589</v>
      </c>
      <c r="I106" s="921">
        <v>932</v>
      </c>
      <c r="J106" s="921">
        <v>932</v>
      </c>
      <c r="K106" s="921">
        <v>932</v>
      </c>
      <c r="L106" s="921">
        <v>931</v>
      </c>
      <c r="M106" s="921">
        <v>931</v>
      </c>
      <c r="N106" s="921">
        <v>931</v>
      </c>
      <c r="O106" s="921"/>
      <c r="P106" s="921">
        <v>20290</v>
      </c>
      <c r="Q106" s="921">
        <v>1450</v>
      </c>
      <c r="R106" s="921">
        <v>1450</v>
      </c>
      <c r="S106" s="921">
        <v>1450</v>
      </c>
      <c r="T106" s="921">
        <v>1450</v>
      </c>
      <c r="U106" s="921">
        <v>1449</v>
      </c>
      <c r="V106" s="921">
        <v>1449</v>
      </c>
      <c r="W106" s="921">
        <v>1449</v>
      </c>
      <c r="X106" s="921">
        <v>1449</v>
      </c>
      <c r="Y106" s="921">
        <v>1449</v>
      </c>
      <c r="Z106" s="921">
        <v>1449</v>
      </c>
      <c r="AA106" s="921">
        <v>1449</v>
      </c>
      <c r="AB106" s="921">
        <v>1449</v>
      </c>
      <c r="AC106" s="921">
        <v>1449</v>
      </c>
      <c r="AD106" s="921">
        <v>1449</v>
      </c>
      <c r="AE106" s="921"/>
      <c r="AF106" s="921">
        <v>280</v>
      </c>
      <c r="AG106" s="921">
        <v>140</v>
      </c>
      <c r="AH106" s="921">
        <v>140</v>
      </c>
      <c r="AI106" s="387">
        <f t="shared" si="26"/>
        <v>0</v>
      </c>
      <c r="AJ106" s="496"/>
    </row>
    <row r="107" spans="1:36" s="410" customFormat="1" ht="21.6" customHeight="1">
      <c r="A107" s="405" t="s">
        <v>1739</v>
      </c>
      <c r="B107" s="406"/>
      <c r="C107" s="407"/>
      <c r="D107" s="408"/>
      <c r="E107" s="409">
        <f t="shared" ref="E107:AH107" si="40">E108+E109</f>
        <v>9744142</v>
      </c>
      <c r="F107" s="409">
        <f t="shared" si="40"/>
        <v>9744142</v>
      </c>
      <c r="G107" s="409">
        <f t="shared" si="40"/>
        <v>0</v>
      </c>
      <c r="H107" s="409">
        <f t="shared" si="40"/>
        <v>6392492</v>
      </c>
      <c r="I107" s="409">
        <f t="shared" si="40"/>
        <v>1183191</v>
      </c>
      <c r="J107" s="409">
        <f t="shared" si="40"/>
        <v>1582879</v>
      </c>
      <c r="K107" s="409">
        <f t="shared" si="40"/>
        <v>749756</v>
      </c>
      <c r="L107" s="409">
        <f t="shared" si="40"/>
        <v>990114</v>
      </c>
      <c r="M107" s="409">
        <f t="shared" si="40"/>
        <v>755714</v>
      </c>
      <c r="N107" s="409">
        <f t="shared" si="40"/>
        <v>1130838</v>
      </c>
      <c r="O107" s="409">
        <f t="shared" si="40"/>
        <v>0</v>
      </c>
      <c r="P107" s="409">
        <f t="shared" si="40"/>
        <v>3245162</v>
      </c>
      <c r="Q107" s="409">
        <f t="shared" si="40"/>
        <v>174774</v>
      </c>
      <c r="R107" s="409">
        <f t="shared" si="40"/>
        <v>203425</v>
      </c>
      <c r="S107" s="409">
        <f t="shared" si="40"/>
        <v>245969</v>
      </c>
      <c r="T107" s="409">
        <f t="shared" si="40"/>
        <v>432668</v>
      </c>
      <c r="U107" s="409">
        <f t="shared" si="40"/>
        <v>275238</v>
      </c>
      <c r="V107" s="409">
        <f t="shared" si="40"/>
        <v>336928</v>
      </c>
      <c r="W107" s="409">
        <f t="shared" si="40"/>
        <v>264411</v>
      </c>
      <c r="X107" s="409">
        <f t="shared" si="40"/>
        <v>410615</v>
      </c>
      <c r="Y107" s="409">
        <f t="shared" si="40"/>
        <v>202749</v>
      </c>
      <c r="Z107" s="409">
        <f t="shared" si="40"/>
        <v>208115</v>
      </c>
      <c r="AA107" s="409">
        <f t="shared" si="40"/>
        <v>99434</v>
      </c>
      <c r="AB107" s="409">
        <f t="shared" si="40"/>
        <v>149384</v>
      </c>
      <c r="AC107" s="409">
        <f t="shared" si="40"/>
        <v>148662</v>
      </c>
      <c r="AD107" s="409">
        <f t="shared" si="40"/>
        <v>92790</v>
      </c>
      <c r="AE107" s="409">
        <f t="shared" si="40"/>
        <v>0</v>
      </c>
      <c r="AF107" s="409">
        <f t="shared" si="40"/>
        <v>106488</v>
      </c>
      <c r="AG107" s="409">
        <f t="shared" si="40"/>
        <v>80100</v>
      </c>
      <c r="AH107" s="409">
        <f t="shared" si="40"/>
        <v>26388</v>
      </c>
      <c r="AI107" s="387">
        <f t="shared" si="26"/>
        <v>0</v>
      </c>
      <c r="AJ107" s="496"/>
    </row>
    <row r="108" spans="1:36" s="393" customFormat="1" ht="28.5">
      <c r="A108" s="397" t="s">
        <v>1736</v>
      </c>
      <c r="B108" s="394" t="s">
        <v>1740</v>
      </c>
      <c r="C108" s="497" t="s">
        <v>1741</v>
      </c>
      <c r="D108" s="396">
        <v>1</v>
      </c>
      <c r="E108" s="385">
        <f>SUM(H108,P108,AF108)</f>
        <v>121742</v>
      </c>
      <c r="F108" s="368">
        <f>H108+P108+AF108</f>
        <v>121742</v>
      </c>
      <c r="G108" s="368"/>
      <c r="H108" s="385">
        <f>SUM(I108:O108)</f>
        <v>70110</v>
      </c>
      <c r="I108" s="371">
        <v>8895</v>
      </c>
      <c r="J108" s="371">
        <v>3930</v>
      </c>
      <c r="K108" s="371">
        <v>4023</v>
      </c>
      <c r="L108" s="371">
        <v>13130</v>
      </c>
      <c r="M108" s="371">
        <v>16238</v>
      </c>
      <c r="N108" s="371">
        <v>23894</v>
      </c>
      <c r="O108" s="370"/>
      <c r="P108" s="386">
        <f>SUM(Q108:AE108)</f>
        <v>48246</v>
      </c>
      <c r="Q108" s="371">
        <v>3897</v>
      </c>
      <c r="R108" s="371">
        <v>2396</v>
      </c>
      <c r="S108" s="371">
        <v>2656</v>
      </c>
      <c r="T108" s="371">
        <v>3518</v>
      </c>
      <c r="U108" s="371">
        <v>3908</v>
      </c>
      <c r="V108" s="371">
        <v>2811</v>
      </c>
      <c r="W108" s="371">
        <v>3440</v>
      </c>
      <c r="X108" s="371">
        <v>5366</v>
      </c>
      <c r="Y108" s="371">
        <v>4053</v>
      </c>
      <c r="Z108" s="371">
        <v>4457</v>
      </c>
      <c r="AA108" s="371">
        <v>1727</v>
      </c>
      <c r="AB108" s="371">
        <v>6330</v>
      </c>
      <c r="AC108" s="371">
        <v>1928</v>
      </c>
      <c r="AD108" s="371">
        <v>1759</v>
      </c>
      <c r="AE108" s="371"/>
      <c r="AF108" s="385">
        <f>SUM(AG108:AH108)</f>
        <v>3386</v>
      </c>
      <c r="AG108" s="371">
        <v>2189</v>
      </c>
      <c r="AH108" s="371">
        <v>1197</v>
      </c>
      <c r="AI108" s="387">
        <f t="shared" si="26"/>
        <v>0</v>
      </c>
      <c r="AJ108" s="496"/>
    </row>
    <row r="109" spans="1:36" s="393" customFormat="1" ht="14.25">
      <c r="A109" s="517" t="s">
        <v>1736</v>
      </c>
      <c r="B109" s="518" t="s">
        <v>1740</v>
      </c>
      <c r="C109" s="519" t="s">
        <v>2020</v>
      </c>
      <c r="D109" s="516">
        <v>9</v>
      </c>
      <c r="E109" s="385">
        <f>SUM(H109,P109,AF109)</f>
        <v>9622400</v>
      </c>
      <c r="F109" s="368">
        <f>H109+P109+AF109</f>
        <v>9622400</v>
      </c>
      <c r="G109" s="368"/>
      <c r="H109" s="385">
        <f>SUM(I109:O109)</f>
        <v>6322382</v>
      </c>
      <c r="I109" s="371">
        <v>1174296</v>
      </c>
      <c r="J109" s="371">
        <v>1578949</v>
      </c>
      <c r="K109" s="371">
        <v>745733</v>
      </c>
      <c r="L109" s="371">
        <v>976984</v>
      </c>
      <c r="M109" s="371">
        <v>739476</v>
      </c>
      <c r="N109" s="371">
        <v>1106944</v>
      </c>
      <c r="O109" s="370"/>
      <c r="P109" s="386">
        <f>SUM(Q109:AE109)</f>
        <v>3196916</v>
      </c>
      <c r="Q109" s="371">
        <v>170877</v>
      </c>
      <c r="R109" s="371">
        <v>201029</v>
      </c>
      <c r="S109" s="371">
        <v>243313</v>
      </c>
      <c r="T109" s="371">
        <v>429150</v>
      </c>
      <c r="U109" s="371">
        <v>271330</v>
      </c>
      <c r="V109" s="371">
        <v>334117</v>
      </c>
      <c r="W109" s="371">
        <v>260971</v>
      </c>
      <c r="X109" s="371">
        <v>405249</v>
      </c>
      <c r="Y109" s="371">
        <v>198696</v>
      </c>
      <c r="Z109" s="371">
        <v>203658</v>
      </c>
      <c r="AA109" s="371">
        <v>97707</v>
      </c>
      <c r="AB109" s="371">
        <v>143054</v>
      </c>
      <c r="AC109" s="371">
        <v>146734</v>
      </c>
      <c r="AD109" s="371">
        <v>91031</v>
      </c>
      <c r="AE109" s="371"/>
      <c r="AF109" s="385">
        <f>SUM(AG109:AH109)</f>
        <v>103102</v>
      </c>
      <c r="AG109" s="371">
        <v>77911</v>
      </c>
      <c r="AH109" s="371">
        <v>25191</v>
      </c>
      <c r="AI109" s="387">
        <f t="shared" si="26"/>
        <v>0</v>
      </c>
      <c r="AJ109" s="496"/>
    </row>
    <row r="110" spans="1:36" s="410" customFormat="1" ht="21.6" customHeight="1">
      <c r="A110" s="405" t="s">
        <v>1742</v>
      </c>
      <c r="B110" s="406"/>
      <c r="C110" s="407"/>
      <c r="D110" s="408"/>
      <c r="E110" s="409">
        <f t="shared" ref="E110:AH110" si="41">E111+E112</f>
        <v>1967448</v>
      </c>
      <c r="F110" s="409">
        <f t="shared" si="41"/>
        <v>1967448</v>
      </c>
      <c r="G110" s="409">
        <f t="shared" si="41"/>
        <v>0</v>
      </c>
      <c r="H110" s="409">
        <f t="shared" si="41"/>
        <v>1606015</v>
      </c>
      <c r="I110" s="409">
        <f t="shared" si="41"/>
        <v>291357</v>
      </c>
      <c r="J110" s="409">
        <f t="shared" si="41"/>
        <v>874008</v>
      </c>
      <c r="K110" s="409">
        <f t="shared" si="41"/>
        <v>35321</v>
      </c>
      <c r="L110" s="409">
        <f t="shared" si="41"/>
        <v>153468</v>
      </c>
      <c r="M110" s="409">
        <f t="shared" si="41"/>
        <v>105867</v>
      </c>
      <c r="N110" s="409">
        <f t="shared" si="41"/>
        <v>145994</v>
      </c>
      <c r="O110" s="409">
        <f t="shared" si="41"/>
        <v>0</v>
      </c>
      <c r="P110" s="409">
        <f t="shared" si="41"/>
        <v>360552</v>
      </c>
      <c r="Q110" s="409">
        <f t="shared" si="41"/>
        <v>25459</v>
      </c>
      <c r="R110" s="409">
        <f t="shared" si="41"/>
        <v>25501</v>
      </c>
      <c r="S110" s="409">
        <f t="shared" si="41"/>
        <v>26022</v>
      </c>
      <c r="T110" s="409">
        <f t="shared" si="41"/>
        <v>59519</v>
      </c>
      <c r="U110" s="409">
        <f t="shared" si="41"/>
        <v>13090</v>
      </c>
      <c r="V110" s="409">
        <f t="shared" si="41"/>
        <v>22078</v>
      </c>
      <c r="W110" s="409">
        <f t="shared" si="41"/>
        <v>9264</v>
      </c>
      <c r="X110" s="409">
        <f t="shared" si="41"/>
        <v>17549</v>
      </c>
      <c r="Y110" s="409">
        <f t="shared" si="41"/>
        <v>7716</v>
      </c>
      <c r="Z110" s="409">
        <f t="shared" si="41"/>
        <v>12540</v>
      </c>
      <c r="AA110" s="409">
        <f t="shared" si="41"/>
        <v>5535</v>
      </c>
      <c r="AB110" s="409">
        <f t="shared" si="41"/>
        <v>31885</v>
      </c>
      <c r="AC110" s="409">
        <f t="shared" si="41"/>
        <v>32715</v>
      </c>
      <c r="AD110" s="409">
        <f t="shared" si="41"/>
        <v>71679</v>
      </c>
      <c r="AE110" s="409">
        <f t="shared" si="41"/>
        <v>0</v>
      </c>
      <c r="AF110" s="409">
        <f t="shared" si="41"/>
        <v>881</v>
      </c>
      <c r="AG110" s="409">
        <f t="shared" si="41"/>
        <v>761</v>
      </c>
      <c r="AH110" s="409">
        <f t="shared" si="41"/>
        <v>120</v>
      </c>
      <c r="AI110" s="387">
        <f t="shared" si="26"/>
        <v>0</v>
      </c>
      <c r="AJ110" s="496"/>
    </row>
    <row r="111" spans="1:36" s="393" customFormat="1" ht="14.25">
      <c r="A111" s="397" t="s">
        <v>1736</v>
      </c>
      <c r="B111" s="394" t="s">
        <v>1743</v>
      </c>
      <c r="C111" s="497" t="s">
        <v>1744</v>
      </c>
      <c r="D111" s="396">
        <v>9</v>
      </c>
      <c r="E111" s="385">
        <f>SUM(H111,P111,AF111)</f>
        <v>1475103</v>
      </c>
      <c r="F111" s="368">
        <v>1475103</v>
      </c>
      <c r="G111" s="368"/>
      <c r="H111" s="385">
        <f>SUM(I111:O111)</f>
        <v>1216480</v>
      </c>
      <c r="I111" s="579">
        <v>197870</v>
      </c>
      <c r="J111" s="579">
        <v>682340</v>
      </c>
      <c r="K111" s="579">
        <v>9420</v>
      </c>
      <c r="L111" s="579">
        <v>123350</v>
      </c>
      <c r="M111" s="579">
        <v>92840</v>
      </c>
      <c r="N111" s="579">
        <v>110660</v>
      </c>
      <c r="O111" s="370"/>
      <c r="P111" s="580">
        <f>SUM(Q111:AE111)</f>
        <v>258300</v>
      </c>
      <c r="Q111" s="579">
        <v>22150</v>
      </c>
      <c r="R111" s="579">
        <v>20700</v>
      </c>
      <c r="S111" s="579">
        <v>21600</v>
      </c>
      <c r="T111" s="579">
        <v>55750</v>
      </c>
      <c r="U111" s="579">
        <v>10170</v>
      </c>
      <c r="V111" s="579">
        <v>19940</v>
      </c>
      <c r="W111" s="579">
        <v>6270</v>
      </c>
      <c r="X111" s="579">
        <v>16370</v>
      </c>
      <c r="Y111" s="579">
        <v>2300</v>
      </c>
      <c r="Z111" s="579">
        <v>5520</v>
      </c>
      <c r="AA111" s="579">
        <v>4540</v>
      </c>
      <c r="AB111" s="579">
        <v>29000</v>
      </c>
      <c r="AC111" s="579">
        <v>28480</v>
      </c>
      <c r="AD111" s="579">
        <v>15510</v>
      </c>
      <c r="AE111" s="579"/>
      <c r="AF111" s="579">
        <f>SUM(AG111:AH111)</f>
        <v>323</v>
      </c>
      <c r="AG111" s="579">
        <v>323</v>
      </c>
      <c r="AH111" s="579">
        <v>0</v>
      </c>
      <c r="AI111" s="387">
        <f t="shared" si="26"/>
        <v>0</v>
      </c>
      <c r="AJ111" s="496"/>
    </row>
    <row r="112" spans="1:36" s="393" customFormat="1" ht="14.25">
      <c r="A112" s="397" t="s">
        <v>1736</v>
      </c>
      <c r="B112" s="394" t="s">
        <v>1743</v>
      </c>
      <c r="C112" s="497" t="s">
        <v>1745</v>
      </c>
      <c r="D112" s="396">
        <v>9</v>
      </c>
      <c r="E112" s="385">
        <f>SUM(H112,P112,AF112)</f>
        <v>492345</v>
      </c>
      <c r="F112" s="368">
        <v>492345</v>
      </c>
      <c r="G112" s="368"/>
      <c r="H112" s="385">
        <f>SUM(I112:O112)</f>
        <v>389535</v>
      </c>
      <c r="I112" s="371">
        <v>93487</v>
      </c>
      <c r="J112" s="371">
        <v>191668</v>
      </c>
      <c r="K112" s="371">
        <v>25901</v>
      </c>
      <c r="L112" s="371">
        <v>30118</v>
      </c>
      <c r="M112" s="371">
        <v>13027</v>
      </c>
      <c r="N112" s="371">
        <v>35334</v>
      </c>
      <c r="O112" s="370"/>
      <c r="P112" s="386">
        <f>SUM(Q112:AE112)</f>
        <v>102252</v>
      </c>
      <c r="Q112" s="371">
        <v>3309</v>
      </c>
      <c r="R112" s="371">
        <v>4801</v>
      </c>
      <c r="S112" s="371">
        <v>4422</v>
      </c>
      <c r="T112" s="371">
        <v>3769</v>
      </c>
      <c r="U112" s="371">
        <v>2920</v>
      </c>
      <c r="V112" s="371">
        <v>2138</v>
      </c>
      <c r="W112" s="371">
        <v>2994</v>
      </c>
      <c r="X112" s="371">
        <v>1179</v>
      </c>
      <c r="Y112" s="371">
        <v>5416</v>
      </c>
      <c r="Z112" s="371">
        <v>7020</v>
      </c>
      <c r="AA112" s="371">
        <v>995</v>
      </c>
      <c r="AB112" s="371">
        <v>2885</v>
      </c>
      <c r="AC112" s="371">
        <v>4235</v>
      </c>
      <c r="AD112" s="371">
        <v>56169</v>
      </c>
      <c r="AE112" s="371"/>
      <c r="AF112" s="385">
        <f>SUM(AG112:AH112)</f>
        <v>558</v>
      </c>
      <c r="AG112" s="371">
        <v>438</v>
      </c>
      <c r="AH112" s="371">
        <v>120</v>
      </c>
      <c r="AI112" s="387">
        <f t="shared" si="26"/>
        <v>0</v>
      </c>
      <c r="AJ112" s="496"/>
    </row>
    <row r="113" spans="1:36" s="515" customFormat="1" ht="24" customHeight="1">
      <c r="A113" s="510" t="s">
        <v>1274</v>
      </c>
      <c r="B113" s="511"/>
      <c r="C113" s="512"/>
      <c r="D113" s="513"/>
      <c r="E113" s="514">
        <f t="shared" ref="E113:AH113" si="42">E114+E143+E153+E160</f>
        <v>50945639</v>
      </c>
      <c r="F113" s="514">
        <f t="shared" si="42"/>
        <v>40175321</v>
      </c>
      <c r="G113" s="514">
        <f t="shared" si="42"/>
        <v>10770318</v>
      </c>
      <c r="H113" s="514">
        <f t="shared" si="42"/>
        <v>30947125</v>
      </c>
      <c r="I113" s="514">
        <f t="shared" si="42"/>
        <v>5845566</v>
      </c>
      <c r="J113" s="514">
        <f t="shared" si="42"/>
        <v>1946785</v>
      </c>
      <c r="K113" s="514">
        <f t="shared" si="42"/>
        <v>4390071</v>
      </c>
      <c r="L113" s="514">
        <f t="shared" si="42"/>
        <v>6608875</v>
      </c>
      <c r="M113" s="514">
        <f t="shared" si="42"/>
        <v>2046926</v>
      </c>
      <c r="N113" s="514">
        <f t="shared" si="42"/>
        <v>2666417</v>
      </c>
      <c r="O113" s="514">
        <f t="shared" si="42"/>
        <v>7442485</v>
      </c>
      <c r="P113" s="514">
        <f t="shared" si="42"/>
        <v>19374916</v>
      </c>
      <c r="Q113" s="514">
        <f t="shared" si="42"/>
        <v>826394</v>
      </c>
      <c r="R113" s="514">
        <f t="shared" si="42"/>
        <v>948531</v>
      </c>
      <c r="S113" s="514">
        <f t="shared" si="42"/>
        <v>1086113</v>
      </c>
      <c r="T113" s="514">
        <f t="shared" si="42"/>
        <v>1424230</v>
      </c>
      <c r="U113" s="514">
        <f t="shared" si="42"/>
        <v>951943</v>
      </c>
      <c r="V113" s="514">
        <f t="shared" si="42"/>
        <v>1050121</v>
      </c>
      <c r="W113" s="514">
        <f t="shared" si="42"/>
        <v>970309</v>
      </c>
      <c r="X113" s="514">
        <f t="shared" si="42"/>
        <v>1319753</v>
      </c>
      <c r="Y113" s="514">
        <f t="shared" si="42"/>
        <v>852965</v>
      </c>
      <c r="Z113" s="514">
        <f t="shared" si="42"/>
        <v>893624</v>
      </c>
      <c r="AA113" s="514">
        <f t="shared" si="42"/>
        <v>439524</v>
      </c>
      <c r="AB113" s="514">
        <f t="shared" si="42"/>
        <v>688005</v>
      </c>
      <c r="AC113" s="514">
        <f t="shared" si="42"/>
        <v>722872</v>
      </c>
      <c r="AD113" s="514">
        <f t="shared" si="42"/>
        <v>512520</v>
      </c>
      <c r="AE113" s="514">
        <f t="shared" si="42"/>
        <v>6688012</v>
      </c>
      <c r="AF113" s="514">
        <f t="shared" si="42"/>
        <v>623598</v>
      </c>
      <c r="AG113" s="514">
        <f t="shared" si="42"/>
        <v>391625</v>
      </c>
      <c r="AH113" s="514">
        <f t="shared" si="42"/>
        <v>231973</v>
      </c>
      <c r="AI113" s="387">
        <f t="shared" si="26"/>
        <v>0</v>
      </c>
    </row>
    <row r="114" spans="1:36" s="410" customFormat="1" ht="21.6" customHeight="1">
      <c r="A114" s="405" t="s">
        <v>1253</v>
      </c>
      <c r="B114" s="406"/>
      <c r="C114" s="407"/>
      <c r="D114" s="408"/>
      <c r="E114" s="409">
        <f t="shared" ref="E114:AH114" si="43">SUM(E115:E142)</f>
        <v>1732164</v>
      </c>
      <c r="F114" s="409">
        <f t="shared" si="43"/>
        <v>1488000</v>
      </c>
      <c r="G114" s="409">
        <f t="shared" si="43"/>
        <v>244164</v>
      </c>
      <c r="H114" s="409">
        <f t="shared" si="43"/>
        <v>703225</v>
      </c>
      <c r="I114" s="409">
        <f t="shared" si="43"/>
        <v>53848</v>
      </c>
      <c r="J114" s="409">
        <f t="shared" si="43"/>
        <v>74716</v>
      </c>
      <c r="K114" s="409">
        <f t="shared" si="43"/>
        <v>23989</v>
      </c>
      <c r="L114" s="409">
        <f t="shared" si="43"/>
        <v>39384</v>
      </c>
      <c r="M114" s="409">
        <f t="shared" si="43"/>
        <v>35795</v>
      </c>
      <c r="N114" s="409">
        <f t="shared" si="43"/>
        <v>30584</v>
      </c>
      <c r="O114" s="409">
        <f t="shared" si="43"/>
        <v>444909</v>
      </c>
      <c r="P114" s="409">
        <f t="shared" si="43"/>
        <v>971093</v>
      </c>
      <c r="Q114" s="409">
        <f t="shared" si="43"/>
        <v>22031</v>
      </c>
      <c r="R114" s="409">
        <f t="shared" si="43"/>
        <v>17441</v>
      </c>
      <c r="S114" s="409">
        <f t="shared" si="43"/>
        <v>20191</v>
      </c>
      <c r="T114" s="409">
        <f t="shared" si="43"/>
        <v>33801</v>
      </c>
      <c r="U114" s="409">
        <f t="shared" si="43"/>
        <v>16148</v>
      </c>
      <c r="V114" s="409">
        <f t="shared" si="43"/>
        <v>22977</v>
      </c>
      <c r="W114" s="409">
        <f t="shared" si="43"/>
        <v>16015</v>
      </c>
      <c r="X114" s="409">
        <f t="shared" si="43"/>
        <v>25279</v>
      </c>
      <c r="Y114" s="409">
        <f t="shared" si="43"/>
        <v>15306</v>
      </c>
      <c r="Z114" s="409">
        <f t="shared" si="43"/>
        <v>10635</v>
      </c>
      <c r="AA114" s="409">
        <f t="shared" si="43"/>
        <v>8066</v>
      </c>
      <c r="AB114" s="409">
        <f t="shared" si="43"/>
        <v>12641</v>
      </c>
      <c r="AC114" s="409">
        <f t="shared" si="43"/>
        <v>15737</v>
      </c>
      <c r="AD114" s="409">
        <f t="shared" si="43"/>
        <v>13131</v>
      </c>
      <c r="AE114" s="409">
        <f t="shared" si="43"/>
        <v>721694</v>
      </c>
      <c r="AF114" s="409">
        <f t="shared" si="43"/>
        <v>57846</v>
      </c>
      <c r="AG114" s="409">
        <f t="shared" si="43"/>
        <v>33733</v>
      </c>
      <c r="AH114" s="409">
        <f t="shared" si="43"/>
        <v>24113</v>
      </c>
      <c r="AI114" s="387">
        <f t="shared" si="26"/>
        <v>0</v>
      </c>
      <c r="AJ114" s="496"/>
    </row>
    <row r="115" spans="1:36" s="393" customFormat="1" ht="14.25">
      <c r="A115" s="397" t="s">
        <v>1753</v>
      </c>
      <c r="B115" s="394" t="s">
        <v>1754</v>
      </c>
      <c r="C115" s="497" t="s">
        <v>1755</v>
      </c>
      <c r="D115" s="396">
        <v>3</v>
      </c>
      <c r="E115" s="568">
        <v>1140</v>
      </c>
      <c r="F115" s="568">
        <v>1140</v>
      </c>
      <c r="G115" s="568"/>
      <c r="H115" s="569">
        <f t="shared" ref="H115:H142" si="44">SUM(I115:O115)</f>
        <v>392</v>
      </c>
      <c r="I115" s="568">
        <v>0</v>
      </c>
      <c r="J115" s="568">
        <v>392</v>
      </c>
      <c r="K115" s="568">
        <v>0</v>
      </c>
      <c r="L115" s="568">
        <v>0</v>
      </c>
      <c r="M115" s="568">
        <v>0</v>
      </c>
      <c r="N115" s="568">
        <v>0</v>
      </c>
      <c r="O115" s="570">
        <v>0</v>
      </c>
      <c r="P115" s="571">
        <f t="shared" ref="P115:P142" si="45">SUM(Q115:AE115)</f>
        <v>748</v>
      </c>
      <c r="Q115" s="568">
        <v>0</v>
      </c>
      <c r="R115" s="568">
        <v>0</v>
      </c>
      <c r="S115" s="568">
        <v>0</v>
      </c>
      <c r="T115" s="568">
        <v>0</v>
      </c>
      <c r="U115" s="568">
        <v>0</v>
      </c>
      <c r="V115" s="568">
        <v>0</v>
      </c>
      <c r="W115" s="568">
        <v>0</v>
      </c>
      <c r="X115" s="568">
        <v>0</v>
      </c>
      <c r="Y115" s="568">
        <v>0</v>
      </c>
      <c r="Z115" s="568">
        <v>0</v>
      </c>
      <c r="AA115" s="568">
        <v>0</v>
      </c>
      <c r="AB115" s="568">
        <v>0</v>
      </c>
      <c r="AC115" s="568">
        <v>0</v>
      </c>
      <c r="AD115" s="568">
        <v>0</v>
      </c>
      <c r="AE115" s="568">
        <v>748</v>
      </c>
      <c r="AF115" s="572">
        <f t="shared" ref="AF115:AF142" si="46">SUM(AG115:AH115)</f>
        <v>0</v>
      </c>
      <c r="AG115" s="568">
        <v>0</v>
      </c>
      <c r="AH115" s="568">
        <v>0</v>
      </c>
      <c r="AI115" s="387">
        <f t="shared" si="26"/>
        <v>0</v>
      </c>
      <c r="AJ115" s="496"/>
    </row>
    <row r="116" spans="1:36" s="393" customFormat="1" ht="14.25">
      <c r="A116" s="397" t="s">
        <v>1753</v>
      </c>
      <c r="B116" s="394" t="s">
        <v>1754</v>
      </c>
      <c r="C116" s="497" t="s">
        <v>1756</v>
      </c>
      <c r="D116" s="396">
        <v>3</v>
      </c>
      <c r="E116" s="568">
        <v>490</v>
      </c>
      <c r="F116" s="568">
        <v>490</v>
      </c>
      <c r="G116" s="568"/>
      <c r="H116" s="569">
        <f t="shared" si="44"/>
        <v>490</v>
      </c>
      <c r="I116" s="568">
        <v>0</v>
      </c>
      <c r="J116" s="568">
        <v>0</v>
      </c>
      <c r="K116" s="568">
        <v>0</v>
      </c>
      <c r="L116" s="568">
        <v>0</v>
      </c>
      <c r="M116" s="568">
        <v>0</v>
      </c>
      <c r="N116" s="568">
        <v>0</v>
      </c>
      <c r="O116" s="570">
        <v>490</v>
      </c>
      <c r="P116" s="571">
        <f t="shared" si="45"/>
        <v>0</v>
      </c>
      <c r="Q116" s="568">
        <v>0</v>
      </c>
      <c r="R116" s="568">
        <v>0</v>
      </c>
      <c r="S116" s="568">
        <v>0</v>
      </c>
      <c r="T116" s="568">
        <v>0</v>
      </c>
      <c r="U116" s="568">
        <v>0</v>
      </c>
      <c r="V116" s="568">
        <v>0</v>
      </c>
      <c r="W116" s="568">
        <v>0</v>
      </c>
      <c r="X116" s="568">
        <v>0</v>
      </c>
      <c r="Y116" s="568">
        <v>0</v>
      </c>
      <c r="Z116" s="568">
        <v>0</v>
      </c>
      <c r="AA116" s="568">
        <v>0</v>
      </c>
      <c r="AB116" s="568">
        <v>0</v>
      </c>
      <c r="AC116" s="568">
        <v>0</v>
      </c>
      <c r="AD116" s="568">
        <v>0</v>
      </c>
      <c r="AE116" s="568">
        <v>0</v>
      </c>
      <c r="AF116" s="572">
        <f t="shared" si="46"/>
        <v>0</v>
      </c>
      <c r="AG116" s="568">
        <v>0</v>
      </c>
      <c r="AH116" s="568">
        <v>0</v>
      </c>
      <c r="AI116" s="387">
        <f t="shared" si="26"/>
        <v>0</v>
      </c>
      <c r="AJ116" s="496"/>
    </row>
    <row r="117" spans="1:36" s="393" customFormat="1" ht="14.25">
      <c r="A117" s="397" t="s">
        <v>1753</v>
      </c>
      <c r="B117" s="394" t="s">
        <v>1754</v>
      </c>
      <c r="C117" s="497" t="s">
        <v>1757</v>
      </c>
      <c r="D117" s="396">
        <v>3</v>
      </c>
      <c r="E117" s="568">
        <v>193993</v>
      </c>
      <c r="F117" s="568">
        <v>135030</v>
      </c>
      <c r="G117" s="568">
        <v>58963</v>
      </c>
      <c r="H117" s="569">
        <f t="shared" si="44"/>
        <v>81186</v>
      </c>
      <c r="I117" s="568">
        <v>0</v>
      </c>
      <c r="J117" s="568">
        <v>0</v>
      </c>
      <c r="K117" s="568">
        <v>0</v>
      </c>
      <c r="L117" s="568">
        <v>0</v>
      </c>
      <c r="M117" s="568">
        <v>0</v>
      </c>
      <c r="N117" s="568">
        <v>0</v>
      </c>
      <c r="O117" s="570">
        <v>81186</v>
      </c>
      <c r="P117" s="571">
        <f t="shared" si="45"/>
        <v>107312</v>
      </c>
      <c r="Q117" s="568">
        <v>0</v>
      </c>
      <c r="R117" s="568">
        <v>0</v>
      </c>
      <c r="S117" s="568">
        <v>0</v>
      </c>
      <c r="T117" s="568">
        <v>0</v>
      </c>
      <c r="U117" s="568">
        <v>0</v>
      </c>
      <c r="V117" s="568">
        <v>0</v>
      </c>
      <c r="W117" s="568">
        <v>0</v>
      </c>
      <c r="X117" s="568">
        <v>0</v>
      </c>
      <c r="Y117" s="568">
        <v>0</v>
      </c>
      <c r="Z117" s="568">
        <v>0</v>
      </c>
      <c r="AA117" s="568">
        <v>0</v>
      </c>
      <c r="AB117" s="568">
        <v>0</v>
      </c>
      <c r="AC117" s="568">
        <v>0</v>
      </c>
      <c r="AD117" s="568">
        <v>0</v>
      </c>
      <c r="AE117" s="568">
        <v>107312</v>
      </c>
      <c r="AF117" s="572">
        <f t="shared" si="46"/>
        <v>5495</v>
      </c>
      <c r="AG117" s="568">
        <v>2748</v>
      </c>
      <c r="AH117" s="568">
        <v>2747</v>
      </c>
      <c r="AI117" s="387">
        <f t="shared" si="26"/>
        <v>0</v>
      </c>
      <c r="AJ117" s="496"/>
    </row>
    <row r="118" spans="1:36" s="393" customFormat="1" ht="14.25">
      <c r="A118" s="397" t="s">
        <v>1753</v>
      </c>
      <c r="B118" s="394" t="s">
        <v>1754</v>
      </c>
      <c r="C118" s="497" t="s">
        <v>1758</v>
      </c>
      <c r="D118" s="396">
        <v>3</v>
      </c>
      <c r="E118" s="568">
        <v>29530</v>
      </c>
      <c r="F118" s="568">
        <v>28890</v>
      </c>
      <c r="G118" s="568">
        <v>640</v>
      </c>
      <c r="H118" s="569">
        <f t="shared" si="44"/>
        <v>20725</v>
      </c>
      <c r="I118" s="568">
        <v>0</v>
      </c>
      <c r="J118" s="568">
        <v>0</v>
      </c>
      <c r="K118" s="568">
        <v>0</v>
      </c>
      <c r="L118" s="568">
        <v>0</v>
      </c>
      <c r="M118" s="568">
        <v>0</v>
      </c>
      <c r="N118" s="568">
        <v>0</v>
      </c>
      <c r="O118" s="570">
        <v>20725</v>
      </c>
      <c r="P118" s="571">
        <f t="shared" si="45"/>
        <v>8805</v>
      </c>
      <c r="Q118" s="568">
        <v>0</v>
      </c>
      <c r="R118" s="568">
        <v>0</v>
      </c>
      <c r="S118" s="568">
        <v>0</v>
      </c>
      <c r="T118" s="568">
        <v>0</v>
      </c>
      <c r="U118" s="568">
        <v>0</v>
      </c>
      <c r="V118" s="568">
        <v>0</v>
      </c>
      <c r="W118" s="568">
        <v>0</v>
      </c>
      <c r="X118" s="568">
        <v>0</v>
      </c>
      <c r="Y118" s="568">
        <v>0</v>
      </c>
      <c r="Z118" s="568">
        <v>0</v>
      </c>
      <c r="AA118" s="568">
        <v>0</v>
      </c>
      <c r="AB118" s="568">
        <v>0</v>
      </c>
      <c r="AC118" s="568">
        <v>0</v>
      </c>
      <c r="AD118" s="568">
        <v>0</v>
      </c>
      <c r="AE118" s="568">
        <v>8805</v>
      </c>
      <c r="AF118" s="572">
        <f t="shared" si="46"/>
        <v>0</v>
      </c>
      <c r="AG118" s="568">
        <v>0</v>
      </c>
      <c r="AH118" s="568">
        <v>0</v>
      </c>
      <c r="AI118" s="387">
        <f t="shared" si="26"/>
        <v>0</v>
      </c>
      <c r="AJ118" s="496"/>
    </row>
    <row r="119" spans="1:36" s="393" customFormat="1" ht="14.25">
      <c r="A119" s="397" t="s">
        <v>1753</v>
      </c>
      <c r="B119" s="394" t="s">
        <v>1754</v>
      </c>
      <c r="C119" s="497" t="s">
        <v>1759</v>
      </c>
      <c r="D119" s="396">
        <v>3</v>
      </c>
      <c r="E119" s="568">
        <v>182749</v>
      </c>
      <c r="F119" s="568">
        <v>164479</v>
      </c>
      <c r="G119" s="568">
        <v>18270</v>
      </c>
      <c r="H119" s="569">
        <f t="shared" si="44"/>
        <v>85304</v>
      </c>
      <c r="I119" s="568">
        <v>0</v>
      </c>
      <c r="J119" s="568">
        <v>0</v>
      </c>
      <c r="K119" s="568">
        <v>0</v>
      </c>
      <c r="L119" s="568">
        <v>0</v>
      </c>
      <c r="M119" s="568">
        <v>0</v>
      </c>
      <c r="N119" s="568">
        <v>0</v>
      </c>
      <c r="O119" s="570">
        <v>85304</v>
      </c>
      <c r="P119" s="571">
        <f t="shared" si="45"/>
        <v>88805</v>
      </c>
      <c r="Q119" s="568">
        <v>0</v>
      </c>
      <c r="R119" s="568">
        <v>0</v>
      </c>
      <c r="S119" s="568">
        <v>0</v>
      </c>
      <c r="T119" s="568">
        <v>0</v>
      </c>
      <c r="U119" s="568">
        <v>0</v>
      </c>
      <c r="V119" s="568">
        <v>0</v>
      </c>
      <c r="W119" s="568">
        <v>0</v>
      </c>
      <c r="X119" s="568">
        <v>0</v>
      </c>
      <c r="Y119" s="568">
        <v>0</v>
      </c>
      <c r="Z119" s="568">
        <v>0</v>
      </c>
      <c r="AA119" s="568">
        <v>0</v>
      </c>
      <c r="AB119" s="568">
        <v>0</v>
      </c>
      <c r="AC119" s="568">
        <v>0</v>
      </c>
      <c r="AD119" s="568">
        <v>0</v>
      </c>
      <c r="AE119" s="568">
        <v>88805</v>
      </c>
      <c r="AF119" s="572">
        <f t="shared" si="46"/>
        <v>8640</v>
      </c>
      <c r="AG119" s="568">
        <v>4480</v>
      </c>
      <c r="AH119" s="568">
        <v>4160</v>
      </c>
      <c r="AI119" s="387">
        <f t="shared" si="26"/>
        <v>0</v>
      </c>
      <c r="AJ119" s="496"/>
    </row>
    <row r="120" spans="1:36" s="393" customFormat="1" ht="14.25">
      <c r="A120" s="397" t="s">
        <v>1753</v>
      </c>
      <c r="B120" s="394" t="s">
        <v>1754</v>
      </c>
      <c r="C120" s="497" t="s">
        <v>1760</v>
      </c>
      <c r="D120" s="396">
        <v>3</v>
      </c>
      <c r="E120" s="568">
        <v>43922</v>
      </c>
      <c r="F120" s="568">
        <v>43817</v>
      </c>
      <c r="G120" s="568">
        <v>105</v>
      </c>
      <c r="H120" s="569">
        <f t="shared" si="44"/>
        <v>19020</v>
      </c>
      <c r="I120" s="568">
        <v>1480</v>
      </c>
      <c r="J120" s="568">
        <v>950</v>
      </c>
      <c r="K120" s="568">
        <v>1500</v>
      </c>
      <c r="L120" s="568">
        <v>1415</v>
      </c>
      <c r="M120" s="568">
        <v>1710</v>
      </c>
      <c r="N120" s="568">
        <v>1800</v>
      </c>
      <c r="O120" s="570">
        <v>10165</v>
      </c>
      <c r="P120" s="571">
        <f t="shared" si="45"/>
        <v>23787</v>
      </c>
      <c r="Q120" s="568">
        <v>1120</v>
      </c>
      <c r="R120" s="568">
        <v>780</v>
      </c>
      <c r="S120" s="568">
        <v>1270</v>
      </c>
      <c r="T120" s="568">
        <v>1610</v>
      </c>
      <c r="U120" s="568">
        <v>1770</v>
      </c>
      <c r="V120" s="568">
        <v>890</v>
      </c>
      <c r="W120" s="568">
        <v>1110</v>
      </c>
      <c r="X120" s="568">
        <v>1200</v>
      </c>
      <c r="Y120" s="568">
        <v>1510</v>
      </c>
      <c r="Z120" s="568">
        <v>320</v>
      </c>
      <c r="AA120" s="568">
        <v>332</v>
      </c>
      <c r="AB120" s="568">
        <v>470</v>
      </c>
      <c r="AC120" s="568">
        <v>455</v>
      </c>
      <c r="AD120" s="568">
        <v>1110</v>
      </c>
      <c r="AE120" s="568">
        <v>9840</v>
      </c>
      <c r="AF120" s="572">
        <f t="shared" si="46"/>
        <v>1115</v>
      </c>
      <c r="AG120" s="568">
        <v>855</v>
      </c>
      <c r="AH120" s="568">
        <v>260</v>
      </c>
      <c r="AI120" s="387">
        <f t="shared" si="26"/>
        <v>0</v>
      </c>
      <c r="AJ120" s="496"/>
    </row>
    <row r="121" spans="1:36" s="393" customFormat="1" ht="14.25">
      <c r="A121" s="397" t="s">
        <v>1753</v>
      </c>
      <c r="B121" s="394" t="s">
        <v>1754</v>
      </c>
      <c r="C121" s="497" t="s">
        <v>1761</v>
      </c>
      <c r="D121" s="396">
        <v>3</v>
      </c>
      <c r="E121" s="568">
        <v>301292</v>
      </c>
      <c r="F121" s="568">
        <v>290492</v>
      </c>
      <c r="G121" s="568">
        <v>10800</v>
      </c>
      <c r="H121" s="569">
        <f t="shared" si="44"/>
        <v>178775</v>
      </c>
      <c r="I121" s="568">
        <v>34428</v>
      </c>
      <c r="J121" s="568">
        <v>40994</v>
      </c>
      <c r="K121" s="568">
        <v>11547</v>
      </c>
      <c r="L121" s="568">
        <v>27411</v>
      </c>
      <c r="M121" s="568">
        <v>22785</v>
      </c>
      <c r="N121" s="568">
        <v>16484</v>
      </c>
      <c r="O121" s="570">
        <v>25126</v>
      </c>
      <c r="P121" s="571">
        <f t="shared" si="45"/>
        <v>120258</v>
      </c>
      <c r="Q121" s="568">
        <v>9346</v>
      </c>
      <c r="R121" s="568">
        <v>5536</v>
      </c>
      <c r="S121" s="568">
        <v>7196</v>
      </c>
      <c r="T121" s="568">
        <v>19491</v>
      </c>
      <c r="U121" s="568">
        <v>5853</v>
      </c>
      <c r="V121" s="568">
        <v>9312</v>
      </c>
      <c r="W121" s="568">
        <v>4070</v>
      </c>
      <c r="X121" s="568">
        <v>7174</v>
      </c>
      <c r="Y121" s="568">
        <v>2566</v>
      </c>
      <c r="Z121" s="568">
        <v>1590</v>
      </c>
      <c r="AA121" s="568">
        <v>1534</v>
      </c>
      <c r="AB121" s="568">
        <v>3751</v>
      </c>
      <c r="AC121" s="568">
        <v>8107</v>
      </c>
      <c r="AD121" s="568">
        <v>5446</v>
      </c>
      <c r="AE121" s="568">
        <v>29286</v>
      </c>
      <c r="AF121" s="572">
        <f t="shared" si="46"/>
        <v>2259</v>
      </c>
      <c r="AG121" s="568">
        <v>1959</v>
      </c>
      <c r="AH121" s="568">
        <v>300</v>
      </c>
      <c r="AI121" s="387">
        <f t="shared" si="26"/>
        <v>0</v>
      </c>
      <c r="AJ121" s="496"/>
    </row>
    <row r="122" spans="1:36" s="393" customFormat="1" ht="14.25">
      <c r="A122" s="397" t="s">
        <v>1753</v>
      </c>
      <c r="B122" s="394" t="s">
        <v>1754</v>
      </c>
      <c r="C122" s="497" t="s">
        <v>1762</v>
      </c>
      <c r="D122" s="396">
        <v>3</v>
      </c>
      <c r="E122" s="568">
        <v>156183</v>
      </c>
      <c r="F122" s="568">
        <v>155758</v>
      </c>
      <c r="G122" s="568">
        <v>425</v>
      </c>
      <c r="H122" s="569">
        <f t="shared" si="44"/>
        <v>38311</v>
      </c>
      <c r="I122" s="568">
        <v>6500</v>
      </c>
      <c r="J122" s="568">
        <v>500</v>
      </c>
      <c r="K122" s="568">
        <v>5000</v>
      </c>
      <c r="L122" s="568">
        <v>5800</v>
      </c>
      <c r="M122" s="568">
        <v>6200</v>
      </c>
      <c r="N122" s="568">
        <v>6200</v>
      </c>
      <c r="O122" s="570">
        <v>8111</v>
      </c>
      <c r="P122" s="571">
        <f t="shared" si="45"/>
        <v>111472</v>
      </c>
      <c r="Q122" s="568">
        <v>5200</v>
      </c>
      <c r="R122" s="568">
        <v>6300</v>
      </c>
      <c r="S122" s="568">
        <v>6900</v>
      </c>
      <c r="T122" s="568">
        <v>4500</v>
      </c>
      <c r="U122" s="568">
        <v>4500</v>
      </c>
      <c r="V122" s="568">
        <v>7500</v>
      </c>
      <c r="W122" s="568">
        <v>4400</v>
      </c>
      <c r="X122" s="568">
        <v>8300</v>
      </c>
      <c r="Y122" s="568">
        <v>7000</v>
      </c>
      <c r="Z122" s="568">
        <v>5500</v>
      </c>
      <c r="AA122" s="568">
        <v>3500</v>
      </c>
      <c r="AB122" s="568">
        <v>4800</v>
      </c>
      <c r="AC122" s="568">
        <v>5000</v>
      </c>
      <c r="AD122" s="568">
        <v>5000</v>
      </c>
      <c r="AE122" s="568">
        <v>33072</v>
      </c>
      <c r="AF122" s="572">
        <f t="shared" si="46"/>
        <v>6400</v>
      </c>
      <c r="AG122" s="568">
        <v>3650</v>
      </c>
      <c r="AH122" s="568">
        <v>2750</v>
      </c>
      <c r="AI122" s="387">
        <f t="shared" si="26"/>
        <v>0</v>
      </c>
      <c r="AJ122" s="496"/>
    </row>
    <row r="123" spans="1:36" s="393" customFormat="1" ht="14.25">
      <c r="A123" s="397" t="s">
        <v>1753</v>
      </c>
      <c r="B123" s="394" t="s">
        <v>1754</v>
      </c>
      <c r="C123" s="497" t="s">
        <v>1763</v>
      </c>
      <c r="D123" s="396">
        <v>3</v>
      </c>
      <c r="E123" s="568">
        <v>167871</v>
      </c>
      <c r="F123" s="568">
        <v>159771</v>
      </c>
      <c r="G123" s="568">
        <v>8100</v>
      </c>
      <c r="H123" s="569">
        <f t="shared" si="44"/>
        <v>54629</v>
      </c>
      <c r="I123" s="568">
        <v>6690</v>
      </c>
      <c r="J123" s="568">
        <v>6047</v>
      </c>
      <c r="K123" s="568">
        <v>3842</v>
      </c>
      <c r="L123" s="568">
        <v>3308</v>
      </c>
      <c r="M123" s="568">
        <v>3500</v>
      </c>
      <c r="N123" s="568">
        <v>5650</v>
      </c>
      <c r="O123" s="570">
        <v>25592</v>
      </c>
      <c r="P123" s="571">
        <f t="shared" si="45"/>
        <v>109542</v>
      </c>
      <c r="Q123" s="568">
        <v>4825</v>
      </c>
      <c r="R123" s="568">
        <v>4825</v>
      </c>
      <c r="S123" s="568">
        <v>4825</v>
      </c>
      <c r="T123" s="568">
        <v>6800</v>
      </c>
      <c r="U123" s="568">
        <v>4025</v>
      </c>
      <c r="V123" s="568">
        <v>5275</v>
      </c>
      <c r="W123" s="568">
        <v>5275</v>
      </c>
      <c r="X123" s="568">
        <v>7075</v>
      </c>
      <c r="Y123" s="568">
        <v>3200</v>
      </c>
      <c r="Z123" s="568">
        <v>3225</v>
      </c>
      <c r="AA123" s="568">
        <v>2700</v>
      </c>
      <c r="AB123" s="568">
        <v>2920</v>
      </c>
      <c r="AC123" s="568">
        <v>1575</v>
      </c>
      <c r="AD123" s="568">
        <v>1575</v>
      </c>
      <c r="AE123" s="568">
        <v>51422</v>
      </c>
      <c r="AF123" s="572">
        <f t="shared" si="46"/>
        <v>3700</v>
      </c>
      <c r="AG123" s="568">
        <v>3000</v>
      </c>
      <c r="AH123" s="568">
        <v>700</v>
      </c>
      <c r="AI123" s="387">
        <f t="shared" si="26"/>
        <v>0</v>
      </c>
      <c r="AJ123" s="496"/>
    </row>
    <row r="124" spans="1:36" s="393" customFormat="1" ht="14.25">
      <c r="A124" s="397" t="s">
        <v>1753</v>
      </c>
      <c r="B124" s="394" t="s">
        <v>1754</v>
      </c>
      <c r="C124" s="497" t="s">
        <v>1764</v>
      </c>
      <c r="D124" s="396">
        <v>3</v>
      </c>
      <c r="E124" s="568">
        <v>9000</v>
      </c>
      <c r="F124" s="568">
        <v>9000</v>
      </c>
      <c r="G124" s="568"/>
      <c r="H124" s="569">
        <f t="shared" si="44"/>
        <v>2816</v>
      </c>
      <c r="I124" s="568">
        <v>0</v>
      </c>
      <c r="J124" s="568">
        <v>0</v>
      </c>
      <c r="K124" s="568">
        <v>0</v>
      </c>
      <c r="L124" s="568">
        <v>0</v>
      </c>
      <c r="M124" s="568">
        <v>0</v>
      </c>
      <c r="N124" s="568">
        <v>0</v>
      </c>
      <c r="O124" s="570">
        <v>2816</v>
      </c>
      <c r="P124" s="571">
        <f t="shared" si="45"/>
        <v>5904</v>
      </c>
      <c r="Q124" s="568">
        <v>0</v>
      </c>
      <c r="R124" s="568">
        <v>0</v>
      </c>
      <c r="S124" s="568">
        <v>0</v>
      </c>
      <c r="T124" s="568">
        <v>0</v>
      </c>
      <c r="U124" s="568">
        <v>0</v>
      </c>
      <c r="V124" s="568">
        <v>0</v>
      </c>
      <c r="W124" s="568">
        <v>0</v>
      </c>
      <c r="X124" s="568">
        <v>0</v>
      </c>
      <c r="Y124" s="568">
        <v>0</v>
      </c>
      <c r="Z124" s="568">
        <v>0</v>
      </c>
      <c r="AA124" s="568">
        <v>0</v>
      </c>
      <c r="AB124" s="568">
        <v>0</v>
      </c>
      <c r="AC124" s="568">
        <v>0</v>
      </c>
      <c r="AD124" s="568">
        <v>0</v>
      </c>
      <c r="AE124" s="568">
        <v>5904</v>
      </c>
      <c r="AF124" s="572">
        <f t="shared" si="46"/>
        <v>280</v>
      </c>
      <c r="AG124" s="568">
        <v>140</v>
      </c>
      <c r="AH124" s="568">
        <v>140</v>
      </c>
      <c r="AI124" s="387">
        <f t="shared" si="26"/>
        <v>0</v>
      </c>
      <c r="AJ124" s="496"/>
    </row>
    <row r="125" spans="1:36" s="393" customFormat="1" ht="14.25">
      <c r="A125" s="397" t="s">
        <v>1753</v>
      </c>
      <c r="B125" s="394" t="s">
        <v>1754</v>
      </c>
      <c r="C125" s="497" t="s">
        <v>1765</v>
      </c>
      <c r="D125" s="396">
        <v>3</v>
      </c>
      <c r="E125" s="568">
        <v>6860</v>
      </c>
      <c r="F125" s="568">
        <v>5070</v>
      </c>
      <c r="G125" s="568">
        <v>1790</v>
      </c>
      <c r="H125" s="569">
        <f t="shared" si="44"/>
        <v>1600</v>
      </c>
      <c r="I125" s="568">
        <v>0</v>
      </c>
      <c r="J125" s="568">
        <v>0</v>
      </c>
      <c r="K125" s="568">
        <v>0</v>
      </c>
      <c r="L125" s="568">
        <v>0</v>
      </c>
      <c r="M125" s="568">
        <v>1600</v>
      </c>
      <c r="N125" s="568">
        <v>0</v>
      </c>
      <c r="O125" s="570">
        <v>0</v>
      </c>
      <c r="P125" s="571">
        <f t="shared" si="45"/>
        <v>5260</v>
      </c>
      <c r="Q125" s="568">
        <v>1540</v>
      </c>
      <c r="R125" s="568">
        <v>0</v>
      </c>
      <c r="S125" s="568">
        <v>0</v>
      </c>
      <c r="T125" s="568">
        <v>0</v>
      </c>
      <c r="U125" s="568">
        <v>0</v>
      </c>
      <c r="V125" s="568">
        <v>0</v>
      </c>
      <c r="W125" s="568">
        <v>1160</v>
      </c>
      <c r="X125" s="568">
        <v>1530</v>
      </c>
      <c r="Y125" s="568">
        <v>1030</v>
      </c>
      <c r="Z125" s="568">
        <v>0</v>
      </c>
      <c r="AA125" s="568">
        <v>0</v>
      </c>
      <c r="AB125" s="568">
        <v>0</v>
      </c>
      <c r="AC125" s="568">
        <v>0</v>
      </c>
      <c r="AD125" s="568">
        <v>0</v>
      </c>
      <c r="AE125" s="568">
        <v>0</v>
      </c>
      <c r="AF125" s="572">
        <f t="shared" si="46"/>
        <v>0</v>
      </c>
      <c r="AG125" s="568">
        <v>0</v>
      </c>
      <c r="AH125" s="568">
        <v>0</v>
      </c>
      <c r="AI125" s="387">
        <f t="shared" si="26"/>
        <v>0</v>
      </c>
      <c r="AJ125" s="496"/>
    </row>
    <row r="126" spans="1:36" s="393" customFormat="1" ht="14.25">
      <c r="A126" s="397" t="s">
        <v>1753</v>
      </c>
      <c r="B126" s="394" t="s">
        <v>1754</v>
      </c>
      <c r="C126" s="497" t="s">
        <v>1766</v>
      </c>
      <c r="D126" s="396">
        <v>3</v>
      </c>
      <c r="E126" s="568">
        <v>96654</v>
      </c>
      <c r="F126" s="568">
        <v>80259</v>
      </c>
      <c r="G126" s="568">
        <v>16395</v>
      </c>
      <c r="H126" s="569">
        <f t="shared" si="44"/>
        <v>22570</v>
      </c>
      <c r="I126" s="568">
        <v>0</v>
      </c>
      <c r="J126" s="568">
        <v>0</v>
      </c>
      <c r="K126" s="568">
        <v>0</v>
      </c>
      <c r="L126" s="568">
        <v>0</v>
      </c>
      <c r="M126" s="568">
        <v>0</v>
      </c>
      <c r="N126" s="568">
        <v>0</v>
      </c>
      <c r="O126" s="570">
        <v>22570</v>
      </c>
      <c r="P126" s="571">
        <f t="shared" si="45"/>
        <v>68184</v>
      </c>
      <c r="Q126" s="568">
        <v>0</v>
      </c>
      <c r="R126" s="568">
        <v>0</v>
      </c>
      <c r="S126" s="568">
        <v>0</v>
      </c>
      <c r="T126" s="568">
        <v>0</v>
      </c>
      <c r="U126" s="568">
        <v>0</v>
      </c>
      <c r="V126" s="568">
        <v>0</v>
      </c>
      <c r="W126" s="568">
        <v>0</v>
      </c>
      <c r="X126" s="568">
        <v>0</v>
      </c>
      <c r="Y126" s="568">
        <v>0</v>
      </c>
      <c r="Z126" s="568">
        <v>0</v>
      </c>
      <c r="AA126" s="568">
        <v>0</v>
      </c>
      <c r="AB126" s="568">
        <v>0</v>
      </c>
      <c r="AC126" s="568">
        <v>0</v>
      </c>
      <c r="AD126" s="568">
        <v>0</v>
      </c>
      <c r="AE126" s="568">
        <v>68184</v>
      </c>
      <c r="AF126" s="572">
        <f t="shared" si="46"/>
        <v>5900</v>
      </c>
      <c r="AG126" s="568">
        <v>3244</v>
      </c>
      <c r="AH126" s="568">
        <v>2656</v>
      </c>
      <c r="AI126" s="387">
        <f t="shared" si="26"/>
        <v>0</v>
      </c>
      <c r="AJ126" s="496"/>
    </row>
    <row r="127" spans="1:36" s="393" customFormat="1" ht="14.25">
      <c r="A127" s="397" t="s">
        <v>1753</v>
      </c>
      <c r="B127" s="394" t="s">
        <v>1754</v>
      </c>
      <c r="C127" s="497" t="s">
        <v>1767</v>
      </c>
      <c r="D127" s="396">
        <v>3</v>
      </c>
      <c r="E127" s="568">
        <v>2000</v>
      </c>
      <c r="F127" s="568">
        <v>2000</v>
      </c>
      <c r="G127" s="568"/>
      <c r="H127" s="569">
        <f t="shared" si="44"/>
        <v>1000</v>
      </c>
      <c r="I127" s="568">
        <v>0</v>
      </c>
      <c r="J127" s="568">
        <v>0</v>
      </c>
      <c r="K127" s="568">
        <v>0</v>
      </c>
      <c r="L127" s="568">
        <v>0</v>
      </c>
      <c r="M127" s="568">
        <v>0</v>
      </c>
      <c r="N127" s="568">
        <v>0</v>
      </c>
      <c r="O127" s="570">
        <v>1000</v>
      </c>
      <c r="P127" s="571">
        <f t="shared" si="45"/>
        <v>1000</v>
      </c>
      <c r="Q127" s="568">
        <v>0</v>
      </c>
      <c r="R127" s="568">
        <v>0</v>
      </c>
      <c r="S127" s="568">
        <v>0</v>
      </c>
      <c r="T127" s="568">
        <v>0</v>
      </c>
      <c r="U127" s="568">
        <v>0</v>
      </c>
      <c r="V127" s="568">
        <v>0</v>
      </c>
      <c r="W127" s="568">
        <v>0</v>
      </c>
      <c r="X127" s="568">
        <v>0</v>
      </c>
      <c r="Y127" s="568">
        <v>0</v>
      </c>
      <c r="Z127" s="568">
        <v>0</v>
      </c>
      <c r="AA127" s="568">
        <v>0</v>
      </c>
      <c r="AB127" s="568">
        <v>0</v>
      </c>
      <c r="AC127" s="568">
        <v>0</v>
      </c>
      <c r="AD127" s="568">
        <v>0</v>
      </c>
      <c r="AE127" s="568">
        <v>1000</v>
      </c>
      <c r="AF127" s="572">
        <f t="shared" si="46"/>
        <v>0</v>
      </c>
      <c r="AG127" s="568">
        <v>0</v>
      </c>
      <c r="AH127" s="568">
        <v>0</v>
      </c>
      <c r="AI127" s="387">
        <f t="shared" si="26"/>
        <v>0</v>
      </c>
      <c r="AJ127" s="496"/>
    </row>
    <row r="128" spans="1:36" s="393" customFormat="1" ht="14.25">
      <c r="A128" s="397" t="s">
        <v>1753</v>
      </c>
      <c r="B128" s="394" t="s">
        <v>1754</v>
      </c>
      <c r="C128" s="497" t="s">
        <v>1768</v>
      </c>
      <c r="D128" s="396">
        <v>3</v>
      </c>
      <c r="E128" s="568">
        <v>700</v>
      </c>
      <c r="F128" s="568">
        <v>500</v>
      </c>
      <c r="G128" s="568">
        <v>200</v>
      </c>
      <c r="H128" s="569">
        <f t="shared" si="44"/>
        <v>700</v>
      </c>
      <c r="I128" s="568">
        <v>0</v>
      </c>
      <c r="J128" s="568">
        <v>0</v>
      </c>
      <c r="K128" s="568">
        <v>0</v>
      </c>
      <c r="L128" s="568">
        <v>0</v>
      </c>
      <c r="M128" s="568">
        <v>0</v>
      </c>
      <c r="N128" s="568">
        <v>0</v>
      </c>
      <c r="O128" s="570">
        <v>700</v>
      </c>
      <c r="P128" s="571">
        <f t="shared" si="45"/>
        <v>0</v>
      </c>
      <c r="Q128" s="568">
        <v>0</v>
      </c>
      <c r="R128" s="568">
        <v>0</v>
      </c>
      <c r="S128" s="568">
        <v>0</v>
      </c>
      <c r="T128" s="568">
        <v>0</v>
      </c>
      <c r="U128" s="568">
        <v>0</v>
      </c>
      <c r="V128" s="568">
        <v>0</v>
      </c>
      <c r="W128" s="568">
        <v>0</v>
      </c>
      <c r="X128" s="568">
        <v>0</v>
      </c>
      <c r="Y128" s="568">
        <v>0</v>
      </c>
      <c r="Z128" s="568">
        <v>0</v>
      </c>
      <c r="AA128" s="568">
        <v>0</v>
      </c>
      <c r="AB128" s="568">
        <v>0</v>
      </c>
      <c r="AC128" s="568">
        <v>0</v>
      </c>
      <c r="AD128" s="568">
        <v>0</v>
      </c>
      <c r="AE128" s="568">
        <v>0</v>
      </c>
      <c r="AF128" s="572">
        <f t="shared" si="46"/>
        <v>0</v>
      </c>
      <c r="AG128" s="568">
        <v>0</v>
      </c>
      <c r="AH128" s="568">
        <v>0</v>
      </c>
      <c r="AI128" s="387">
        <f t="shared" si="26"/>
        <v>0</v>
      </c>
      <c r="AJ128" s="496"/>
    </row>
    <row r="129" spans="1:36" s="393" customFormat="1" ht="14.25">
      <c r="A129" s="397" t="s">
        <v>1753</v>
      </c>
      <c r="B129" s="394" t="s">
        <v>1754</v>
      </c>
      <c r="C129" s="497" t="s">
        <v>1769</v>
      </c>
      <c r="D129" s="396">
        <v>3</v>
      </c>
      <c r="E129" s="568">
        <v>25433</v>
      </c>
      <c r="F129" s="568">
        <v>24233</v>
      </c>
      <c r="G129" s="568">
        <v>1200</v>
      </c>
      <c r="H129" s="569">
        <f t="shared" si="44"/>
        <v>7933</v>
      </c>
      <c r="I129" s="568">
        <v>0</v>
      </c>
      <c r="J129" s="568">
        <v>0</v>
      </c>
      <c r="K129" s="568">
        <v>0</v>
      </c>
      <c r="L129" s="568">
        <v>0</v>
      </c>
      <c r="M129" s="568">
        <v>0</v>
      </c>
      <c r="N129" s="568">
        <v>0</v>
      </c>
      <c r="O129" s="570">
        <v>7933</v>
      </c>
      <c r="P129" s="571">
        <f t="shared" si="45"/>
        <v>17500</v>
      </c>
      <c r="Q129" s="568">
        <v>0</v>
      </c>
      <c r="R129" s="568">
        <v>0</v>
      </c>
      <c r="S129" s="568">
        <v>0</v>
      </c>
      <c r="T129" s="568">
        <v>0</v>
      </c>
      <c r="U129" s="568">
        <v>0</v>
      </c>
      <c r="V129" s="568">
        <v>0</v>
      </c>
      <c r="W129" s="568">
        <v>0</v>
      </c>
      <c r="X129" s="568">
        <v>0</v>
      </c>
      <c r="Y129" s="568">
        <v>0</v>
      </c>
      <c r="Z129" s="568">
        <v>0</v>
      </c>
      <c r="AA129" s="568">
        <v>0</v>
      </c>
      <c r="AB129" s="568">
        <v>0</v>
      </c>
      <c r="AC129" s="568">
        <v>0</v>
      </c>
      <c r="AD129" s="568">
        <v>0</v>
      </c>
      <c r="AE129" s="568">
        <v>17500</v>
      </c>
      <c r="AF129" s="572">
        <f t="shared" si="46"/>
        <v>0</v>
      </c>
      <c r="AG129" s="568">
        <v>0</v>
      </c>
      <c r="AH129" s="568">
        <v>0</v>
      </c>
      <c r="AI129" s="387">
        <f t="shared" si="26"/>
        <v>0</v>
      </c>
      <c r="AJ129" s="496"/>
    </row>
    <row r="130" spans="1:36" s="393" customFormat="1" ht="14.25">
      <c r="A130" s="397" t="s">
        <v>1753</v>
      </c>
      <c r="B130" s="394" t="s">
        <v>1754</v>
      </c>
      <c r="C130" s="497" t="s">
        <v>1770</v>
      </c>
      <c r="D130" s="396">
        <v>3</v>
      </c>
      <c r="E130" s="568">
        <v>3730</v>
      </c>
      <c r="F130" s="568">
        <v>3730</v>
      </c>
      <c r="G130" s="568"/>
      <c r="H130" s="569">
        <f t="shared" si="44"/>
        <v>2230</v>
      </c>
      <c r="I130" s="568">
        <v>450</v>
      </c>
      <c r="J130" s="568">
        <v>450</v>
      </c>
      <c r="K130" s="568">
        <v>0</v>
      </c>
      <c r="L130" s="568">
        <v>450</v>
      </c>
      <c r="M130" s="568">
        <v>0</v>
      </c>
      <c r="N130" s="568">
        <v>450</v>
      </c>
      <c r="O130" s="570">
        <v>430</v>
      </c>
      <c r="P130" s="571">
        <f t="shared" si="45"/>
        <v>1500</v>
      </c>
      <c r="Q130" s="568">
        <v>0</v>
      </c>
      <c r="R130" s="568">
        <v>0</v>
      </c>
      <c r="S130" s="568">
        <v>0</v>
      </c>
      <c r="T130" s="568">
        <v>0</v>
      </c>
      <c r="U130" s="568">
        <v>0</v>
      </c>
      <c r="V130" s="568">
        <v>0</v>
      </c>
      <c r="W130" s="568">
        <v>0</v>
      </c>
      <c r="X130" s="568">
        <v>0</v>
      </c>
      <c r="Y130" s="568">
        <v>0</v>
      </c>
      <c r="Z130" s="568">
        <v>0</v>
      </c>
      <c r="AA130" s="568">
        <v>0</v>
      </c>
      <c r="AB130" s="568">
        <v>0</v>
      </c>
      <c r="AC130" s="568">
        <v>0</v>
      </c>
      <c r="AD130" s="568">
        <v>0</v>
      </c>
      <c r="AE130" s="568">
        <v>1500</v>
      </c>
      <c r="AF130" s="572">
        <f t="shared" si="46"/>
        <v>0</v>
      </c>
      <c r="AG130" s="568">
        <v>0</v>
      </c>
      <c r="AH130" s="568">
        <v>0</v>
      </c>
      <c r="AI130" s="387">
        <f t="shared" si="26"/>
        <v>0</v>
      </c>
      <c r="AJ130" s="496"/>
    </row>
    <row r="131" spans="1:36" s="393" customFormat="1" ht="14.25">
      <c r="A131" s="397" t="s">
        <v>1753</v>
      </c>
      <c r="B131" s="394" t="s">
        <v>1754</v>
      </c>
      <c r="C131" s="497" t="s">
        <v>1771</v>
      </c>
      <c r="D131" s="396">
        <v>3</v>
      </c>
      <c r="E131" s="568">
        <v>3957</v>
      </c>
      <c r="F131" s="568">
        <v>3930</v>
      </c>
      <c r="G131" s="568">
        <v>27</v>
      </c>
      <c r="H131" s="569">
        <f t="shared" si="44"/>
        <v>3957</v>
      </c>
      <c r="I131" s="568">
        <v>0</v>
      </c>
      <c r="J131" s="568">
        <v>3957</v>
      </c>
      <c r="K131" s="568">
        <v>0</v>
      </c>
      <c r="L131" s="568">
        <v>0</v>
      </c>
      <c r="M131" s="568">
        <v>0</v>
      </c>
      <c r="N131" s="568">
        <v>0</v>
      </c>
      <c r="O131" s="570">
        <v>0</v>
      </c>
      <c r="P131" s="571">
        <f t="shared" si="45"/>
        <v>0</v>
      </c>
      <c r="Q131" s="568">
        <v>0</v>
      </c>
      <c r="R131" s="568">
        <v>0</v>
      </c>
      <c r="S131" s="568">
        <v>0</v>
      </c>
      <c r="T131" s="568">
        <v>0</v>
      </c>
      <c r="U131" s="568">
        <v>0</v>
      </c>
      <c r="V131" s="568">
        <v>0</v>
      </c>
      <c r="W131" s="568">
        <v>0</v>
      </c>
      <c r="X131" s="568">
        <v>0</v>
      </c>
      <c r="Y131" s="568">
        <v>0</v>
      </c>
      <c r="Z131" s="568">
        <v>0</v>
      </c>
      <c r="AA131" s="568">
        <v>0</v>
      </c>
      <c r="AB131" s="568">
        <v>0</v>
      </c>
      <c r="AC131" s="568">
        <v>0</v>
      </c>
      <c r="AD131" s="568">
        <v>0</v>
      </c>
      <c r="AE131" s="568">
        <v>0</v>
      </c>
      <c r="AF131" s="572">
        <f t="shared" si="46"/>
        <v>0</v>
      </c>
      <c r="AG131" s="568">
        <v>0</v>
      </c>
      <c r="AH131" s="568">
        <v>0</v>
      </c>
      <c r="AI131" s="387">
        <f t="shared" si="26"/>
        <v>0</v>
      </c>
      <c r="AJ131" s="496"/>
    </row>
    <row r="132" spans="1:36" s="393" customFormat="1" ht="14.25">
      <c r="A132" s="397" t="s">
        <v>1753</v>
      </c>
      <c r="B132" s="394" t="s">
        <v>1754</v>
      </c>
      <c r="C132" s="497" t="s">
        <v>1772</v>
      </c>
      <c r="D132" s="396">
        <v>3</v>
      </c>
      <c r="E132" s="568">
        <v>27416</v>
      </c>
      <c r="F132" s="568">
        <v>24276</v>
      </c>
      <c r="G132" s="568">
        <v>3140</v>
      </c>
      <c r="H132" s="569">
        <f t="shared" si="44"/>
        <v>8485</v>
      </c>
      <c r="I132" s="568">
        <v>0</v>
      </c>
      <c r="J132" s="568">
        <v>0</v>
      </c>
      <c r="K132" s="568">
        <v>0</v>
      </c>
      <c r="L132" s="568">
        <v>0</v>
      </c>
      <c r="M132" s="568">
        <v>0</v>
      </c>
      <c r="N132" s="568">
        <v>0</v>
      </c>
      <c r="O132" s="570">
        <v>8485</v>
      </c>
      <c r="P132" s="571">
        <f t="shared" si="45"/>
        <v>16331</v>
      </c>
      <c r="Q132" s="568">
        <v>0</v>
      </c>
      <c r="R132" s="568">
        <v>0</v>
      </c>
      <c r="S132" s="568">
        <v>0</v>
      </c>
      <c r="T132" s="568">
        <v>0</v>
      </c>
      <c r="U132" s="568">
        <v>0</v>
      </c>
      <c r="V132" s="568">
        <v>0</v>
      </c>
      <c r="W132" s="568">
        <v>0</v>
      </c>
      <c r="X132" s="568">
        <v>0</v>
      </c>
      <c r="Y132" s="568">
        <v>0</v>
      </c>
      <c r="Z132" s="568">
        <v>0</v>
      </c>
      <c r="AA132" s="568">
        <v>0</v>
      </c>
      <c r="AB132" s="568">
        <v>0</v>
      </c>
      <c r="AC132" s="568">
        <v>0</v>
      </c>
      <c r="AD132" s="568">
        <v>0</v>
      </c>
      <c r="AE132" s="568">
        <v>16331</v>
      </c>
      <c r="AF132" s="572">
        <f t="shared" si="46"/>
        <v>2600</v>
      </c>
      <c r="AG132" s="568">
        <v>1300</v>
      </c>
      <c r="AH132" s="568">
        <v>1300</v>
      </c>
      <c r="AI132" s="387">
        <f t="shared" si="26"/>
        <v>0</v>
      </c>
      <c r="AJ132" s="496"/>
    </row>
    <row r="133" spans="1:36" s="393" customFormat="1" ht="14.25">
      <c r="A133" s="397" t="s">
        <v>1753</v>
      </c>
      <c r="B133" s="394" t="s">
        <v>1754</v>
      </c>
      <c r="C133" s="497" t="s">
        <v>1773</v>
      </c>
      <c r="D133" s="396">
        <v>3</v>
      </c>
      <c r="E133" s="568">
        <v>13650</v>
      </c>
      <c r="F133" s="568">
        <v>11850</v>
      </c>
      <c r="G133" s="568">
        <v>1800</v>
      </c>
      <c r="H133" s="569">
        <f t="shared" si="44"/>
        <v>6000</v>
      </c>
      <c r="I133" s="568">
        <v>0</v>
      </c>
      <c r="J133" s="568">
        <v>0</v>
      </c>
      <c r="K133" s="568">
        <v>0</v>
      </c>
      <c r="L133" s="568">
        <v>0</v>
      </c>
      <c r="M133" s="568">
        <v>0</v>
      </c>
      <c r="N133" s="568">
        <v>0</v>
      </c>
      <c r="O133" s="570">
        <v>6000</v>
      </c>
      <c r="P133" s="571">
        <f t="shared" si="45"/>
        <v>6850</v>
      </c>
      <c r="Q133" s="568">
        <v>0</v>
      </c>
      <c r="R133" s="568">
        <v>0</v>
      </c>
      <c r="S133" s="568">
        <v>0</v>
      </c>
      <c r="T133" s="568">
        <v>0</v>
      </c>
      <c r="U133" s="568">
        <v>0</v>
      </c>
      <c r="V133" s="568">
        <v>0</v>
      </c>
      <c r="W133" s="568">
        <v>0</v>
      </c>
      <c r="X133" s="568">
        <v>0</v>
      </c>
      <c r="Y133" s="568">
        <v>0</v>
      </c>
      <c r="Z133" s="568">
        <v>0</v>
      </c>
      <c r="AA133" s="568">
        <v>0</v>
      </c>
      <c r="AB133" s="568">
        <v>0</v>
      </c>
      <c r="AC133" s="568">
        <v>0</v>
      </c>
      <c r="AD133" s="568">
        <v>0</v>
      </c>
      <c r="AE133" s="568">
        <v>6850</v>
      </c>
      <c r="AF133" s="572">
        <f t="shared" si="46"/>
        <v>800</v>
      </c>
      <c r="AG133" s="568">
        <v>400</v>
      </c>
      <c r="AH133" s="568">
        <v>400</v>
      </c>
      <c r="AI133" s="387">
        <f t="shared" si="26"/>
        <v>0</v>
      </c>
      <c r="AJ133" s="496"/>
    </row>
    <row r="134" spans="1:36" s="393" customFormat="1" ht="14.25">
      <c r="A134" s="397" t="s">
        <v>1753</v>
      </c>
      <c r="B134" s="394" t="s">
        <v>1754</v>
      </c>
      <c r="C134" s="497" t="s">
        <v>1774</v>
      </c>
      <c r="D134" s="396">
        <v>3</v>
      </c>
      <c r="E134" s="568">
        <v>169052</v>
      </c>
      <c r="F134" s="568">
        <v>115789</v>
      </c>
      <c r="G134" s="568">
        <v>53263</v>
      </c>
      <c r="H134" s="569">
        <f t="shared" si="44"/>
        <v>50422</v>
      </c>
      <c r="I134" s="568">
        <v>0</v>
      </c>
      <c r="J134" s="568">
        <v>0</v>
      </c>
      <c r="K134" s="568">
        <v>0</v>
      </c>
      <c r="L134" s="568">
        <v>0</v>
      </c>
      <c r="M134" s="568">
        <v>0</v>
      </c>
      <c r="N134" s="568">
        <v>0</v>
      </c>
      <c r="O134" s="570">
        <v>50422</v>
      </c>
      <c r="P134" s="571">
        <f t="shared" si="45"/>
        <v>108594</v>
      </c>
      <c r="Q134" s="568">
        <v>0</v>
      </c>
      <c r="R134" s="568">
        <v>0</v>
      </c>
      <c r="S134" s="568">
        <v>0</v>
      </c>
      <c r="T134" s="568">
        <v>0</v>
      </c>
      <c r="U134" s="568">
        <v>0</v>
      </c>
      <c r="V134" s="568">
        <v>0</v>
      </c>
      <c r="W134" s="568">
        <v>0</v>
      </c>
      <c r="X134" s="568">
        <v>0</v>
      </c>
      <c r="Y134" s="568">
        <v>0</v>
      </c>
      <c r="Z134" s="568">
        <v>0</v>
      </c>
      <c r="AA134" s="568">
        <v>0</v>
      </c>
      <c r="AB134" s="568">
        <v>0</v>
      </c>
      <c r="AC134" s="568">
        <v>0</v>
      </c>
      <c r="AD134" s="568">
        <v>0</v>
      </c>
      <c r="AE134" s="568">
        <v>108594</v>
      </c>
      <c r="AF134" s="572">
        <f t="shared" si="46"/>
        <v>10036</v>
      </c>
      <c r="AG134" s="568">
        <v>5171</v>
      </c>
      <c r="AH134" s="568">
        <v>4865</v>
      </c>
      <c r="AI134" s="387">
        <f t="shared" ref="AI134:AI142" si="47">IF(AND(+F134+G134=E134,AF134+P134+H134=E134,SUM(I134:O134,Q134:AE134,AG134:AH134)=E134),0,FALSE)</f>
        <v>0</v>
      </c>
      <c r="AJ134" s="496"/>
    </row>
    <row r="135" spans="1:36" s="393" customFormat="1" ht="14.25">
      <c r="A135" s="397" t="s">
        <v>1753</v>
      </c>
      <c r="B135" s="394" t="s">
        <v>1754</v>
      </c>
      <c r="C135" s="497" t="s">
        <v>1775</v>
      </c>
      <c r="D135" s="396">
        <v>3</v>
      </c>
      <c r="E135" s="568">
        <v>74047</v>
      </c>
      <c r="F135" s="568">
        <v>59177</v>
      </c>
      <c r="G135" s="568">
        <v>14870</v>
      </c>
      <c r="H135" s="569">
        <f t="shared" si="44"/>
        <v>37747</v>
      </c>
      <c r="I135" s="568">
        <v>0</v>
      </c>
      <c r="J135" s="568">
        <v>0</v>
      </c>
      <c r="K135" s="568">
        <v>0</v>
      </c>
      <c r="L135" s="568">
        <v>0</v>
      </c>
      <c r="M135" s="568">
        <v>0</v>
      </c>
      <c r="N135" s="568">
        <v>0</v>
      </c>
      <c r="O135" s="570">
        <v>37747</v>
      </c>
      <c r="P135" s="571">
        <f t="shared" si="45"/>
        <v>34120</v>
      </c>
      <c r="Q135" s="568">
        <v>0</v>
      </c>
      <c r="R135" s="568">
        <v>0</v>
      </c>
      <c r="S135" s="568">
        <v>0</v>
      </c>
      <c r="T135" s="568">
        <v>0</v>
      </c>
      <c r="U135" s="568">
        <v>0</v>
      </c>
      <c r="V135" s="568">
        <v>0</v>
      </c>
      <c r="W135" s="568">
        <v>0</v>
      </c>
      <c r="X135" s="568">
        <v>0</v>
      </c>
      <c r="Y135" s="568">
        <v>0</v>
      </c>
      <c r="Z135" s="568">
        <v>0</v>
      </c>
      <c r="AA135" s="568">
        <v>0</v>
      </c>
      <c r="AB135" s="568">
        <v>0</v>
      </c>
      <c r="AC135" s="568">
        <v>0</v>
      </c>
      <c r="AD135" s="568">
        <v>0</v>
      </c>
      <c r="AE135" s="568">
        <v>34120</v>
      </c>
      <c r="AF135" s="572">
        <f t="shared" si="46"/>
        <v>2180</v>
      </c>
      <c r="AG135" s="568">
        <v>1130</v>
      </c>
      <c r="AH135" s="568">
        <v>1050</v>
      </c>
      <c r="AI135" s="387">
        <f t="shared" si="47"/>
        <v>0</v>
      </c>
      <c r="AJ135" s="496"/>
    </row>
    <row r="136" spans="1:36" s="393" customFormat="1" ht="14.25">
      <c r="A136" s="397" t="s">
        <v>1753</v>
      </c>
      <c r="B136" s="394" t="s">
        <v>1754</v>
      </c>
      <c r="C136" s="497" t="s">
        <v>1776</v>
      </c>
      <c r="D136" s="396">
        <v>3</v>
      </c>
      <c r="E136" s="568">
        <v>85200</v>
      </c>
      <c r="F136" s="568">
        <v>83200</v>
      </c>
      <c r="G136" s="568">
        <v>2000</v>
      </c>
      <c r="H136" s="569">
        <f t="shared" si="44"/>
        <v>23432</v>
      </c>
      <c r="I136" s="568">
        <v>0</v>
      </c>
      <c r="J136" s="568">
        <v>0</v>
      </c>
      <c r="K136" s="568">
        <v>0</v>
      </c>
      <c r="L136" s="568">
        <v>0</v>
      </c>
      <c r="M136" s="568">
        <v>0</v>
      </c>
      <c r="N136" s="568">
        <v>0</v>
      </c>
      <c r="O136" s="570">
        <v>23432</v>
      </c>
      <c r="P136" s="571">
        <f t="shared" si="45"/>
        <v>60375</v>
      </c>
      <c r="Q136" s="568">
        <v>0</v>
      </c>
      <c r="R136" s="568">
        <v>0</v>
      </c>
      <c r="S136" s="568">
        <v>0</v>
      </c>
      <c r="T136" s="568">
        <v>0</v>
      </c>
      <c r="U136" s="568">
        <v>0</v>
      </c>
      <c r="V136" s="568">
        <v>0</v>
      </c>
      <c r="W136" s="568">
        <v>0</v>
      </c>
      <c r="X136" s="568">
        <v>0</v>
      </c>
      <c r="Y136" s="568">
        <v>0</v>
      </c>
      <c r="Z136" s="568">
        <v>0</v>
      </c>
      <c r="AA136" s="568">
        <v>0</v>
      </c>
      <c r="AB136" s="568">
        <v>0</v>
      </c>
      <c r="AC136" s="568">
        <v>0</v>
      </c>
      <c r="AD136" s="568">
        <v>0</v>
      </c>
      <c r="AE136" s="568">
        <v>60375</v>
      </c>
      <c r="AF136" s="572">
        <f t="shared" si="46"/>
        <v>1393</v>
      </c>
      <c r="AG136" s="568">
        <v>1300</v>
      </c>
      <c r="AH136" s="568">
        <v>93</v>
      </c>
      <c r="AI136" s="387">
        <f t="shared" si="47"/>
        <v>0</v>
      </c>
      <c r="AJ136" s="496"/>
    </row>
    <row r="137" spans="1:36" s="393" customFormat="1" ht="14.25">
      <c r="A137" s="397" t="s">
        <v>1753</v>
      </c>
      <c r="B137" s="394" t="s">
        <v>1754</v>
      </c>
      <c r="C137" s="497" t="s">
        <v>1777</v>
      </c>
      <c r="D137" s="396">
        <v>3</v>
      </c>
      <c r="E137" s="568">
        <v>17271</v>
      </c>
      <c r="F137" s="568">
        <v>12521</v>
      </c>
      <c r="G137" s="568">
        <v>4750</v>
      </c>
      <c r="H137" s="569">
        <f t="shared" si="44"/>
        <v>6910</v>
      </c>
      <c r="I137" s="568">
        <v>0</v>
      </c>
      <c r="J137" s="568">
        <v>0</v>
      </c>
      <c r="K137" s="568">
        <v>0</v>
      </c>
      <c r="L137" s="568">
        <v>0</v>
      </c>
      <c r="M137" s="568">
        <v>0</v>
      </c>
      <c r="N137" s="568">
        <v>0</v>
      </c>
      <c r="O137" s="570">
        <v>6910</v>
      </c>
      <c r="P137" s="571">
        <f t="shared" si="45"/>
        <v>9327</v>
      </c>
      <c r="Q137" s="568">
        <v>0</v>
      </c>
      <c r="R137" s="568">
        <v>0</v>
      </c>
      <c r="S137" s="568">
        <v>0</v>
      </c>
      <c r="T137" s="568">
        <v>0</v>
      </c>
      <c r="U137" s="568">
        <v>0</v>
      </c>
      <c r="V137" s="568">
        <v>0</v>
      </c>
      <c r="W137" s="568">
        <v>0</v>
      </c>
      <c r="X137" s="568">
        <v>0</v>
      </c>
      <c r="Y137" s="568">
        <v>0</v>
      </c>
      <c r="Z137" s="568">
        <v>0</v>
      </c>
      <c r="AA137" s="568">
        <v>0</v>
      </c>
      <c r="AB137" s="568">
        <v>0</v>
      </c>
      <c r="AC137" s="568">
        <v>0</v>
      </c>
      <c r="AD137" s="568">
        <v>0</v>
      </c>
      <c r="AE137" s="568">
        <v>9327</v>
      </c>
      <c r="AF137" s="572">
        <f t="shared" si="46"/>
        <v>1034</v>
      </c>
      <c r="AG137" s="568">
        <v>517</v>
      </c>
      <c r="AH137" s="568">
        <v>517</v>
      </c>
      <c r="AI137" s="387">
        <f t="shared" si="47"/>
        <v>0</v>
      </c>
      <c r="AJ137" s="496"/>
    </row>
    <row r="138" spans="1:36" s="393" customFormat="1" ht="14.25">
      <c r="A138" s="397" t="s">
        <v>1753</v>
      </c>
      <c r="B138" s="394" t="s">
        <v>1754</v>
      </c>
      <c r="C138" s="497" t="s">
        <v>1778</v>
      </c>
      <c r="D138" s="396">
        <v>3</v>
      </c>
      <c r="E138" s="568">
        <v>86834</v>
      </c>
      <c r="F138" s="568">
        <v>56134</v>
      </c>
      <c r="G138" s="568">
        <v>30700</v>
      </c>
      <c r="H138" s="569">
        <f t="shared" si="44"/>
        <v>19765</v>
      </c>
      <c r="I138" s="568">
        <v>0</v>
      </c>
      <c r="J138" s="568">
        <v>0</v>
      </c>
      <c r="K138" s="568">
        <v>0</v>
      </c>
      <c r="L138" s="568">
        <v>0</v>
      </c>
      <c r="M138" s="568">
        <v>0</v>
      </c>
      <c r="N138" s="568">
        <v>0</v>
      </c>
      <c r="O138" s="570">
        <v>19765</v>
      </c>
      <c r="P138" s="571">
        <f t="shared" si="45"/>
        <v>62719</v>
      </c>
      <c r="Q138" s="568">
        <v>0</v>
      </c>
      <c r="R138" s="568">
        <v>0</v>
      </c>
      <c r="S138" s="568">
        <v>0</v>
      </c>
      <c r="T138" s="568">
        <v>0</v>
      </c>
      <c r="U138" s="568">
        <v>0</v>
      </c>
      <c r="V138" s="568">
        <v>0</v>
      </c>
      <c r="W138" s="568">
        <v>0</v>
      </c>
      <c r="X138" s="568">
        <v>0</v>
      </c>
      <c r="Y138" s="568">
        <v>0</v>
      </c>
      <c r="Z138" s="568">
        <v>0</v>
      </c>
      <c r="AA138" s="568">
        <v>0</v>
      </c>
      <c r="AB138" s="568">
        <v>0</v>
      </c>
      <c r="AC138" s="568">
        <v>0</v>
      </c>
      <c r="AD138" s="568">
        <v>0</v>
      </c>
      <c r="AE138" s="568">
        <v>62719</v>
      </c>
      <c r="AF138" s="572">
        <f t="shared" si="46"/>
        <v>4350</v>
      </c>
      <c r="AG138" s="568">
        <v>2175</v>
      </c>
      <c r="AH138" s="568">
        <v>2175</v>
      </c>
      <c r="AI138" s="387">
        <f t="shared" si="47"/>
        <v>0</v>
      </c>
      <c r="AJ138" s="496"/>
    </row>
    <row r="139" spans="1:36" s="393" customFormat="1" ht="14.25">
      <c r="A139" s="397" t="s">
        <v>1753</v>
      </c>
      <c r="B139" s="394" t="s">
        <v>1754</v>
      </c>
      <c r="C139" s="497" t="s">
        <v>1779</v>
      </c>
      <c r="D139" s="396">
        <v>3</v>
      </c>
      <c r="E139" s="568">
        <v>7700</v>
      </c>
      <c r="F139" s="568">
        <v>7700</v>
      </c>
      <c r="G139" s="568"/>
      <c r="H139" s="569">
        <f t="shared" si="44"/>
        <v>6400</v>
      </c>
      <c r="I139" s="568">
        <v>1900</v>
      </c>
      <c r="J139" s="568">
        <v>1400</v>
      </c>
      <c r="K139" s="568">
        <v>2100</v>
      </c>
      <c r="L139" s="568">
        <v>1000</v>
      </c>
      <c r="M139" s="568">
        <v>0</v>
      </c>
      <c r="N139" s="568">
        <v>0</v>
      </c>
      <c r="O139" s="570">
        <v>0</v>
      </c>
      <c r="P139" s="571">
        <f t="shared" si="45"/>
        <v>1300</v>
      </c>
      <c r="Q139" s="568">
        <v>0</v>
      </c>
      <c r="R139" s="568">
        <v>0</v>
      </c>
      <c r="S139" s="568">
        <v>0</v>
      </c>
      <c r="T139" s="568">
        <v>0</v>
      </c>
      <c r="U139" s="568">
        <v>0</v>
      </c>
      <c r="V139" s="568">
        <v>0</v>
      </c>
      <c r="W139" s="568">
        <v>0</v>
      </c>
      <c r="X139" s="568">
        <v>0</v>
      </c>
      <c r="Y139" s="568">
        <v>0</v>
      </c>
      <c r="Z139" s="568">
        <v>0</v>
      </c>
      <c r="AA139" s="568">
        <v>0</v>
      </c>
      <c r="AB139" s="568">
        <v>700</v>
      </c>
      <c r="AC139" s="568">
        <v>600</v>
      </c>
      <c r="AD139" s="568">
        <v>0</v>
      </c>
      <c r="AE139" s="568">
        <v>0</v>
      </c>
      <c r="AF139" s="572">
        <f t="shared" si="46"/>
        <v>0</v>
      </c>
      <c r="AG139" s="568">
        <v>0</v>
      </c>
      <c r="AH139" s="568">
        <v>0</v>
      </c>
      <c r="AI139" s="387">
        <f t="shared" si="47"/>
        <v>0</v>
      </c>
      <c r="AJ139" s="496"/>
    </row>
    <row r="140" spans="1:36" s="393" customFormat="1" ht="14.25">
      <c r="A140" s="397" t="s">
        <v>1753</v>
      </c>
      <c r="B140" s="394" t="s">
        <v>1754</v>
      </c>
      <c r="C140" s="497" t="s">
        <v>1780</v>
      </c>
      <c r="D140" s="396">
        <v>3</v>
      </c>
      <c r="E140" s="568">
        <v>100</v>
      </c>
      <c r="F140" s="568">
        <v>100</v>
      </c>
      <c r="G140" s="568"/>
      <c r="H140" s="569">
        <f t="shared" si="44"/>
        <v>100</v>
      </c>
      <c r="I140" s="568">
        <v>0</v>
      </c>
      <c r="J140" s="568">
        <v>100</v>
      </c>
      <c r="K140" s="568">
        <v>0</v>
      </c>
      <c r="L140" s="568">
        <v>0</v>
      </c>
      <c r="M140" s="568">
        <v>0</v>
      </c>
      <c r="N140" s="568">
        <v>0</v>
      </c>
      <c r="O140" s="570">
        <v>0</v>
      </c>
      <c r="P140" s="571">
        <f t="shared" si="45"/>
        <v>0</v>
      </c>
      <c r="Q140" s="568">
        <v>0</v>
      </c>
      <c r="R140" s="568">
        <v>0</v>
      </c>
      <c r="S140" s="568">
        <v>0</v>
      </c>
      <c r="T140" s="568">
        <v>0</v>
      </c>
      <c r="U140" s="568">
        <v>0</v>
      </c>
      <c r="V140" s="568">
        <v>0</v>
      </c>
      <c r="W140" s="568">
        <v>0</v>
      </c>
      <c r="X140" s="568">
        <v>0</v>
      </c>
      <c r="Y140" s="568">
        <v>0</v>
      </c>
      <c r="Z140" s="568">
        <v>0</v>
      </c>
      <c r="AA140" s="568">
        <v>0</v>
      </c>
      <c r="AB140" s="568">
        <v>0</v>
      </c>
      <c r="AC140" s="568">
        <v>0</v>
      </c>
      <c r="AD140" s="568">
        <v>0</v>
      </c>
      <c r="AE140" s="568">
        <v>0</v>
      </c>
      <c r="AF140" s="572">
        <f t="shared" si="46"/>
        <v>0</v>
      </c>
      <c r="AG140" s="568">
        <v>0</v>
      </c>
      <c r="AH140" s="568">
        <v>0</v>
      </c>
      <c r="AI140" s="387">
        <f t="shared" si="47"/>
        <v>0</v>
      </c>
      <c r="AJ140" s="496"/>
    </row>
    <row r="141" spans="1:36" s="393" customFormat="1" ht="14.25">
      <c r="A141" s="397" t="s">
        <v>1753</v>
      </c>
      <c r="B141" s="394" t="s">
        <v>1754</v>
      </c>
      <c r="C141" s="497" t="s">
        <v>1781</v>
      </c>
      <c r="D141" s="396">
        <v>3</v>
      </c>
      <c r="E141" s="568">
        <v>8664</v>
      </c>
      <c r="F141" s="568">
        <v>8664</v>
      </c>
      <c r="G141" s="568"/>
      <c r="H141" s="569">
        <f t="shared" si="44"/>
        <v>5600</v>
      </c>
      <c r="I141" s="568">
        <v>2400</v>
      </c>
      <c r="J141" s="568">
        <v>3200</v>
      </c>
      <c r="K141" s="568">
        <v>0</v>
      </c>
      <c r="L141" s="568">
        <v>0</v>
      </c>
      <c r="M141" s="568">
        <v>0</v>
      </c>
      <c r="N141" s="568">
        <v>0</v>
      </c>
      <c r="O141" s="570">
        <v>0</v>
      </c>
      <c r="P141" s="571">
        <f t="shared" si="45"/>
        <v>1400</v>
      </c>
      <c r="Q141" s="568">
        <v>0</v>
      </c>
      <c r="R141" s="568">
        <v>0</v>
      </c>
      <c r="S141" s="568">
        <v>0</v>
      </c>
      <c r="T141" s="568">
        <v>1400</v>
      </c>
      <c r="U141" s="568">
        <v>0</v>
      </c>
      <c r="V141" s="568">
        <v>0</v>
      </c>
      <c r="W141" s="568">
        <v>0</v>
      </c>
      <c r="X141" s="568">
        <v>0</v>
      </c>
      <c r="Y141" s="568">
        <v>0</v>
      </c>
      <c r="Z141" s="568">
        <v>0</v>
      </c>
      <c r="AA141" s="568">
        <v>0</v>
      </c>
      <c r="AB141" s="568">
        <v>0</v>
      </c>
      <c r="AC141" s="568">
        <v>0</v>
      </c>
      <c r="AD141" s="568">
        <v>0</v>
      </c>
      <c r="AE141" s="568">
        <v>0</v>
      </c>
      <c r="AF141" s="572">
        <f t="shared" si="46"/>
        <v>1664</v>
      </c>
      <c r="AG141" s="568">
        <v>1664</v>
      </c>
      <c r="AH141" s="568">
        <v>0</v>
      </c>
      <c r="AI141" s="387">
        <f t="shared" si="47"/>
        <v>0</v>
      </c>
      <c r="AJ141" s="496"/>
    </row>
    <row r="142" spans="1:36" s="393" customFormat="1" ht="14.25">
      <c r="A142" s="397" t="s">
        <v>1753</v>
      </c>
      <c r="B142" s="394" t="s">
        <v>1754</v>
      </c>
      <c r="C142" s="497" t="s">
        <v>1782</v>
      </c>
      <c r="D142" s="396">
        <v>3</v>
      </c>
      <c r="E142" s="568">
        <v>16726</v>
      </c>
      <c r="F142" s="568"/>
      <c r="G142" s="568">
        <v>16726</v>
      </c>
      <c r="H142" s="569">
        <f t="shared" si="44"/>
        <v>16726</v>
      </c>
      <c r="I142" s="568">
        <v>0</v>
      </c>
      <c r="J142" s="568">
        <v>16726</v>
      </c>
      <c r="K142" s="568">
        <v>0</v>
      </c>
      <c r="L142" s="568">
        <v>0</v>
      </c>
      <c r="M142" s="568">
        <v>0</v>
      </c>
      <c r="N142" s="568">
        <v>0</v>
      </c>
      <c r="O142" s="570">
        <v>0</v>
      </c>
      <c r="P142" s="571">
        <f t="shared" si="45"/>
        <v>0</v>
      </c>
      <c r="Q142" s="568">
        <v>0</v>
      </c>
      <c r="R142" s="568">
        <v>0</v>
      </c>
      <c r="S142" s="568">
        <v>0</v>
      </c>
      <c r="T142" s="568">
        <v>0</v>
      </c>
      <c r="U142" s="568">
        <v>0</v>
      </c>
      <c r="V142" s="568">
        <v>0</v>
      </c>
      <c r="W142" s="568">
        <v>0</v>
      </c>
      <c r="X142" s="568">
        <v>0</v>
      </c>
      <c r="Y142" s="568">
        <v>0</v>
      </c>
      <c r="Z142" s="568">
        <v>0</v>
      </c>
      <c r="AA142" s="568">
        <v>0</v>
      </c>
      <c r="AB142" s="568">
        <v>0</v>
      </c>
      <c r="AC142" s="568">
        <v>0</v>
      </c>
      <c r="AD142" s="568">
        <v>0</v>
      </c>
      <c r="AE142" s="568">
        <v>0</v>
      </c>
      <c r="AF142" s="572">
        <f t="shared" si="46"/>
        <v>0</v>
      </c>
      <c r="AG142" s="568">
        <v>0</v>
      </c>
      <c r="AH142" s="568">
        <v>0</v>
      </c>
      <c r="AI142" s="387">
        <f t="shared" si="47"/>
        <v>0</v>
      </c>
      <c r="AJ142" s="496"/>
    </row>
    <row r="143" spans="1:36" s="410" customFormat="1" ht="21.6" customHeight="1">
      <c r="A143" s="405" t="s">
        <v>1254</v>
      </c>
      <c r="B143" s="406"/>
      <c r="C143" s="407"/>
      <c r="D143" s="408"/>
      <c r="E143" s="409">
        <f t="shared" ref="E143:AH143" si="48">SUM(E144:E152)</f>
        <v>47489254</v>
      </c>
      <c r="F143" s="409">
        <f t="shared" si="48"/>
        <v>37606755</v>
      </c>
      <c r="G143" s="409">
        <f t="shared" si="48"/>
        <v>9882499</v>
      </c>
      <c r="H143" s="409">
        <f t="shared" si="48"/>
        <v>29716072</v>
      </c>
      <c r="I143" s="409">
        <f t="shared" si="48"/>
        <v>5717375</v>
      </c>
      <c r="J143" s="409">
        <f t="shared" si="48"/>
        <v>1799132</v>
      </c>
      <c r="K143" s="409">
        <f t="shared" si="48"/>
        <v>4251468</v>
      </c>
      <c r="L143" s="409">
        <f t="shared" si="48"/>
        <v>6454612</v>
      </c>
      <c r="M143" s="409">
        <f t="shared" si="48"/>
        <v>1938744</v>
      </c>
      <c r="N143" s="409">
        <f t="shared" si="48"/>
        <v>2559675</v>
      </c>
      <c r="O143" s="409">
        <f t="shared" si="48"/>
        <v>6995066</v>
      </c>
      <c r="P143" s="409">
        <f t="shared" si="48"/>
        <v>17240587</v>
      </c>
      <c r="Q143" s="409">
        <f t="shared" si="48"/>
        <v>722042</v>
      </c>
      <c r="R143" s="409">
        <f t="shared" si="48"/>
        <v>846960</v>
      </c>
      <c r="S143" s="409">
        <f t="shared" si="48"/>
        <v>982660</v>
      </c>
      <c r="T143" s="409">
        <f t="shared" si="48"/>
        <v>1308641</v>
      </c>
      <c r="U143" s="409">
        <f t="shared" si="48"/>
        <v>848760</v>
      </c>
      <c r="V143" s="409">
        <f t="shared" si="48"/>
        <v>946098</v>
      </c>
      <c r="W143" s="409">
        <f t="shared" si="48"/>
        <v>873808</v>
      </c>
      <c r="X143" s="409">
        <f t="shared" si="48"/>
        <v>1209664</v>
      </c>
      <c r="Y143" s="409">
        <f t="shared" si="48"/>
        <v>749908</v>
      </c>
      <c r="Z143" s="409">
        <f t="shared" si="48"/>
        <v>795167</v>
      </c>
      <c r="AA143" s="409">
        <f t="shared" si="48"/>
        <v>350722</v>
      </c>
      <c r="AB143" s="409">
        <f t="shared" si="48"/>
        <v>594458</v>
      </c>
      <c r="AC143" s="409">
        <f t="shared" si="48"/>
        <v>628028</v>
      </c>
      <c r="AD143" s="409">
        <f t="shared" si="48"/>
        <v>418612</v>
      </c>
      <c r="AE143" s="409">
        <f t="shared" si="48"/>
        <v>5965059</v>
      </c>
      <c r="AF143" s="409">
        <f t="shared" si="48"/>
        <v>532595</v>
      </c>
      <c r="AG143" s="409">
        <f t="shared" si="48"/>
        <v>340994</v>
      </c>
      <c r="AH143" s="409">
        <f t="shared" si="48"/>
        <v>191601</v>
      </c>
      <c r="AI143" s="387">
        <f t="shared" ref="AI143:AI186" si="49">IF(AND(+F143+G143=E143,AF143+P143+H143=E143,SUM(I143:O143,Q143:AE143,AG143:AH143)=E143),0,FALSE)</f>
        <v>0</v>
      </c>
      <c r="AJ143" s="496"/>
    </row>
    <row r="144" spans="1:36" s="393" customFormat="1" ht="14.25">
      <c r="A144" s="397" t="s">
        <v>1753</v>
      </c>
      <c r="B144" s="394" t="s">
        <v>1783</v>
      </c>
      <c r="C144" s="497" t="s">
        <v>1784</v>
      </c>
      <c r="D144" s="396">
        <v>3</v>
      </c>
      <c r="E144" s="568">
        <f t="shared" ref="E144:E152" si="50">SUM(H144,P144,AF144)</f>
        <v>2161913</v>
      </c>
      <c r="F144" s="568">
        <v>1268383</v>
      </c>
      <c r="G144" s="568">
        <v>893530</v>
      </c>
      <c r="H144" s="569">
        <f t="shared" ref="H144:H152" si="51">SUM(I144:O144)</f>
        <v>1575236</v>
      </c>
      <c r="I144" s="568">
        <v>297077</v>
      </c>
      <c r="J144" s="568">
        <v>186543</v>
      </c>
      <c r="K144" s="568">
        <v>237240</v>
      </c>
      <c r="L144" s="568">
        <v>531064</v>
      </c>
      <c r="M144" s="568">
        <v>86081</v>
      </c>
      <c r="N144" s="568">
        <v>237231</v>
      </c>
      <c r="O144" s="570">
        <v>0</v>
      </c>
      <c r="P144" s="571">
        <f t="shared" ref="P144:P152" si="52">SUM(Q144:AE144)</f>
        <v>563657</v>
      </c>
      <c r="Q144" s="568">
        <v>34378</v>
      </c>
      <c r="R144" s="568">
        <v>34737</v>
      </c>
      <c r="S144" s="568">
        <v>64723</v>
      </c>
      <c r="T144" s="568">
        <v>49839</v>
      </c>
      <c r="U144" s="568">
        <v>31027</v>
      </c>
      <c r="V144" s="568">
        <v>42753</v>
      </c>
      <c r="W144" s="568">
        <v>38399</v>
      </c>
      <c r="X144" s="568">
        <v>71836</v>
      </c>
      <c r="Y144" s="568">
        <v>36631</v>
      </c>
      <c r="Z144" s="568">
        <v>25347</v>
      </c>
      <c r="AA144" s="568">
        <v>6629</v>
      </c>
      <c r="AB144" s="568">
        <v>73387</v>
      </c>
      <c r="AC144" s="568">
        <v>46524</v>
      </c>
      <c r="AD144" s="568">
        <v>7447</v>
      </c>
      <c r="AE144" s="568">
        <v>0</v>
      </c>
      <c r="AF144" s="572">
        <f t="shared" ref="AF144:AF152" si="53">SUM(AG144:AH144)</f>
        <v>23020</v>
      </c>
      <c r="AG144" s="568">
        <v>11515</v>
      </c>
      <c r="AH144" s="568">
        <v>11505</v>
      </c>
      <c r="AI144" s="387">
        <f t="shared" si="49"/>
        <v>0</v>
      </c>
      <c r="AJ144" s="496"/>
    </row>
    <row r="145" spans="1:36" s="393" customFormat="1" ht="14.25">
      <c r="A145" s="397" t="s">
        <v>1753</v>
      </c>
      <c r="B145" s="394" t="s">
        <v>1783</v>
      </c>
      <c r="C145" s="497" t="s">
        <v>1785</v>
      </c>
      <c r="D145" s="396">
        <v>3</v>
      </c>
      <c r="E145" s="568">
        <f t="shared" si="50"/>
        <v>21807915</v>
      </c>
      <c r="F145" s="568">
        <v>14357986</v>
      </c>
      <c r="G145" s="568">
        <v>7449929</v>
      </c>
      <c r="H145" s="569">
        <f t="shared" si="51"/>
        <v>10576413</v>
      </c>
      <c r="I145" s="568">
        <v>746268</v>
      </c>
      <c r="J145" s="568">
        <v>665007</v>
      </c>
      <c r="K145" s="568">
        <v>795855</v>
      </c>
      <c r="L145" s="568">
        <v>788296</v>
      </c>
      <c r="M145" s="568">
        <v>889518</v>
      </c>
      <c r="N145" s="568">
        <v>921952</v>
      </c>
      <c r="O145" s="570">
        <v>5769517</v>
      </c>
      <c r="P145" s="571">
        <f t="shared" si="52"/>
        <v>10869449</v>
      </c>
      <c r="Q145" s="568">
        <v>357148</v>
      </c>
      <c r="R145" s="568">
        <v>395129</v>
      </c>
      <c r="S145" s="568">
        <v>535769</v>
      </c>
      <c r="T145" s="568">
        <v>575518</v>
      </c>
      <c r="U145" s="568">
        <v>459736</v>
      </c>
      <c r="V145" s="568">
        <v>523987</v>
      </c>
      <c r="W145" s="568">
        <v>516092</v>
      </c>
      <c r="X145" s="568">
        <v>607978</v>
      </c>
      <c r="Y145" s="568">
        <v>439307</v>
      </c>
      <c r="Z145" s="568">
        <v>480514</v>
      </c>
      <c r="AA145" s="568">
        <v>207598</v>
      </c>
      <c r="AB145" s="568">
        <v>262759</v>
      </c>
      <c r="AC145" s="568">
        <v>242656</v>
      </c>
      <c r="AD145" s="568">
        <v>183463</v>
      </c>
      <c r="AE145" s="568">
        <v>5081795</v>
      </c>
      <c r="AF145" s="572">
        <f t="shared" si="53"/>
        <v>362053</v>
      </c>
      <c r="AG145" s="568">
        <v>242857</v>
      </c>
      <c r="AH145" s="568">
        <v>119196</v>
      </c>
      <c r="AI145" s="387">
        <f t="shared" si="49"/>
        <v>0</v>
      </c>
      <c r="AJ145" s="496"/>
    </row>
    <row r="146" spans="1:36" s="393" customFormat="1" ht="14.25">
      <c r="A146" s="397" t="s">
        <v>1753</v>
      </c>
      <c r="B146" s="394" t="s">
        <v>1783</v>
      </c>
      <c r="C146" s="497" t="s">
        <v>1786</v>
      </c>
      <c r="D146" s="396">
        <v>3</v>
      </c>
      <c r="E146" s="568">
        <f t="shared" si="50"/>
        <v>10261103</v>
      </c>
      <c r="F146" s="568">
        <v>9496233</v>
      </c>
      <c r="G146" s="568">
        <v>764870</v>
      </c>
      <c r="H146" s="569">
        <f t="shared" si="51"/>
        <v>6547165</v>
      </c>
      <c r="I146" s="568">
        <v>1340100</v>
      </c>
      <c r="J146" s="568">
        <v>658737</v>
      </c>
      <c r="K146" s="568">
        <v>864580</v>
      </c>
      <c r="L146" s="568">
        <v>1134751</v>
      </c>
      <c r="M146" s="568">
        <v>682424</v>
      </c>
      <c r="N146" s="568">
        <v>1119173</v>
      </c>
      <c r="O146" s="570">
        <v>747400</v>
      </c>
      <c r="P146" s="571">
        <f t="shared" si="52"/>
        <v>3678917</v>
      </c>
      <c r="Q146" s="568">
        <v>213741</v>
      </c>
      <c r="R146" s="568">
        <v>301422</v>
      </c>
      <c r="S146" s="568">
        <v>262406</v>
      </c>
      <c r="T146" s="568">
        <v>531777</v>
      </c>
      <c r="U146" s="568">
        <v>229454</v>
      </c>
      <c r="V146" s="568">
        <v>259145</v>
      </c>
      <c r="W146" s="568">
        <v>214086</v>
      </c>
      <c r="X146" s="568">
        <v>361278</v>
      </c>
      <c r="Y146" s="568">
        <v>149505</v>
      </c>
      <c r="Z146" s="568">
        <v>160675</v>
      </c>
      <c r="AA146" s="568">
        <v>56710</v>
      </c>
      <c r="AB146" s="568">
        <v>156654</v>
      </c>
      <c r="AC146" s="568">
        <v>231984</v>
      </c>
      <c r="AD146" s="568">
        <v>144080</v>
      </c>
      <c r="AE146" s="568">
        <v>406000</v>
      </c>
      <c r="AF146" s="572">
        <f t="shared" si="53"/>
        <v>35021</v>
      </c>
      <c r="AG146" s="568">
        <v>26676</v>
      </c>
      <c r="AH146" s="568">
        <v>8345</v>
      </c>
      <c r="AI146" s="387">
        <f t="shared" si="49"/>
        <v>0</v>
      </c>
      <c r="AJ146" s="496"/>
    </row>
    <row r="147" spans="1:36" s="393" customFormat="1" ht="14.25">
      <c r="A147" s="397" t="s">
        <v>1753</v>
      </c>
      <c r="B147" s="394" t="s">
        <v>1783</v>
      </c>
      <c r="C147" s="497" t="s">
        <v>1787</v>
      </c>
      <c r="D147" s="396">
        <v>3</v>
      </c>
      <c r="E147" s="568">
        <f t="shared" si="50"/>
        <v>339743</v>
      </c>
      <c r="F147" s="568">
        <v>280548</v>
      </c>
      <c r="G147" s="568">
        <v>59195</v>
      </c>
      <c r="H147" s="569">
        <f t="shared" si="51"/>
        <v>160253</v>
      </c>
      <c r="I147" s="568">
        <v>35095</v>
      </c>
      <c r="J147" s="568">
        <v>18145</v>
      </c>
      <c r="K147" s="568">
        <v>26469</v>
      </c>
      <c r="L147" s="568">
        <v>21056</v>
      </c>
      <c r="M147" s="568">
        <v>10000</v>
      </c>
      <c r="N147" s="568">
        <v>12188</v>
      </c>
      <c r="O147" s="570">
        <v>37300</v>
      </c>
      <c r="P147" s="571">
        <f t="shared" si="52"/>
        <v>179490</v>
      </c>
      <c r="Q147" s="568">
        <v>7976</v>
      </c>
      <c r="R147" s="568">
        <v>5460</v>
      </c>
      <c r="S147" s="568">
        <v>3500</v>
      </c>
      <c r="T147" s="568">
        <v>1500</v>
      </c>
      <c r="U147" s="568">
        <v>14000</v>
      </c>
      <c r="V147" s="568">
        <v>1700</v>
      </c>
      <c r="W147" s="568">
        <v>1600</v>
      </c>
      <c r="X147" s="568">
        <v>26116</v>
      </c>
      <c r="Y147" s="568">
        <v>23555</v>
      </c>
      <c r="Z147" s="568">
        <v>23333</v>
      </c>
      <c r="AA147" s="568">
        <v>0</v>
      </c>
      <c r="AB147" s="568">
        <v>7250</v>
      </c>
      <c r="AC147" s="568">
        <v>3700</v>
      </c>
      <c r="AD147" s="568">
        <v>1000</v>
      </c>
      <c r="AE147" s="568">
        <v>58800</v>
      </c>
      <c r="AF147" s="572">
        <f t="shared" si="53"/>
        <v>0</v>
      </c>
      <c r="AG147" s="568">
        <v>0</v>
      </c>
      <c r="AH147" s="568">
        <v>0</v>
      </c>
      <c r="AI147" s="387">
        <f t="shared" si="49"/>
        <v>0</v>
      </c>
      <c r="AJ147" s="496"/>
    </row>
    <row r="148" spans="1:36" s="393" customFormat="1" ht="14.25">
      <c r="A148" s="397" t="s">
        <v>1753</v>
      </c>
      <c r="B148" s="394" t="s">
        <v>1754</v>
      </c>
      <c r="C148" s="497" t="s">
        <v>1788</v>
      </c>
      <c r="D148" s="396">
        <v>3</v>
      </c>
      <c r="E148" s="568">
        <f t="shared" si="50"/>
        <v>105510</v>
      </c>
      <c r="F148" s="568">
        <v>105510</v>
      </c>
      <c r="G148" s="568">
        <v>0</v>
      </c>
      <c r="H148" s="569">
        <f t="shared" si="51"/>
        <v>60230</v>
      </c>
      <c r="I148" s="568">
        <v>0</v>
      </c>
      <c r="J148" s="568">
        <v>0</v>
      </c>
      <c r="K148" s="568">
        <v>0</v>
      </c>
      <c r="L148" s="568">
        <v>0</v>
      </c>
      <c r="M148" s="568">
        <v>0</v>
      </c>
      <c r="N148" s="568">
        <v>0</v>
      </c>
      <c r="O148" s="570">
        <v>60230</v>
      </c>
      <c r="P148" s="571">
        <f t="shared" si="52"/>
        <v>43430</v>
      </c>
      <c r="Q148" s="568">
        <v>0</v>
      </c>
      <c r="R148" s="568">
        <v>0</v>
      </c>
      <c r="S148" s="568">
        <v>0</v>
      </c>
      <c r="T148" s="568">
        <v>0</v>
      </c>
      <c r="U148" s="568">
        <v>0</v>
      </c>
      <c r="V148" s="568">
        <v>0</v>
      </c>
      <c r="W148" s="568">
        <v>0</v>
      </c>
      <c r="X148" s="568">
        <v>0</v>
      </c>
      <c r="Y148" s="568">
        <v>0</v>
      </c>
      <c r="Z148" s="568">
        <v>0</v>
      </c>
      <c r="AA148" s="568">
        <v>0</v>
      </c>
      <c r="AB148" s="568">
        <v>0</v>
      </c>
      <c r="AC148" s="568">
        <v>0</v>
      </c>
      <c r="AD148" s="568">
        <v>0</v>
      </c>
      <c r="AE148" s="568">
        <v>43430</v>
      </c>
      <c r="AF148" s="572">
        <f t="shared" si="53"/>
        <v>1850</v>
      </c>
      <c r="AG148" s="568">
        <v>1010</v>
      </c>
      <c r="AH148" s="568">
        <v>840</v>
      </c>
      <c r="AI148" s="387">
        <f t="shared" si="49"/>
        <v>0</v>
      </c>
      <c r="AJ148" s="496"/>
    </row>
    <row r="149" spans="1:36" s="393" customFormat="1" ht="14.25">
      <c r="A149" s="397" t="s">
        <v>1753</v>
      </c>
      <c r="B149" s="394" t="s">
        <v>1783</v>
      </c>
      <c r="C149" s="497" t="s">
        <v>1789</v>
      </c>
      <c r="D149" s="396">
        <v>3</v>
      </c>
      <c r="E149" s="568">
        <f t="shared" si="50"/>
        <v>1350970</v>
      </c>
      <c r="F149" s="568">
        <v>890526</v>
      </c>
      <c r="G149" s="568">
        <v>460444</v>
      </c>
      <c r="H149" s="569">
        <f t="shared" si="51"/>
        <v>726888</v>
      </c>
      <c r="I149" s="568">
        <v>93280</v>
      </c>
      <c r="J149" s="568">
        <v>89805</v>
      </c>
      <c r="K149" s="568">
        <v>80207</v>
      </c>
      <c r="L149" s="568">
        <v>116781</v>
      </c>
      <c r="M149" s="568">
        <v>76990</v>
      </c>
      <c r="N149" s="568">
        <v>84215</v>
      </c>
      <c r="O149" s="570">
        <v>185610</v>
      </c>
      <c r="P149" s="571">
        <f t="shared" si="52"/>
        <v>587185</v>
      </c>
      <c r="Q149" s="568">
        <v>32590</v>
      </c>
      <c r="R149" s="568">
        <v>34245</v>
      </c>
      <c r="S149" s="568">
        <v>37300</v>
      </c>
      <c r="T149" s="568">
        <v>43215</v>
      </c>
      <c r="U149" s="568">
        <v>34195</v>
      </c>
      <c r="V149" s="568">
        <v>35195</v>
      </c>
      <c r="W149" s="568">
        <v>34240</v>
      </c>
      <c r="X149" s="568">
        <v>41055</v>
      </c>
      <c r="Y149" s="568">
        <v>34425</v>
      </c>
      <c r="Z149" s="568">
        <v>35330</v>
      </c>
      <c r="AA149" s="568">
        <v>28305</v>
      </c>
      <c r="AB149" s="568">
        <v>30245</v>
      </c>
      <c r="AC149" s="568">
        <v>32800</v>
      </c>
      <c r="AD149" s="568">
        <v>29940</v>
      </c>
      <c r="AE149" s="568">
        <v>104105</v>
      </c>
      <c r="AF149" s="572">
        <f t="shared" si="53"/>
        <v>36897</v>
      </c>
      <c r="AG149" s="568">
        <v>18751</v>
      </c>
      <c r="AH149" s="568">
        <v>18146</v>
      </c>
      <c r="AI149" s="387">
        <f t="shared" si="49"/>
        <v>0</v>
      </c>
      <c r="AJ149" s="496"/>
    </row>
    <row r="150" spans="1:36" s="393" customFormat="1" ht="14.25">
      <c r="A150" s="397" t="s">
        <v>1753</v>
      </c>
      <c r="B150" s="394" t="s">
        <v>1783</v>
      </c>
      <c r="C150" s="497" t="s">
        <v>1790</v>
      </c>
      <c r="D150" s="396">
        <v>3</v>
      </c>
      <c r="E150" s="568">
        <f t="shared" si="50"/>
        <v>2825334</v>
      </c>
      <c r="F150" s="568">
        <v>2658803</v>
      </c>
      <c r="G150" s="568">
        <v>166531</v>
      </c>
      <c r="H150" s="569">
        <f t="shared" si="51"/>
        <v>1440917</v>
      </c>
      <c r="I150" s="568">
        <v>272426</v>
      </c>
      <c r="J150" s="568">
        <v>158303</v>
      </c>
      <c r="K150" s="568">
        <v>241119</v>
      </c>
      <c r="L150" s="568">
        <v>208285</v>
      </c>
      <c r="M150" s="568">
        <v>193019</v>
      </c>
      <c r="N150" s="568">
        <v>172756</v>
      </c>
      <c r="O150" s="570">
        <v>195009</v>
      </c>
      <c r="P150" s="571">
        <f t="shared" si="52"/>
        <v>1310663</v>
      </c>
      <c r="Q150" s="568">
        <v>75903</v>
      </c>
      <c r="R150" s="568">
        <v>75445</v>
      </c>
      <c r="S150" s="568">
        <v>77956</v>
      </c>
      <c r="T150" s="568">
        <v>105534</v>
      </c>
      <c r="U150" s="568">
        <v>79870</v>
      </c>
      <c r="V150" s="568">
        <v>82664</v>
      </c>
      <c r="W150" s="568">
        <v>68853</v>
      </c>
      <c r="X150" s="568">
        <v>100359</v>
      </c>
      <c r="Y150" s="568">
        <v>66379</v>
      </c>
      <c r="Z150" s="568">
        <v>69826</v>
      </c>
      <c r="AA150" s="568">
        <v>51480</v>
      </c>
      <c r="AB150" s="568">
        <v>63433</v>
      </c>
      <c r="AC150" s="568">
        <v>69350</v>
      </c>
      <c r="AD150" s="568">
        <v>52682</v>
      </c>
      <c r="AE150" s="568">
        <v>270929</v>
      </c>
      <c r="AF150" s="572">
        <f t="shared" si="53"/>
        <v>73754</v>
      </c>
      <c r="AG150" s="568">
        <v>40185</v>
      </c>
      <c r="AH150" s="568">
        <v>33569</v>
      </c>
      <c r="AI150" s="387">
        <f t="shared" si="49"/>
        <v>0</v>
      </c>
      <c r="AJ150" s="496"/>
    </row>
    <row r="151" spans="1:36" s="393" customFormat="1" ht="14.25">
      <c r="A151" s="397" t="s">
        <v>1753</v>
      </c>
      <c r="B151" s="394" t="s">
        <v>1783</v>
      </c>
      <c r="C151" s="497" t="s">
        <v>1791</v>
      </c>
      <c r="D151" s="396">
        <v>3</v>
      </c>
      <c r="E151" s="568">
        <f t="shared" si="50"/>
        <v>83424</v>
      </c>
      <c r="F151" s="568">
        <v>83424</v>
      </c>
      <c r="G151" s="568">
        <v>0</v>
      </c>
      <c r="H151" s="569">
        <f t="shared" si="51"/>
        <v>75628</v>
      </c>
      <c r="I151" s="568">
        <v>16552</v>
      </c>
      <c r="J151" s="568">
        <v>22592</v>
      </c>
      <c r="K151" s="568">
        <v>9424</v>
      </c>
      <c r="L151" s="568">
        <v>14188</v>
      </c>
      <c r="M151" s="568">
        <v>712</v>
      </c>
      <c r="N151" s="568">
        <v>12160</v>
      </c>
      <c r="O151" s="570">
        <v>0</v>
      </c>
      <c r="P151" s="571">
        <f t="shared" si="52"/>
        <v>7796</v>
      </c>
      <c r="Q151" s="568">
        <v>306</v>
      </c>
      <c r="R151" s="568">
        <v>522</v>
      </c>
      <c r="S151" s="568">
        <v>1006</v>
      </c>
      <c r="T151" s="568">
        <v>1258</v>
      </c>
      <c r="U151" s="568">
        <v>478</v>
      </c>
      <c r="V151" s="568">
        <v>654</v>
      </c>
      <c r="W151" s="568">
        <v>538</v>
      </c>
      <c r="X151" s="568">
        <v>1042</v>
      </c>
      <c r="Y151" s="568">
        <v>106</v>
      </c>
      <c r="Z151" s="568">
        <v>142</v>
      </c>
      <c r="AA151" s="568">
        <v>0</v>
      </c>
      <c r="AB151" s="568">
        <v>730</v>
      </c>
      <c r="AC151" s="568">
        <v>1014</v>
      </c>
      <c r="AD151" s="568">
        <v>0</v>
      </c>
      <c r="AE151" s="568">
        <v>0</v>
      </c>
      <c r="AF151" s="572">
        <f t="shared" si="53"/>
        <v>0</v>
      </c>
      <c r="AG151" s="568">
        <v>0</v>
      </c>
      <c r="AH151" s="568">
        <v>0</v>
      </c>
      <c r="AI151" s="387">
        <f t="shared" si="49"/>
        <v>0</v>
      </c>
      <c r="AJ151" s="496"/>
    </row>
    <row r="152" spans="1:36" s="393" customFormat="1" ht="14.25">
      <c r="A152" s="397" t="s">
        <v>1753</v>
      </c>
      <c r="B152" s="394" t="s">
        <v>1783</v>
      </c>
      <c r="C152" s="497" t="s">
        <v>1792</v>
      </c>
      <c r="D152" s="396">
        <v>3</v>
      </c>
      <c r="E152" s="568">
        <f t="shared" si="50"/>
        <v>8553342</v>
      </c>
      <c r="F152" s="568">
        <v>8465342</v>
      </c>
      <c r="G152" s="568">
        <v>88000</v>
      </c>
      <c r="H152" s="569">
        <f t="shared" si="51"/>
        <v>8553342</v>
      </c>
      <c r="I152" s="568">
        <v>2916577</v>
      </c>
      <c r="J152" s="568">
        <v>0</v>
      </c>
      <c r="K152" s="568">
        <v>1996574</v>
      </c>
      <c r="L152" s="568">
        <v>3640191</v>
      </c>
      <c r="M152" s="568">
        <v>0</v>
      </c>
      <c r="N152" s="568">
        <v>0</v>
      </c>
      <c r="O152" s="570">
        <v>0</v>
      </c>
      <c r="P152" s="571">
        <f t="shared" si="52"/>
        <v>0</v>
      </c>
      <c r="Q152" s="568">
        <v>0</v>
      </c>
      <c r="R152" s="568">
        <v>0</v>
      </c>
      <c r="S152" s="568">
        <v>0</v>
      </c>
      <c r="T152" s="568">
        <v>0</v>
      </c>
      <c r="U152" s="568">
        <v>0</v>
      </c>
      <c r="V152" s="568">
        <v>0</v>
      </c>
      <c r="W152" s="568">
        <v>0</v>
      </c>
      <c r="X152" s="568">
        <v>0</v>
      </c>
      <c r="Y152" s="568">
        <v>0</v>
      </c>
      <c r="Z152" s="568">
        <v>0</v>
      </c>
      <c r="AA152" s="568">
        <v>0</v>
      </c>
      <c r="AB152" s="568">
        <v>0</v>
      </c>
      <c r="AC152" s="568">
        <v>0</v>
      </c>
      <c r="AD152" s="568">
        <v>0</v>
      </c>
      <c r="AE152" s="568">
        <v>0</v>
      </c>
      <c r="AF152" s="572">
        <f t="shared" si="53"/>
        <v>0</v>
      </c>
      <c r="AG152" s="568">
        <v>0</v>
      </c>
      <c r="AH152" s="568">
        <v>0</v>
      </c>
      <c r="AI152" s="387">
        <f t="shared" si="49"/>
        <v>0</v>
      </c>
      <c r="AJ152" s="496"/>
    </row>
    <row r="153" spans="1:36" s="410" customFormat="1" ht="21.6" customHeight="1">
      <c r="A153" s="405" t="s">
        <v>1255</v>
      </c>
      <c r="B153" s="406"/>
      <c r="C153" s="407"/>
      <c r="D153" s="408"/>
      <c r="E153" s="409">
        <f t="shared" ref="E153:AH153" si="54">SUM(E154:E159)</f>
        <v>1720252</v>
      </c>
      <c r="F153" s="409">
        <f t="shared" si="54"/>
        <v>1076597</v>
      </c>
      <c r="G153" s="409">
        <f t="shared" si="54"/>
        <v>643655</v>
      </c>
      <c r="H153" s="409">
        <f t="shared" si="54"/>
        <v>525318</v>
      </c>
      <c r="I153" s="409">
        <f t="shared" si="54"/>
        <v>74343</v>
      </c>
      <c r="J153" s="409">
        <f t="shared" si="54"/>
        <v>72937</v>
      </c>
      <c r="K153" s="409">
        <f t="shared" si="54"/>
        <v>114614</v>
      </c>
      <c r="L153" s="409">
        <f t="shared" si="54"/>
        <v>114879</v>
      </c>
      <c r="M153" s="409">
        <f t="shared" si="54"/>
        <v>72387</v>
      </c>
      <c r="N153" s="409">
        <f t="shared" si="54"/>
        <v>76158</v>
      </c>
      <c r="O153" s="409">
        <f t="shared" si="54"/>
        <v>0</v>
      </c>
      <c r="P153" s="409">
        <f t="shared" si="54"/>
        <v>1161977</v>
      </c>
      <c r="Q153" s="409">
        <f t="shared" si="54"/>
        <v>82321</v>
      </c>
      <c r="R153" s="409">
        <f t="shared" si="54"/>
        <v>84130</v>
      </c>
      <c r="S153" s="409">
        <f t="shared" si="54"/>
        <v>83262</v>
      </c>
      <c r="T153" s="409">
        <f t="shared" si="54"/>
        <v>81788</v>
      </c>
      <c r="U153" s="409">
        <f t="shared" si="54"/>
        <v>87035</v>
      </c>
      <c r="V153" s="409">
        <f t="shared" si="54"/>
        <v>81046</v>
      </c>
      <c r="W153" s="409">
        <f t="shared" si="54"/>
        <v>80486</v>
      </c>
      <c r="X153" s="409">
        <f t="shared" si="54"/>
        <v>84810</v>
      </c>
      <c r="Y153" s="409">
        <f t="shared" si="54"/>
        <v>87751</v>
      </c>
      <c r="Z153" s="409">
        <f t="shared" si="54"/>
        <v>87822</v>
      </c>
      <c r="AA153" s="409">
        <f t="shared" si="54"/>
        <v>80736</v>
      </c>
      <c r="AB153" s="409">
        <f t="shared" si="54"/>
        <v>80906</v>
      </c>
      <c r="AC153" s="409">
        <f t="shared" si="54"/>
        <v>79107</v>
      </c>
      <c r="AD153" s="409">
        <f t="shared" si="54"/>
        <v>80777</v>
      </c>
      <c r="AE153" s="409">
        <f t="shared" si="54"/>
        <v>0</v>
      </c>
      <c r="AF153" s="409">
        <f t="shared" si="54"/>
        <v>32957</v>
      </c>
      <c r="AG153" s="409">
        <f t="shared" si="54"/>
        <v>16798</v>
      </c>
      <c r="AH153" s="409">
        <f t="shared" si="54"/>
        <v>16159</v>
      </c>
      <c r="AI153" s="387">
        <f t="shared" si="49"/>
        <v>0</v>
      </c>
      <c r="AJ153" s="496"/>
    </row>
    <row r="154" spans="1:36" s="393" customFormat="1" ht="14.25">
      <c r="A154" s="397" t="s">
        <v>1753</v>
      </c>
      <c r="B154" s="394" t="s">
        <v>1793</v>
      </c>
      <c r="C154" s="497" t="s">
        <v>1794</v>
      </c>
      <c r="D154" s="396">
        <v>3</v>
      </c>
      <c r="E154" s="568">
        <f t="shared" ref="E154:E159" si="55">SUM(H154,P154,AF154)</f>
        <v>1549180</v>
      </c>
      <c r="F154" s="568">
        <v>952055</v>
      </c>
      <c r="G154" s="568">
        <v>597125</v>
      </c>
      <c r="H154" s="569">
        <f t="shared" ref="H154:H159" si="56">SUM(I154:O154)</f>
        <v>449226</v>
      </c>
      <c r="I154" s="568">
        <v>68204</v>
      </c>
      <c r="J154" s="568">
        <v>68204</v>
      </c>
      <c r="K154" s="568">
        <v>68204</v>
      </c>
      <c r="L154" s="568">
        <v>108206</v>
      </c>
      <c r="M154" s="568">
        <v>68204</v>
      </c>
      <c r="N154" s="568">
        <v>68204</v>
      </c>
      <c r="O154" s="570">
        <v>0</v>
      </c>
      <c r="P154" s="571">
        <f t="shared" ref="P154:P159" si="57">SUM(Q154:AE154)</f>
        <v>1071858</v>
      </c>
      <c r="Q154" s="568">
        <v>76561</v>
      </c>
      <c r="R154" s="568">
        <v>76561</v>
      </c>
      <c r="S154" s="568">
        <v>76561</v>
      </c>
      <c r="T154" s="568">
        <v>76561</v>
      </c>
      <c r="U154" s="568">
        <v>76561</v>
      </c>
      <c r="V154" s="568">
        <v>76561</v>
      </c>
      <c r="W154" s="568">
        <v>76561</v>
      </c>
      <c r="X154" s="568">
        <v>76561</v>
      </c>
      <c r="Y154" s="568">
        <v>76563</v>
      </c>
      <c r="Z154" s="568">
        <v>76563</v>
      </c>
      <c r="AA154" s="568">
        <v>76561</v>
      </c>
      <c r="AB154" s="568">
        <v>76561</v>
      </c>
      <c r="AC154" s="568">
        <v>76561</v>
      </c>
      <c r="AD154" s="568">
        <v>76561</v>
      </c>
      <c r="AE154" s="568">
        <v>0</v>
      </c>
      <c r="AF154" s="572">
        <f t="shared" ref="AF154:AF159" si="58">SUM(AG154:AH154)</f>
        <v>28096</v>
      </c>
      <c r="AG154" s="568">
        <v>14048</v>
      </c>
      <c r="AH154" s="568">
        <v>14048</v>
      </c>
      <c r="AI154" s="387">
        <f t="shared" si="49"/>
        <v>0</v>
      </c>
      <c r="AJ154" s="496"/>
    </row>
    <row r="155" spans="1:36" s="393" customFormat="1" ht="14.25">
      <c r="A155" s="397" t="s">
        <v>1753</v>
      </c>
      <c r="B155" s="394" t="s">
        <v>1793</v>
      </c>
      <c r="C155" s="497" t="s">
        <v>1795</v>
      </c>
      <c r="D155" s="396">
        <v>3</v>
      </c>
      <c r="E155" s="568">
        <f t="shared" si="55"/>
        <v>15155</v>
      </c>
      <c r="F155" s="568">
        <v>8625</v>
      </c>
      <c r="G155" s="568">
        <v>6530</v>
      </c>
      <c r="H155" s="569">
        <f t="shared" si="56"/>
        <v>2997</v>
      </c>
      <c r="I155" s="568">
        <v>186</v>
      </c>
      <c r="J155" s="568">
        <v>750</v>
      </c>
      <c r="K155" s="568">
        <v>186</v>
      </c>
      <c r="L155" s="568">
        <v>750</v>
      </c>
      <c r="M155" s="568">
        <v>375</v>
      </c>
      <c r="N155" s="568">
        <v>750</v>
      </c>
      <c r="O155" s="570">
        <v>0</v>
      </c>
      <c r="P155" s="571">
        <f t="shared" si="57"/>
        <v>11758</v>
      </c>
      <c r="Q155" s="568">
        <v>905</v>
      </c>
      <c r="R155" s="568">
        <v>450</v>
      </c>
      <c r="S155" s="568">
        <v>905</v>
      </c>
      <c r="T155" s="568">
        <v>1360</v>
      </c>
      <c r="U155" s="568">
        <v>905</v>
      </c>
      <c r="V155" s="568">
        <v>905</v>
      </c>
      <c r="W155" s="568">
        <v>450</v>
      </c>
      <c r="X155" s="568">
        <v>905</v>
      </c>
      <c r="Y155" s="568">
        <v>905</v>
      </c>
      <c r="Z155" s="568">
        <v>905</v>
      </c>
      <c r="AA155" s="568">
        <v>450</v>
      </c>
      <c r="AB155" s="568">
        <v>905</v>
      </c>
      <c r="AC155" s="568">
        <v>904</v>
      </c>
      <c r="AD155" s="568">
        <v>904</v>
      </c>
      <c r="AE155" s="568">
        <v>0</v>
      </c>
      <c r="AF155" s="572">
        <f t="shared" si="58"/>
        <v>400</v>
      </c>
      <c r="AG155" s="568">
        <v>200</v>
      </c>
      <c r="AH155" s="568">
        <v>200</v>
      </c>
      <c r="AI155" s="387">
        <f t="shared" si="49"/>
        <v>0</v>
      </c>
      <c r="AJ155" s="496"/>
    </row>
    <row r="156" spans="1:36" s="393" customFormat="1" ht="14.25">
      <c r="A156" s="397" t="s">
        <v>1753</v>
      </c>
      <c r="B156" s="394" t="s">
        <v>1793</v>
      </c>
      <c r="C156" s="497" t="s">
        <v>1796</v>
      </c>
      <c r="D156" s="396">
        <v>3</v>
      </c>
      <c r="E156" s="568">
        <f t="shared" si="55"/>
        <v>46260</v>
      </c>
      <c r="F156" s="568">
        <v>6260</v>
      </c>
      <c r="G156" s="568">
        <v>40000</v>
      </c>
      <c r="H156" s="569">
        <f t="shared" si="56"/>
        <v>12260</v>
      </c>
      <c r="I156" s="568">
        <v>2040</v>
      </c>
      <c r="J156" s="568">
        <v>0</v>
      </c>
      <c r="K156" s="568">
        <v>4090</v>
      </c>
      <c r="L156" s="568">
        <v>2040</v>
      </c>
      <c r="M156" s="568">
        <v>0</v>
      </c>
      <c r="N156" s="568">
        <v>4090</v>
      </c>
      <c r="O156" s="570">
        <v>0</v>
      </c>
      <c r="P156" s="571">
        <f t="shared" si="57"/>
        <v>34000</v>
      </c>
      <c r="Q156" s="568">
        <v>2720</v>
      </c>
      <c r="R156" s="568">
        <v>4080</v>
      </c>
      <c r="S156" s="568">
        <v>2720</v>
      </c>
      <c r="T156" s="568">
        <v>0</v>
      </c>
      <c r="U156" s="568">
        <v>5440</v>
      </c>
      <c r="V156" s="568">
        <v>0</v>
      </c>
      <c r="W156" s="568">
        <v>1360</v>
      </c>
      <c r="X156" s="568">
        <v>4080</v>
      </c>
      <c r="Y156" s="568">
        <v>6800</v>
      </c>
      <c r="Z156" s="568">
        <v>6800</v>
      </c>
      <c r="AA156" s="568">
        <v>0</v>
      </c>
      <c r="AB156" s="568">
        <v>0</v>
      </c>
      <c r="AC156" s="568">
        <v>0</v>
      </c>
      <c r="AD156" s="568">
        <v>0</v>
      </c>
      <c r="AE156" s="568">
        <v>0</v>
      </c>
      <c r="AF156" s="572">
        <f t="shared" si="58"/>
        <v>0</v>
      </c>
      <c r="AG156" s="568">
        <v>0</v>
      </c>
      <c r="AH156" s="568">
        <v>0</v>
      </c>
      <c r="AI156" s="387">
        <f t="shared" si="49"/>
        <v>0</v>
      </c>
      <c r="AJ156" s="496"/>
    </row>
    <row r="157" spans="1:36" s="393" customFormat="1" ht="14.25">
      <c r="A157" s="397" t="s">
        <v>1753</v>
      </c>
      <c r="B157" s="394" t="s">
        <v>1793</v>
      </c>
      <c r="C157" s="497" t="s">
        <v>1797</v>
      </c>
      <c r="D157" s="396">
        <v>3</v>
      </c>
      <c r="E157" s="568">
        <f t="shared" si="55"/>
        <v>68484</v>
      </c>
      <c r="F157" s="568">
        <v>68484</v>
      </c>
      <c r="G157" s="568">
        <v>0</v>
      </c>
      <c r="H157" s="569">
        <f t="shared" si="56"/>
        <v>21017</v>
      </c>
      <c r="I157" s="568">
        <v>3800</v>
      </c>
      <c r="J157" s="568">
        <v>3900</v>
      </c>
      <c r="K157" s="568">
        <v>2821</v>
      </c>
      <c r="L157" s="568">
        <v>3800</v>
      </c>
      <c r="M157" s="568">
        <v>3695</v>
      </c>
      <c r="N157" s="568">
        <v>3001</v>
      </c>
      <c r="O157" s="570">
        <v>0</v>
      </c>
      <c r="P157" s="571">
        <f t="shared" si="57"/>
        <v>43006</v>
      </c>
      <c r="Q157" s="568">
        <v>2135</v>
      </c>
      <c r="R157" s="568">
        <v>3039</v>
      </c>
      <c r="S157" s="568">
        <v>2947</v>
      </c>
      <c r="T157" s="568">
        <v>3867</v>
      </c>
      <c r="U157" s="568">
        <v>4000</v>
      </c>
      <c r="V157" s="568">
        <v>3580</v>
      </c>
      <c r="W157" s="568">
        <v>2115</v>
      </c>
      <c r="X157" s="568">
        <v>3264</v>
      </c>
      <c r="Y157" s="568">
        <v>3147</v>
      </c>
      <c r="Z157" s="568">
        <v>3000</v>
      </c>
      <c r="AA157" s="568">
        <v>3518</v>
      </c>
      <c r="AB157" s="568">
        <v>3440</v>
      </c>
      <c r="AC157" s="568">
        <v>1642</v>
      </c>
      <c r="AD157" s="568">
        <v>3312</v>
      </c>
      <c r="AE157" s="568">
        <v>0</v>
      </c>
      <c r="AF157" s="572">
        <f t="shared" si="58"/>
        <v>4461</v>
      </c>
      <c r="AG157" s="568">
        <v>2550</v>
      </c>
      <c r="AH157" s="568">
        <v>1911</v>
      </c>
      <c r="AI157" s="387">
        <f t="shared" si="49"/>
        <v>0</v>
      </c>
      <c r="AJ157" s="496"/>
    </row>
    <row r="158" spans="1:36" s="393" customFormat="1" ht="14.25">
      <c r="A158" s="397" t="s">
        <v>1753</v>
      </c>
      <c r="B158" s="394" t="s">
        <v>1793</v>
      </c>
      <c r="C158" s="497" t="s">
        <v>1798</v>
      </c>
      <c r="D158" s="396">
        <v>3</v>
      </c>
      <c r="E158" s="568">
        <f t="shared" si="55"/>
        <v>39200</v>
      </c>
      <c r="F158" s="568">
        <v>39200</v>
      </c>
      <c r="G158" s="568">
        <v>0</v>
      </c>
      <c r="H158" s="569">
        <f t="shared" si="56"/>
        <v>39200</v>
      </c>
      <c r="I158" s="568">
        <v>0</v>
      </c>
      <c r="J158" s="568">
        <v>0</v>
      </c>
      <c r="K158" s="568">
        <v>39200</v>
      </c>
      <c r="L158" s="568">
        <v>0</v>
      </c>
      <c r="M158" s="568">
        <v>0</v>
      </c>
      <c r="N158" s="568">
        <v>0</v>
      </c>
      <c r="O158" s="570">
        <v>0</v>
      </c>
      <c r="P158" s="571">
        <f t="shared" si="57"/>
        <v>0</v>
      </c>
      <c r="Q158" s="568">
        <v>0</v>
      </c>
      <c r="R158" s="568">
        <v>0</v>
      </c>
      <c r="S158" s="568">
        <v>0</v>
      </c>
      <c r="T158" s="568">
        <v>0</v>
      </c>
      <c r="U158" s="568">
        <v>0</v>
      </c>
      <c r="V158" s="568">
        <v>0</v>
      </c>
      <c r="W158" s="568">
        <v>0</v>
      </c>
      <c r="X158" s="568">
        <v>0</v>
      </c>
      <c r="Y158" s="568">
        <v>0</v>
      </c>
      <c r="Z158" s="568">
        <v>0</v>
      </c>
      <c r="AA158" s="568">
        <v>0</v>
      </c>
      <c r="AB158" s="568">
        <v>0</v>
      </c>
      <c r="AC158" s="568">
        <v>0</v>
      </c>
      <c r="AD158" s="568">
        <v>0</v>
      </c>
      <c r="AE158" s="568">
        <v>0</v>
      </c>
      <c r="AF158" s="572">
        <f t="shared" si="58"/>
        <v>0</v>
      </c>
      <c r="AG158" s="568">
        <v>0</v>
      </c>
      <c r="AH158" s="568">
        <v>0</v>
      </c>
      <c r="AI158" s="387">
        <f t="shared" si="49"/>
        <v>0</v>
      </c>
      <c r="AJ158" s="496"/>
    </row>
    <row r="159" spans="1:36" s="393" customFormat="1" ht="14.25">
      <c r="A159" s="397" t="s">
        <v>1753</v>
      </c>
      <c r="B159" s="394" t="s">
        <v>1793</v>
      </c>
      <c r="C159" s="497" t="s">
        <v>1799</v>
      </c>
      <c r="D159" s="396">
        <v>3</v>
      </c>
      <c r="E159" s="568">
        <f t="shared" si="55"/>
        <v>1973</v>
      </c>
      <c r="F159" s="568">
        <v>1973</v>
      </c>
      <c r="G159" s="568">
        <v>0</v>
      </c>
      <c r="H159" s="569">
        <f t="shared" si="56"/>
        <v>618</v>
      </c>
      <c r="I159" s="568">
        <v>113</v>
      </c>
      <c r="J159" s="568">
        <v>83</v>
      </c>
      <c r="K159" s="568">
        <v>113</v>
      </c>
      <c r="L159" s="568">
        <v>83</v>
      </c>
      <c r="M159" s="568">
        <v>113</v>
      </c>
      <c r="N159" s="568">
        <v>113</v>
      </c>
      <c r="O159" s="570">
        <v>0</v>
      </c>
      <c r="P159" s="571">
        <f t="shared" si="57"/>
        <v>1355</v>
      </c>
      <c r="Q159" s="568">
        <v>0</v>
      </c>
      <c r="R159" s="568">
        <v>0</v>
      </c>
      <c r="S159" s="568">
        <v>129</v>
      </c>
      <c r="T159" s="568">
        <v>0</v>
      </c>
      <c r="U159" s="568">
        <v>129</v>
      </c>
      <c r="V159" s="568">
        <v>0</v>
      </c>
      <c r="W159" s="568">
        <v>0</v>
      </c>
      <c r="X159" s="568">
        <v>0</v>
      </c>
      <c r="Y159" s="568">
        <v>336</v>
      </c>
      <c r="Z159" s="568">
        <v>554</v>
      </c>
      <c r="AA159" s="568">
        <v>207</v>
      </c>
      <c r="AB159" s="568">
        <v>0</v>
      </c>
      <c r="AC159" s="568">
        <v>0</v>
      </c>
      <c r="AD159" s="568">
        <v>0</v>
      </c>
      <c r="AE159" s="568">
        <v>0</v>
      </c>
      <c r="AF159" s="572">
        <f t="shared" si="58"/>
        <v>0</v>
      </c>
      <c r="AG159" s="568">
        <v>0</v>
      </c>
      <c r="AH159" s="568">
        <v>0</v>
      </c>
      <c r="AI159" s="387">
        <f t="shared" si="49"/>
        <v>0</v>
      </c>
      <c r="AJ159" s="496"/>
    </row>
    <row r="160" spans="1:36" s="410" customFormat="1" ht="21.6" customHeight="1">
      <c r="A160" s="405" t="s">
        <v>1243</v>
      </c>
      <c r="B160" s="406"/>
      <c r="C160" s="407"/>
      <c r="D160" s="408"/>
      <c r="E160" s="409">
        <f>SUM(H160,P160,AF160)</f>
        <v>3969</v>
      </c>
      <c r="F160" s="409">
        <f>SUM(F161:F163)</f>
        <v>3969</v>
      </c>
      <c r="G160" s="409">
        <f>SUM(G161:G163)</f>
        <v>0</v>
      </c>
      <c r="H160" s="409">
        <f>SUM(I160:O160)</f>
        <v>2510</v>
      </c>
      <c r="I160" s="409">
        <f t="shared" ref="I160:O160" si="59">SUM(I161:I163)</f>
        <v>0</v>
      </c>
      <c r="J160" s="409">
        <f t="shared" si="59"/>
        <v>0</v>
      </c>
      <c r="K160" s="409">
        <f t="shared" si="59"/>
        <v>0</v>
      </c>
      <c r="L160" s="409">
        <f t="shared" si="59"/>
        <v>0</v>
      </c>
      <c r="M160" s="409">
        <f t="shared" si="59"/>
        <v>0</v>
      </c>
      <c r="N160" s="409">
        <f t="shared" si="59"/>
        <v>0</v>
      </c>
      <c r="O160" s="409">
        <f t="shared" si="59"/>
        <v>2510</v>
      </c>
      <c r="P160" s="409">
        <f>SUM(Q160:AE160)</f>
        <v>1259</v>
      </c>
      <c r="Q160" s="409">
        <f t="shared" ref="Q160:AE160" si="60">SUM(Q161:Q163)</f>
        <v>0</v>
      </c>
      <c r="R160" s="409">
        <f t="shared" si="60"/>
        <v>0</v>
      </c>
      <c r="S160" s="409">
        <f t="shared" si="60"/>
        <v>0</v>
      </c>
      <c r="T160" s="409">
        <f t="shared" si="60"/>
        <v>0</v>
      </c>
      <c r="U160" s="409">
        <f t="shared" si="60"/>
        <v>0</v>
      </c>
      <c r="V160" s="409">
        <f t="shared" si="60"/>
        <v>0</v>
      </c>
      <c r="W160" s="409">
        <f t="shared" si="60"/>
        <v>0</v>
      </c>
      <c r="X160" s="409">
        <f t="shared" si="60"/>
        <v>0</v>
      </c>
      <c r="Y160" s="409">
        <f t="shared" si="60"/>
        <v>0</v>
      </c>
      <c r="Z160" s="409">
        <f t="shared" si="60"/>
        <v>0</v>
      </c>
      <c r="AA160" s="409">
        <f t="shared" si="60"/>
        <v>0</v>
      </c>
      <c r="AB160" s="409">
        <f t="shared" si="60"/>
        <v>0</v>
      </c>
      <c r="AC160" s="409">
        <f t="shared" si="60"/>
        <v>0</v>
      </c>
      <c r="AD160" s="409">
        <f t="shared" si="60"/>
        <v>0</v>
      </c>
      <c r="AE160" s="409">
        <f t="shared" si="60"/>
        <v>1259</v>
      </c>
      <c r="AF160" s="409">
        <f>SUM(AG160:AH160)</f>
        <v>200</v>
      </c>
      <c r="AG160" s="409">
        <f>SUM(AG161:AG163)</f>
        <v>100</v>
      </c>
      <c r="AH160" s="409">
        <f>SUM(AH161:AH163)</f>
        <v>100</v>
      </c>
      <c r="AI160" s="387">
        <f t="shared" si="49"/>
        <v>0</v>
      </c>
      <c r="AJ160" s="496"/>
    </row>
    <row r="161" spans="1:36" s="393" customFormat="1" ht="14.25">
      <c r="A161" s="397" t="s">
        <v>1753</v>
      </c>
      <c r="B161" s="394" t="s">
        <v>1800</v>
      </c>
      <c r="C161" s="497" t="s">
        <v>1801</v>
      </c>
      <c r="D161" s="396">
        <v>3</v>
      </c>
      <c r="E161" s="568">
        <f>SUM(H161,P161,AF161)</f>
        <v>784</v>
      </c>
      <c r="F161" s="568">
        <v>784</v>
      </c>
      <c r="G161" s="568">
        <v>0</v>
      </c>
      <c r="H161" s="569">
        <f>SUM(I161:O161)</f>
        <v>784</v>
      </c>
      <c r="I161" s="568">
        <v>0</v>
      </c>
      <c r="J161" s="568">
        <v>0</v>
      </c>
      <c r="K161" s="568">
        <v>0</v>
      </c>
      <c r="L161" s="568">
        <v>0</v>
      </c>
      <c r="M161" s="568">
        <v>0</v>
      </c>
      <c r="N161" s="568">
        <v>0</v>
      </c>
      <c r="O161" s="570">
        <v>784</v>
      </c>
      <c r="P161" s="571">
        <f>SUM(Q161:AE161)</f>
        <v>0</v>
      </c>
      <c r="Q161" s="568">
        <v>0</v>
      </c>
      <c r="R161" s="568">
        <v>0</v>
      </c>
      <c r="S161" s="568">
        <v>0</v>
      </c>
      <c r="T161" s="568">
        <v>0</v>
      </c>
      <c r="U161" s="568">
        <v>0</v>
      </c>
      <c r="V161" s="568">
        <v>0</v>
      </c>
      <c r="W161" s="568">
        <v>0</v>
      </c>
      <c r="X161" s="568">
        <v>0</v>
      </c>
      <c r="Y161" s="568">
        <v>0</v>
      </c>
      <c r="Z161" s="568">
        <v>0</v>
      </c>
      <c r="AA161" s="568">
        <v>0</v>
      </c>
      <c r="AB161" s="568">
        <v>0</v>
      </c>
      <c r="AC161" s="568">
        <v>0</v>
      </c>
      <c r="AD161" s="568">
        <v>0</v>
      </c>
      <c r="AE161" s="568">
        <v>0</v>
      </c>
      <c r="AF161" s="572">
        <f>SUM(AG161:AH161)</f>
        <v>0</v>
      </c>
      <c r="AG161" s="568">
        <v>0</v>
      </c>
      <c r="AH161" s="568">
        <v>0</v>
      </c>
      <c r="AI161" s="387">
        <f t="shared" si="49"/>
        <v>0</v>
      </c>
      <c r="AJ161" s="496"/>
    </row>
    <row r="162" spans="1:36" s="393" customFormat="1" ht="14.25">
      <c r="A162" s="397" t="s">
        <v>1753</v>
      </c>
      <c r="B162" s="394" t="s">
        <v>1800</v>
      </c>
      <c r="C162" s="497" t="s">
        <v>1802</v>
      </c>
      <c r="D162" s="396">
        <v>3</v>
      </c>
      <c r="E162" s="568">
        <f>SUM(H162,P162,AF162)</f>
        <v>2009</v>
      </c>
      <c r="F162" s="568">
        <v>2009</v>
      </c>
      <c r="G162" s="568">
        <v>0</v>
      </c>
      <c r="H162" s="569">
        <f>SUM(I162:O162)</f>
        <v>550</v>
      </c>
      <c r="I162" s="568">
        <v>0</v>
      </c>
      <c r="J162" s="568">
        <v>0</v>
      </c>
      <c r="K162" s="568">
        <v>0</v>
      </c>
      <c r="L162" s="568">
        <v>0</v>
      </c>
      <c r="M162" s="568">
        <v>0</v>
      </c>
      <c r="N162" s="568">
        <v>0</v>
      </c>
      <c r="O162" s="570">
        <v>550</v>
      </c>
      <c r="P162" s="571">
        <f>SUM(Q162:AE162)</f>
        <v>1259</v>
      </c>
      <c r="Q162" s="568">
        <v>0</v>
      </c>
      <c r="R162" s="568">
        <v>0</v>
      </c>
      <c r="S162" s="568">
        <v>0</v>
      </c>
      <c r="T162" s="568">
        <v>0</v>
      </c>
      <c r="U162" s="568">
        <v>0</v>
      </c>
      <c r="V162" s="568">
        <v>0</v>
      </c>
      <c r="W162" s="568">
        <v>0</v>
      </c>
      <c r="X162" s="568">
        <v>0</v>
      </c>
      <c r="Y162" s="568">
        <v>0</v>
      </c>
      <c r="Z162" s="568">
        <v>0</v>
      </c>
      <c r="AA162" s="568">
        <v>0</v>
      </c>
      <c r="AB162" s="568">
        <v>0</v>
      </c>
      <c r="AC162" s="568">
        <v>0</v>
      </c>
      <c r="AD162" s="568">
        <v>0</v>
      </c>
      <c r="AE162" s="568">
        <v>1259</v>
      </c>
      <c r="AF162" s="572">
        <f>SUM(AG162:AH162)</f>
        <v>200</v>
      </c>
      <c r="AG162" s="568">
        <v>100</v>
      </c>
      <c r="AH162" s="568">
        <v>100</v>
      </c>
      <c r="AI162" s="387">
        <f t="shared" si="49"/>
        <v>0</v>
      </c>
      <c r="AJ162" s="496"/>
    </row>
    <row r="163" spans="1:36" s="393" customFormat="1" ht="14.25">
      <c r="A163" s="397" t="s">
        <v>1753</v>
      </c>
      <c r="B163" s="394" t="s">
        <v>1800</v>
      </c>
      <c r="C163" s="497" t="s">
        <v>1803</v>
      </c>
      <c r="D163" s="396">
        <v>3</v>
      </c>
      <c r="E163" s="568">
        <f>SUM(H163,P163,AF163)</f>
        <v>1176</v>
      </c>
      <c r="F163" s="568">
        <v>1176</v>
      </c>
      <c r="G163" s="568">
        <v>0</v>
      </c>
      <c r="H163" s="569">
        <f>SUM(I163:O163)</f>
        <v>1176</v>
      </c>
      <c r="I163" s="568">
        <v>0</v>
      </c>
      <c r="J163" s="568">
        <v>0</v>
      </c>
      <c r="K163" s="568">
        <v>0</v>
      </c>
      <c r="L163" s="568">
        <v>0</v>
      </c>
      <c r="M163" s="568">
        <v>0</v>
      </c>
      <c r="N163" s="568">
        <v>0</v>
      </c>
      <c r="O163" s="570">
        <v>1176</v>
      </c>
      <c r="P163" s="571">
        <f>SUM(Q163:AE163)</f>
        <v>0</v>
      </c>
      <c r="Q163" s="568">
        <v>0</v>
      </c>
      <c r="R163" s="568">
        <v>0</v>
      </c>
      <c r="S163" s="568">
        <v>0</v>
      </c>
      <c r="T163" s="568">
        <v>0</v>
      </c>
      <c r="U163" s="568">
        <v>0</v>
      </c>
      <c r="V163" s="568">
        <v>0</v>
      </c>
      <c r="W163" s="568">
        <v>0</v>
      </c>
      <c r="X163" s="568">
        <v>0</v>
      </c>
      <c r="Y163" s="568">
        <v>0</v>
      </c>
      <c r="Z163" s="568">
        <v>0</v>
      </c>
      <c r="AA163" s="568">
        <v>0</v>
      </c>
      <c r="AB163" s="568">
        <v>0</v>
      </c>
      <c r="AC163" s="568">
        <v>0</v>
      </c>
      <c r="AD163" s="568">
        <v>0</v>
      </c>
      <c r="AE163" s="568">
        <v>0</v>
      </c>
      <c r="AF163" s="572">
        <f>SUM(AG163:AH163)</f>
        <v>0</v>
      </c>
      <c r="AG163" s="568">
        <v>0</v>
      </c>
      <c r="AH163" s="568">
        <v>0</v>
      </c>
      <c r="AI163" s="387">
        <f t="shared" si="49"/>
        <v>0</v>
      </c>
      <c r="AJ163" s="496"/>
    </row>
    <row r="164" spans="1:36" s="515" customFormat="1" ht="24" customHeight="1">
      <c r="A164" s="510" t="s">
        <v>1273</v>
      </c>
      <c r="B164" s="511"/>
      <c r="C164" s="512"/>
      <c r="D164" s="513"/>
      <c r="E164" s="514">
        <f t="shared" ref="E164:AH164" si="61">SUM(E165:E174)</f>
        <v>13127</v>
      </c>
      <c r="F164" s="514">
        <f t="shared" si="61"/>
        <v>13127</v>
      </c>
      <c r="G164" s="514">
        <f t="shared" si="61"/>
        <v>0</v>
      </c>
      <c r="H164" s="514">
        <f t="shared" si="61"/>
        <v>9491</v>
      </c>
      <c r="I164" s="514">
        <f t="shared" si="61"/>
        <v>0</v>
      </c>
      <c r="J164" s="514">
        <f t="shared" si="61"/>
        <v>0</v>
      </c>
      <c r="K164" s="514">
        <f t="shared" si="61"/>
        <v>0</v>
      </c>
      <c r="L164" s="514">
        <f t="shared" si="61"/>
        <v>4596</v>
      </c>
      <c r="M164" s="514">
        <f t="shared" si="61"/>
        <v>3802</v>
      </c>
      <c r="N164" s="514">
        <f t="shared" si="61"/>
        <v>1093</v>
      </c>
      <c r="O164" s="514">
        <f t="shared" si="61"/>
        <v>0</v>
      </c>
      <c r="P164" s="514">
        <f t="shared" si="61"/>
        <v>3636</v>
      </c>
      <c r="Q164" s="514">
        <f t="shared" si="61"/>
        <v>0</v>
      </c>
      <c r="R164" s="514">
        <f t="shared" si="61"/>
        <v>0</v>
      </c>
      <c r="S164" s="514">
        <f t="shared" si="61"/>
        <v>1901</v>
      </c>
      <c r="T164" s="514">
        <f t="shared" si="61"/>
        <v>0</v>
      </c>
      <c r="U164" s="514">
        <f t="shared" si="61"/>
        <v>47</v>
      </c>
      <c r="V164" s="514">
        <f t="shared" si="61"/>
        <v>856</v>
      </c>
      <c r="W164" s="514">
        <f t="shared" si="61"/>
        <v>475</v>
      </c>
      <c r="X164" s="514">
        <f t="shared" si="61"/>
        <v>147</v>
      </c>
      <c r="Y164" s="514">
        <f t="shared" si="61"/>
        <v>0</v>
      </c>
      <c r="Z164" s="514">
        <f t="shared" si="61"/>
        <v>210</v>
      </c>
      <c r="AA164" s="514">
        <f t="shared" si="61"/>
        <v>0</v>
      </c>
      <c r="AB164" s="514">
        <f t="shared" si="61"/>
        <v>0</v>
      </c>
      <c r="AC164" s="514">
        <f t="shared" si="61"/>
        <v>0</v>
      </c>
      <c r="AD164" s="514">
        <f t="shared" si="61"/>
        <v>0</v>
      </c>
      <c r="AE164" s="514">
        <f t="shared" si="61"/>
        <v>0</v>
      </c>
      <c r="AF164" s="514">
        <f t="shared" si="61"/>
        <v>0</v>
      </c>
      <c r="AG164" s="514">
        <f t="shared" si="61"/>
        <v>0</v>
      </c>
      <c r="AH164" s="514">
        <f t="shared" si="61"/>
        <v>0</v>
      </c>
      <c r="AI164" s="387">
        <f t="shared" si="49"/>
        <v>0</v>
      </c>
    </row>
    <row r="165" spans="1:36" s="393" customFormat="1" ht="28.5">
      <c r="A165" s="397" t="s">
        <v>1683</v>
      </c>
      <c r="B165" s="394" t="s">
        <v>1684</v>
      </c>
      <c r="C165" s="497" t="s">
        <v>1685</v>
      </c>
      <c r="D165" s="396">
        <v>1</v>
      </c>
      <c r="E165" s="385">
        <f t="shared" ref="E165:E174" si="62">SUM(H165,P165,AF165)</f>
        <v>1901</v>
      </c>
      <c r="F165" s="368">
        <v>1901</v>
      </c>
      <c r="G165" s="368">
        <v>0</v>
      </c>
      <c r="H165" s="385">
        <f t="shared" ref="H165:H174" si="63">SUM(I165:O165)</f>
        <v>0</v>
      </c>
      <c r="I165" s="371">
        <v>0</v>
      </c>
      <c r="J165" s="371">
        <v>0</v>
      </c>
      <c r="K165" s="371">
        <v>0</v>
      </c>
      <c r="L165" s="371">
        <v>0</v>
      </c>
      <c r="M165" s="371">
        <v>0</v>
      </c>
      <c r="N165" s="371">
        <v>0</v>
      </c>
      <c r="O165" s="370">
        <v>0</v>
      </c>
      <c r="P165" s="386">
        <f t="shared" ref="P165:P174" si="64">SUM(Q165:AE165)</f>
        <v>1901</v>
      </c>
      <c r="Q165" s="371">
        <v>0</v>
      </c>
      <c r="R165" s="371">
        <v>0</v>
      </c>
      <c r="S165" s="371">
        <v>1901</v>
      </c>
      <c r="T165" s="371">
        <v>0</v>
      </c>
      <c r="U165" s="371">
        <v>0</v>
      </c>
      <c r="V165" s="371">
        <v>0</v>
      </c>
      <c r="W165" s="371">
        <v>0</v>
      </c>
      <c r="X165" s="371">
        <v>0</v>
      </c>
      <c r="Y165" s="371">
        <v>0</v>
      </c>
      <c r="Z165" s="371">
        <v>0</v>
      </c>
      <c r="AA165" s="371">
        <v>0</v>
      </c>
      <c r="AB165" s="371">
        <v>0</v>
      </c>
      <c r="AC165" s="371">
        <v>0</v>
      </c>
      <c r="AD165" s="371">
        <v>0</v>
      </c>
      <c r="AE165" s="371">
        <v>0</v>
      </c>
      <c r="AF165" s="385">
        <f t="shared" ref="AF165:AF174" si="65">SUM(AG165:AH165)</f>
        <v>0</v>
      </c>
      <c r="AG165" s="371">
        <v>0</v>
      </c>
      <c r="AH165" s="371">
        <v>0</v>
      </c>
      <c r="AI165" s="387">
        <f t="shared" si="49"/>
        <v>0</v>
      </c>
      <c r="AJ165" s="496"/>
    </row>
    <row r="166" spans="1:36" s="393" customFormat="1" ht="28.5">
      <c r="A166" s="397" t="s">
        <v>1683</v>
      </c>
      <c r="B166" s="394" t="s">
        <v>1686</v>
      </c>
      <c r="C166" s="497" t="s">
        <v>1685</v>
      </c>
      <c r="D166" s="396">
        <v>1</v>
      </c>
      <c r="E166" s="385">
        <f t="shared" si="62"/>
        <v>4596</v>
      </c>
      <c r="F166" s="368">
        <v>4596</v>
      </c>
      <c r="G166" s="368">
        <v>0</v>
      </c>
      <c r="H166" s="385">
        <f t="shared" si="63"/>
        <v>4596</v>
      </c>
      <c r="I166" s="371">
        <v>0</v>
      </c>
      <c r="J166" s="371">
        <v>0</v>
      </c>
      <c r="K166" s="371">
        <v>0</v>
      </c>
      <c r="L166" s="371">
        <v>4596</v>
      </c>
      <c r="M166" s="371">
        <v>0</v>
      </c>
      <c r="N166" s="371">
        <v>0</v>
      </c>
      <c r="O166" s="370">
        <v>0</v>
      </c>
      <c r="P166" s="386">
        <f t="shared" si="64"/>
        <v>0</v>
      </c>
      <c r="Q166" s="371">
        <v>0</v>
      </c>
      <c r="R166" s="371">
        <v>0</v>
      </c>
      <c r="S166" s="371">
        <v>0</v>
      </c>
      <c r="T166" s="371">
        <v>0</v>
      </c>
      <c r="U166" s="371">
        <v>0</v>
      </c>
      <c r="V166" s="371">
        <v>0</v>
      </c>
      <c r="W166" s="371">
        <v>0</v>
      </c>
      <c r="X166" s="371">
        <v>0</v>
      </c>
      <c r="Y166" s="371">
        <v>0</v>
      </c>
      <c r="Z166" s="371">
        <v>0</v>
      </c>
      <c r="AA166" s="371">
        <v>0</v>
      </c>
      <c r="AB166" s="371">
        <v>0</v>
      </c>
      <c r="AC166" s="371">
        <v>0</v>
      </c>
      <c r="AD166" s="371">
        <v>0</v>
      </c>
      <c r="AE166" s="371">
        <v>0</v>
      </c>
      <c r="AF166" s="385">
        <f t="shared" si="65"/>
        <v>0</v>
      </c>
      <c r="AG166" s="371">
        <v>0</v>
      </c>
      <c r="AH166" s="371">
        <v>0</v>
      </c>
      <c r="AI166" s="387">
        <f t="shared" si="49"/>
        <v>0</v>
      </c>
      <c r="AJ166" s="496"/>
    </row>
    <row r="167" spans="1:36" s="393" customFormat="1" ht="28.5">
      <c r="A167" s="397" t="s">
        <v>1683</v>
      </c>
      <c r="B167" s="394" t="s">
        <v>1687</v>
      </c>
      <c r="C167" s="497" t="s">
        <v>1685</v>
      </c>
      <c r="D167" s="396">
        <v>1</v>
      </c>
      <c r="E167" s="385">
        <f t="shared" si="62"/>
        <v>47</v>
      </c>
      <c r="F167" s="368">
        <v>47</v>
      </c>
      <c r="G167" s="368">
        <v>0</v>
      </c>
      <c r="H167" s="385">
        <f t="shared" si="63"/>
        <v>0</v>
      </c>
      <c r="I167" s="371">
        <v>0</v>
      </c>
      <c r="J167" s="371">
        <v>0</v>
      </c>
      <c r="K167" s="371">
        <v>0</v>
      </c>
      <c r="L167" s="371">
        <v>0</v>
      </c>
      <c r="M167" s="371">
        <v>0</v>
      </c>
      <c r="N167" s="371">
        <v>0</v>
      </c>
      <c r="O167" s="370">
        <v>0</v>
      </c>
      <c r="P167" s="386">
        <f t="shared" si="64"/>
        <v>47</v>
      </c>
      <c r="Q167" s="371">
        <v>0</v>
      </c>
      <c r="R167" s="371">
        <v>0</v>
      </c>
      <c r="S167" s="371">
        <v>0</v>
      </c>
      <c r="T167" s="371">
        <v>0</v>
      </c>
      <c r="U167" s="371">
        <v>47</v>
      </c>
      <c r="V167" s="371">
        <v>0</v>
      </c>
      <c r="W167" s="371">
        <v>0</v>
      </c>
      <c r="X167" s="371">
        <v>0</v>
      </c>
      <c r="Y167" s="371">
        <v>0</v>
      </c>
      <c r="Z167" s="371">
        <v>0</v>
      </c>
      <c r="AA167" s="371">
        <v>0</v>
      </c>
      <c r="AB167" s="371">
        <v>0</v>
      </c>
      <c r="AC167" s="371">
        <v>0</v>
      </c>
      <c r="AD167" s="371">
        <v>0</v>
      </c>
      <c r="AE167" s="371">
        <v>0</v>
      </c>
      <c r="AF167" s="385">
        <f t="shared" si="65"/>
        <v>0</v>
      </c>
      <c r="AG167" s="371">
        <v>0</v>
      </c>
      <c r="AH167" s="371">
        <v>0</v>
      </c>
      <c r="AI167" s="387">
        <f t="shared" si="49"/>
        <v>0</v>
      </c>
      <c r="AJ167" s="496"/>
    </row>
    <row r="168" spans="1:36" s="393" customFormat="1" ht="28.5">
      <c r="A168" s="397" t="s">
        <v>1683</v>
      </c>
      <c r="B168" s="394" t="s">
        <v>1688</v>
      </c>
      <c r="C168" s="497" t="s">
        <v>1685</v>
      </c>
      <c r="D168" s="396">
        <v>1</v>
      </c>
      <c r="E168" s="385">
        <f t="shared" si="62"/>
        <v>856</v>
      </c>
      <c r="F168" s="368">
        <v>856</v>
      </c>
      <c r="G168" s="368">
        <v>0</v>
      </c>
      <c r="H168" s="385">
        <f t="shared" si="63"/>
        <v>0</v>
      </c>
      <c r="I168" s="371">
        <v>0</v>
      </c>
      <c r="J168" s="371">
        <v>0</v>
      </c>
      <c r="K168" s="371">
        <v>0</v>
      </c>
      <c r="L168" s="371">
        <v>0</v>
      </c>
      <c r="M168" s="371">
        <v>0</v>
      </c>
      <c r="N168" s="371">
        <v>0</v>
      </c>
      <c r="O168" s="370">
        <v>0</v>
      </c>
      <c r="P168" s="386">
        <f t="shared" si="64"/>
        <v>856</v>
      </c>
      <c r="Q168" s="371"/>
      <c r="R168" s="371"/>
      <c r="S168" s="371"/>
      <c r="T168" s="371"/>
      <c r="U168" s="371"/>
      <c r="V168" s="371">
        <v>856</v>
      </c>
      <c r="W168" s="371">
        <v>0</v>
      </c>
      <c r="X168" s="371">
        <v>0</v>
      </c>
      <c r="Y168" s="371">
        <v>0</v>
      </c>
      <c r="Z168" s="371">
        <v>0</v>
      </c>
      <c r="AA168" s="371">
        <v>0</v>
      </c>
      <c r="AB168" s="371">
        <v>0</v>
      </c>
      <c r="AC168" s="371">
        <v>0</v>
      </c>
      <c r="AD168" s="371">
        <v>0</v>
      </c>
      <c r="AE168" s="371">
        <v>0</v>
      </c>
      <c r="AF168" s="385">
        <f t="shared" si="65"/>
        <v>0</v>
      </c>
      <c r="AG168" s="371">
        <v>0</v>
      </c>
      <c r="AH168" s="371">
        <v>0</v>
      </c>
      <c r="AI168" s="387">
        <f t="shared" si="49"/>
        <v>0</v>
      </c>
      <c r="AJ168" s="496"/>
    </row>
    <row r="169" spans="1:36" s="393" customFormat="1" ht="28.5">
      <c r="A169" s="397" t="s">
        <v>1683</v>
      </c>
      <c r="B169" s="394" t="s">
        <v>1689</v>
      </c>
      <c r="C169" s="497" t="s">
        <v>1685</v>
      </c>
      <c r="D169" s="396">
        <v>1</v>
      </c>
      <c r="E169" s="385">
        <f t="shared" si="62"/>
        <v>475</v>
      </c>
      <c r="F169" s="368">
        <v>475</v>
      </c>
      <c r="G169" s="368"/>
      <c r="H169" s="385">
        <f t="shared" si="63"/>
        <v>0</v>
      </c>
      <c r="I169" s="371"/>
      <c r="J169" s="371"/>
      <c r="K169" s="371"/>
      <c r="L169" s="371"/>
      <c r="M169" s="371"/>
      <c r="N169" s="371"/>
      <c r="O169" s="370"/>
      <c r="P169" s="386">
        <f t="shared" si="64"/>
        <v>475</v>
      </c>
      <c r="Q169" s="371"/>
      <c r="R169" s="371"/>
      <c r="S169" s="371"/>
      <c r="T169" s="371"/>
      <c r="U169" s="371"/>
      <c r="V169" s="371"/>
      <c r="W169" s="371">
        <v>475</v>
      </c>
      <c r="X169" s="371"/>
      <c r="Y169" s="371"/>
      <c r="Z169" s="371"/>
      <c r="AA169" s="371"/>
      <c r="AB169" s="371"/>
      <c r="AC169" s="371"/>
      <c r="AD169" s="371"/>
      <c r="AE169" s="371"/>
      <c r="AF169" s="385">
        <f t="shared" si="65"/>
        <v>0</v>
      </c>
      <c r="AG169" s="371"/>
      <c r="AH169" s="371"/>
      <c r="AI169" s="387">
        <f t="shared" si="49"/>
        <v>0</v>
      </c>
      <c r="AJ169" s="496"/>
    </row>
    <row r="170" spans="1:36" s="393" customFormat="1" ht="28.5">
      <c r="A170" s="397" t="s">
        <v>1683</v>
      </c>
      <c r="B170" s="394" t="s">
        <v>1690</v>
      </c>
      <c r="C170" s="497" t="s">
        <v>1685</v>
      </c>
      <c r="D170" s="396">
        <v>1</v>
      </c>
      <c r="E170" s="385">
        <f t="shared" si="62"/>
        <v>3802</v>
      </c>
      <c r="F170" s="368">
        <v>3802</v>
      </c>
      <c r="G170" s="368"/>
      <c r="H170" s="385">
        <f t="shared" si="63"/>
        <v>3802</v>
      </c>
      <c r="I170" s="371"/>
      <c r="J170" s="371"/>
      <c r="K170" s="371"/>
      <c r="L170" s="371"/>
      <c r="M170" s="371">
        <v>3802</v>
      </c>
      <c r="N170" s="371"/>
      <c r="O170" s="370"/>
      <c r="P170" s="386">
        <f t="shared" si="64"/>
        <v>0</v>
      </c>
      <c r="Q170" s="371"/>
      <c r="R170" s="371"/>
      <c r="S170" s="371"/>
      <c r="T170" s="371"/>
      <c r="U170" s="371"/>
      <c r="V170" s="371"/>
      <c r="W170" s="371"/>
      <c r="X170" s="371"/>
      <c r="Y170" s="371"/>
      <c r="Z170" s="371"/>
      <c r="AA170" s="371"/>
      <c r="AB170" s="371"/>
      <c r="AC170" s="371"/>
      <c r="AD170" s="371"/>
      <c r="AE170" s="371"/>
      <c r="AF170" s="385">
        <f t="shared" si="65"/>
        <v>0</v>
      </c>
      <c r="AG170" s="371"/>
      <c r="AH170" s="371"/>
      <c r="AI170" s="387">
        <f t="shared" si="49"/>
        <v>0</v>
      </c>
      <c r="AJ170" s="496"/>
    </row>
    <row r="171" spans="1:36" s="393" customFormat="1" ht="28.5">
      <c r="A171" s="397" t="s">
        <v>1683</v>
      </c>
      <c r="B171" s="394" t="s">
        <v>1691</v>
      </c>
      <c r="C171" s="497" t="s">
        <v>1685</v>
      </c>
      <c r="D171" s="396">
        <v>1</v>
      </c>
      <c r="E171" s="385">
        <f t="shared" si="62"/>
        <v>302</v>
      </c>
      <c r="F171" s="368">
        <v>302</v>
      </c>
      <c r="G171" s="368"/>
      <c r="H171" s="385">
        <f t="shared" si="63"/>
        <v>302</v>
      </c>
      <c r="I171" s="371"/>
      <c r="J171" s="371"/>
      <c r="K171" s="371"/>
      <c r="L171" s="371"/>
      <c r="M171" s="371"/>
      <c r="N171" s="371">
        <v>302</v>
      </c>
      <c r="O171" s="370"/>
      <c r="P171" s="386">
        <f t="shared" si="64"/>
        <v>0</v>
      </c>
      <c r="Q171" s="371"/>
      <c r="R171" s="371"/>
      <c r="S171" s="371"/>
      <c r="T171" s="371"/>
      <c r="U171" s="371"/>
      <c r="V171" s="371"/>
      <c r="W171" s="371"/>
      <c r="X171" s="371"/>
      <c r="Y171" s="371"/>
      <c r="Z171" s="371"/>
      <c r="AA171" s="371"/>
      <c r="AB171" s="371"/>
      <c r="AC171" s="371"/>
      <c r="AD171" s="371"/>
      <c r="AE171" s="371"/>
      <c r="AF171" s="385">
        <f t="shared" si="65"/>
        <v>0</v>
      </c>
      <c r="AG171" s="371"/>
      <c r="AH171" s="371"/>
      <c r="AI171" s="387">
        <f t="shared" si="49"/>
        <v>0</v>
      </c>
      <c r="AJ171" s="496"/>
    </row>
    <row r="172" spans="1:36" s="393" customFormat="1" ht="28.5">
      <c r="A172" s="397" t="s">
        <v>1683</v>
      </c>
      <c r="B172" s="394" t="s">
        <v>1692</v>
      </c>
      <c r="C172" s="497" t="s">
        <v>1693</v>
      </c>
      <c r="D172" s="396">
        <v>1</v>
      </c>
      <c r="E172" s="385">
        <f t="shared" si="62"/>
        <v>791</v>
      </c>
      <c r="F172" s="368">
        <v>791</v>
      </c>
      <c r="G172" s="368"/>
      <c r="H172" s="385">
        <f t="shared" si="63"/>
        <v>791</v>
      </c>
      <c r="I172" s="371"/>
      <c r="J172" s="371"/>
      <c r="K172" s="371"/>
      <c r="L172" s="371"/>
      <c r="M172" s="371"/>
      <c r="N172" s="371">
        <v>791</v>
      </c>
      <c r="O172" s="370"/>
      <c r="P172" s="386">
        <f t="shared" si="64"/>
        <v>0</v>
      </c>
      <c r="Q172" s="371"/>
      <c r="R172" s="371"/>
      <c r="S172" s="371"/>
      <c r="T172" s="371"/>
      <c r="U172" s="371"/>
      <c r="V172" s="371"/>
      <c r="W172" s="371"/>
      <c r="X172" s="371"/>
      <c r="Y172" s="371"/>
      <c r="Z172" s="371"/>
      <c r="AA172" s="371"/>
      <c r="AB172" s="371"/>
      <c r="AC172" s="371"/>
      <c r="AD172" s="371"/>
      <c r="AE172" s="371"/>
      <c r="AF172" s="385">
        <f t="shared" si="65"/>
        <v>0</v>
      </c>
      <c r="AG172" s="371"/>
      <c r="AH172" s="371"/>
      <c r="AI172" s="387">
        <f t="shared" si="49"/>
        <v>0</v>
      </c>
      <c r="AJ172" s="496"/>
    </row>
    <row r="173" spans="1:36" s="393" customFormat="1" ht="28.5">
      <c r="A173" s="397" t="s">
        <v>1683</v>
      </c>
      <c r="B173" s="394" t="s">
        <v>1694</v>
      </c>
      <c r="C173" s="497" t="s">
        <v>1685</v>
      </c>
      <c r="D173" s="396">
        <v>1</v>
      </c>
      <c r="E173" s="385">
        <f t="shared" si="62"/>
        <v>147</v>
      </c>
      <c r="F173" s="368">
        <v>147</v>
      </c>
      <c r="G173" s="368"/>
      <c r="H173" s="385">
        <f t="shared" si="63"/>
        <v>0</v>
      </c>
      <c r="I173" s="371"/>
      <c r="J173" s="371"/>
      <c r="K173" s="371"/>
      <c r="L173" s="371"/>
      <c r="M173" s="371"/>
      <c r="N173" s="371"/>
      <c r="O173" s="370"/>
      <c r="P173" s="386">
        <f t="shared" si="64"/>
        <v>147</v>
      </c>
      <c r="Q173" s="371"/>
      <c r="R173" s="371"/>
      <c r="S173" s="371"/>
      <c r="T173" s="371"/>
      <c r="U173" s="371"/>
      <c r="V173" s="371"/>
      <c r="W173" s="371"/>
      <c r="X173" s="371">
        <v>147</v>
      </c>
      <c r="Y173" s="371"/>
      <c r="Z173" s="371"/>
      <c r="AA173" s="371"/>
      <c r="AB173" s="371"/>
      <c r="AC173" s="371"/>
      <c r="AD173" s="371"/>
      <c r="AE173" s="371"/>
      <c r="AF173" s="385">
        <f t="shared" si="65"/>
        <v>0</v>
      </c>
      <c r="AG173" s="371"/>
      <c r="AH173" s="371"/>
      <c r="AI173" s="387">
        <f t="shared" si="49"/>
        <v>0</v>
      </c>
      <c r="AJ173" s="496"/>
    </row>
    <row r="174" spans="1:36" s="393" customFormat="1" ht="28.5">
      <c r="A174" s="397" t="s">
        <v>1683</v>
      </c>
      <c r="B174" s="394" t="s">
        <v>1695</v>
      </c>
      <c r="C174" s="497" t="s">
        <v>1685</v>
      </c>
      <c r="D174" s="396">
        <v>1</v>
      </c>
      <c r="E174" s="385">
        <f t="shared" si="62"/>
        <v>210</v>
      </c>
      <c r="F174" s="368">
        <v>210</v>
      </c>
      <c r="G174" s="368"/>
      <c r="H174" s="385">
        <f t="shared" si="63"/>
        <v>0</v>
      </c>
      <c r="I174" s="371"/>
      <c r="J174" s="371"/>
      <c r="K174" s="371"/>
      <c r="L174" s="371"/>
      <c r="M174" s="371"/>
      <c r="N174" s="371"/>
      <c r="O174" s="370"/>
      <c r="P174" s="386">
        <f t="shared" si="64"/>
        <v>210</v>
      </c>
      <c r="Q174" s="371"/>
      <c r="R174" s="371"/>
      <c r="S174" s="371"/>
      <c r="T174" s="371"/>
      <c r="U174" s="371"/>
      <c r="V174" s="371"/>
      <c r="W174" s="371"/>
      <c r="X174" s="371"/>
      <c r="Y174" s="371"/>
      <c r="Z174" s="371">
        <v>210</v>
      </c>
      <c r="AA174" s="371"/>
      <c r="AB174" s="371"/>
      <c r="AC174" s="371"/>
      <c r="AD174" s="371"/>
      <c r="AE174" s="371"/>
      <c r="AF174" s="385">
        <f t="shared" si="65"/>
        <v>0</v>
      </c>
      <c r="AG174" s="371"/>
      <c r="AH174" s="371"/>
      <c r="AI174" s="387">
        <f t="shared" si="49"/>
        <v>0</v>
      </c>
      <c r="AJ174" s="496"/>
    </row>
    <row r="175" spans="1:36" s="515" customFormat="1" ht="24" customHeight="1">
      <c r="A175" s="510" t="s">
        <v>1272</v>
      </c>
      <c r="B175" s="511"/>
      <c r="C175" s="512"/>
      <c r="D175" s="513"/>
      <c r="E175" s="514">
        <f>E176+E178+E177+E187</f>
        <v>865800</v>
      </c>
      <c r="F175" s="514">
        <f t="shared" ref="F175:AH175" si="66">F176+F178+F177+F187</f>
        <v>424227</v>
      </c>
      <c r="G175" s="514">
        <f t="shared" si="66"/>
        <v>441573</v>
      </c>
      <c r="H175" s="514">
        <f t="shared" si="66"/>
        <v>208917</v>
      </c>
      <c r="I175" s="514">
        <f t="shared" si="66"/>
        <v>0</v>
      </c>
      <c r="J175" s="514">
        <f t="shared" si="66"/>
        <v>0</v>
      </c>
      <c r="K175" s="514">
        <f t="shared" si="66"/>
        <v>0</v>
      </c>
      <c r="L175" s="514">
        <f t="shared" si="66"/>
        <v>32000</v>
      </c>
      <c r="M175" s="514">
        <f t="shared" si="66"/>
        <v>137834</v>
      </c>
      <c r="N175" s="514">
        <f t="shared" si="66"/>
        <v>5300</v>
      </c>
      <c r="O175" s="514">
        <f t="shared" si="66"/>
        <v>33783</v>
      </c>
      <c r="P175" s="514">
        <f t="shared" si="66"/>
        <v>365218</v>
      </c>
      <c r="Q175" s="514">
        <f t="shared" si="66"/>
        <v>62800</v>
      </c>
      <c r="R175" s="514">
        <f t="shared" si="66"/>
        <v>0</v>
      </c>
      <c r="S175" s="514">
        <f t="shared" si="66"/>
        <v>0</v>
      </c>
      <c r="T175" s="514">
        <f t="shared" si="66"/>
        <v>47234</v>
      </c>
      <c r="U175" s="514">
        <f t="shared" si="66"/>
        <v>0</v>
      </c>
      <c r="V175" s="514">
        <f t="shared" si="66"/>
        <v>49302</v>
      </c>
      <c r="W175" s="514">
        <f t="shared" si="66"/>
        <v>4920</v>
      </c>
      <c r="X175" s="514">
        <f t="shared" si="66"/>
        <v>2600</v>
      </c>
      <c r="Y175" s="514">
        <f t="shared" si="66"/>
        <v>0</v>
      </c>
      <c r="Z175" s="514">
        <f t="shared" si="66"/>
        <v>65000</v>
      </c>
      <c r="AA175" s="514">
        <f t="shared" si="66"/>
        <v>2662</v>
      </c>
      <c r="AB175" s="514">
        <f t="shared" si="66"/>
        <v>20000</v>
      </c>
      <c r="AC175" s="514">
        <f t="shared" si="66"/>
        <v>0</v>
      </c>
      <c r="AD175" s="514">
        <f t="shared" si="66"/>
        <v>0</v>
      </c>
      <c r="AE175" s="514">
        <f t="shared" si="66"/>
        <v>110700</v>
      </c>
      <c r="AF175" s="514">
        <f t="shared" si="66"/>
        <v>291665</v>
      </c>
      <c r="AG175" s="514">
        <f t="shared" si="66"/>
        <v>174490</v>
      </c>
      <c r="AH175" s="514">
        <f t="shared" si="66"/>
        <v>117175</v>
      </c>
      <c r="AI175" s="387">
        <f t="shared" si="49"/>
        <v>0</v>
      </c>
    </row>
    <row r="176" spans="1:36" s="410" customFormat="1" ht="21.6" customHeight="1">
      <c r="A176" s="405" t="s">
        <v>1809</v>
      </c>
      <c r="B176" s="406" t="s">
        <v>1810</v>
      </c>
      <c r="C176" s="407" t="s">
        <v>1811</v>
      </c>
      <c r="D176" s="408">
        <v>4</v>
      </c>
      <c r="E176" s="409">
        <f>SUM(H176,P176,AF176)</f>
        <v>121371</v>
      </c>
      <c r="F176" s="554">
        <v>121371</v>
      </c>
      <c r="G176" s="409"/>
      <c r="H176" s="409">
        <f>SUM(I176:O176)</f>
        <v>121371</v>
      </c>
      <c r="I176" s="409"/>
      <c r="J176" s="409"/>
      <c r="K176" s="409"/>
      <c r="L176" s="409"/>
      <c r="M176" s="554">
        <v>121371</v>
      </c>
      <c r="N176" s="409"/>
      <c r="O176" s="409"/>
      <c r="P176" s="409">
        <f>SUM(Q176:AE176)</f>
        <v>0</v>
      </c>
      <c r="Q176" s="409"/>
      <c r="R176" s="409"/>
      <c r="S176" s="409"/>
      <c r="T176" s="409"/>
      <c r="U176" s="409"/>
      <c r="V176" s="409"/>
      <c r="W176" s="409"/>
      <c r="X176" s="409"/>
      <c r="Y176" s="409"/>
      <c r="Z176" s="409"/>
      <c r="AA176" s="409"/>
      <c r="AB176" s="409"/>
      <c r="AC176" s="409"/>
      <c r="AD176" s="409"/>
      <c r="AE176" s="409"/>
      <c r="AF176" s="409">
        <f>SUM(AG176:AH176)</f>
        <v>0</v>
      </c>
      <c r="AG176" s="409"/>
      <c r="AH176" s="409"/>
      <c r="AI176" s="387">
        <f t="shared" si="49"/>
        <v>0</v>
      </c>
      <c r="AJ176" s="496"/>
    </row>
    <row r="177" spans="1:36" s="410" customFormat="1" ht="21.6" customHeight="1">
      <c r="A177" s="405" t="s">
        <v>1809</v>
      </c>
      <c r="B177" s="406" t="s">
        <v>1812</v>
      </c>
      <c r="C177" s="407" t="s">
        <v>602</v>
      </c>
      <c r="D177" s="408">
        <v>4</v>
      </c>
      <c r="E177" s="409">
        <f>SUM(F177:G177)</f>
        <v>37722</v>
      </c>
      <c r="F177" s="409">
        <v>19861</v>
      </c>
      <c r="G177" s="554">
        <v>17861</v>
      </c>
      <c r="H177" s="409">
        <f>SUM(I177:O177)</f>
        <v>18862</v>
      </c>
      <c r="I177" s="409"/>
      <c r="J177" s="409"/>
      <c r="K177" s="409"/>
      <c r="L177" s="409"/>
      <c r="M177" s="409"/>
      <c r="N177" s="409"/>
      <c r="O177" s="554">
        <v>18862</v>
      </c>
      <c r="P177" s="409">
        <f>SUM(Q177:AE177)</f>
        <v>18860</v>
      </c>
      <c r="Q177" s="409"/>
      <c r="R177" s="409"/>
      <c r="S177" s="409"/>
      <c r="T177" s="409"/>
      <c r="U177" s="409"/>
      <c r="V177" s="409"/>
      <c r="W177" s="409"/>
      <c r="X177" s="409"/>
      <c r="Y177" s="409"/>
      <c r="Z177" s="409"/>
      <c r="AA177" s="409"/>
      <c r="AB177" s="409"/>
      <c r="AC177" s="409"/>
      <c r="AD177" s="409"/>
      <c r="AE177" s="554">
        <v>18860</v>
      </c>
      <c r="AF177" s="409">
        <f>SUM(AG177:AH177)</f>
        <v>0</v>
      </c>
      <c r="AG177" s="409"/>
      <c r="AH177" s="409"/>
      <c r="AI177" s="387">
        <f t="shared" si="49"/>
        <v>0</v>
      </c>
      <c r="AJ177" s="496"/>
    </row>
    <row r="178" spans="1:36" s="410" customFormat="1" ht="21.6" customHeight="1">
      <c r="A178" s="405" t="s">
        <v>1813</v>
      </c>
      <c r="B178" s="406"/>
      <c r="C178" s="407"/>
      <c r="D178" s="408"/>
      <c r="E178" s="409">
        <f t="shared" ref="E178:AH178" si="67">SUM(E179:E186)</f>
        <v>683893</v>
      </c>
      <c r="F178" s="409">
        <f t="shared" si="67"/>
        <v>260181</v>
      </c>
      <c r="G178" s="409">
        <f t="shared" si="67"/>
        <v>423712</v>
      </c>
      <c r="H178" s="409">
        <f t="shared" si="67"/>
        <v>54690</v>
      </c>
      <c r="I178" s="409">
        <f t="shared" si="67"/>
        <v>0</v>
      </c>
      <c r="J178" s="409">
        <f t="shared" si="67"/>
        <v>0</v>
      </c>
      <c r="K178" s="409">
        <f t="shared" si="67"/>
        <v>0</v>
      </c>
      <c r="L178" s="409">
        <f t="shared" si="67"/>
        <v>32000</v>
      </c>
      <c r="M178" s="409">
        <f t="shared" si="67"/>
        <v>16463</v>
      </c>
      <c r="N178" s="409">
        <f t="shared" si="67"/>
        <v>5300</v>
      </c>
      <c r="O178" s="409">
        <f t="shared" si="67"/>
        <v>927</v>
      </c>
      <c r="P178" s="409">
        <f t="shared" si="67"/>
        <v>338518</v>
      </c>
      <c r="Q178" s="409">
        <f t="shared" si="67"/>
        <v>62800</v>
      </c>
      <c r="R178" s="409">
        <f t="shared" si="67"/>
        <v>0</v>
      </c>
      <c r="S178" s="409">
        <f t="shared" si="67"/>
        <v>0</v>
      </c>
      <c r="T178" s="409">
        <f t="shared" si="67"/>
        <v>47234</v>
      </c>
      <c r="U178" s="409">
        <f t="shared" si="67"/>
        <v>0</v>
      </c>
      <c r="V178" s="409">
        <f t="shared" si="67"/>
        <v>49302</v>
      </c>
      <c r="W178" s="409">
        <f t="shared" si="67"/>
        <v>4920</v>
      </c>
      <c r="X178" s="409">
        <f t="shared" si="67"/>
        <v>2600</v>
      </c>
      <c r="Y178" s="409">
        <f t="shared" si="67"/>
        <v>0</v>
      </c>
      <c r="Z178" s="409">
        <f t="shared" si="67"/>
        <v>65000</v>
      </c>
      <c r="AA178" s="409">
        <f t="shared" si="67"/>
        <v>2662</v>
      </c>
      <c r="AB178" s="409">
        <f t="shared" si="67"/>
        <v>20000</v>
      </c>
      <c r="AC178" s="409">
        <f t="shared" si="67"/>
        <v>0</v>
      </c>
      <c r="AD178" s="409">
        <f t="shared" si="67"/>
        <v>0</v>
      </c>
      <c r="AE178" s="409">
        <f t="shared" si="67"/>
        <v>84000</v>
      </c>
      <c r="AF178" s="409">
        <f t="shared" si="67"/>
        <v>290685</v>
      </c>
      <c r="AG178" s="409">
        <f t="shared" si="67"/>
        <v>174000</v>
      </c>
      <c r="AH178" s="409">
        <f t="shared" si="67"/>
        <v>116685</v>
      </c>
      <c r="AI178" s="387">
        <f t="shared" si="49"/>
        <v>0</v>
      </c>
      <c r="AJ178" s="496"/>
    </row>
    <row r="179" spans="1:36" s="393" customFormat="1" ht="14.25">
      <c r="A179" s="397" t="s">
        <v>1814</v>
      </c>
      <c r="B179" s="394" t="s">
        <v>1815</v>
      </c>
      <c r="C179" s="497" t="s">
        <v>1816</v>
      </c>
      <c r="D179" s="396">
        <v>4</v>
      </c>
      <c r="E179" s="385">
        <f t="shared" ref="E179:E187" si="68">SUM(H179,P179,AF179)</f>
        <v>224000</v>
      </c>
      <c r="F179" s="368">
        <v>224000</v>
      </c>
      <c r="G179" s="368"/>
      <c r="H179" s="385">
        <f t="shared" ref="H179:H187" si="69">SUM(I179:O179)</f>
        <v>0</v>
      </c>
      <c r="I179" s="371"/>
      <c r="J179" s="371"/>
      <c r="K179" s="371"/>
      <c r="L179" s="371"/>
      <c r="M179" s="371"/>
      <c r="N179" s="371"/>
      <c r="O179" s="370"/>
      <c r="P179" s="386">
        <f t="shared" ref="P179:P187" si="70">SUM(Q179:AE179)</f>
        <v>0</v>
      </c>
      <c r="Q179" s="371"/>
      <c r="R179" s="371"/>
      <c r="S179" s="371"/>
      <c r="T179" s="371"/>
      <c r="U179" s="371"/>
      <c r="V179" s="371"/>
      <c r="W179" s="371"/>
      <c r="X179" s="371"/>
      <c r="Y179" s="371"/>
      <c r="Z179" s="371"/>
      <c r="AA179" s="371"/>
      <c r="AB179" s="371"/>
      <c r="AC179" s="371"/>
      <c r="AD179" s="371"/>
      <c r="AE179" s="371"/>
      <c r="AF179" s="385">
        <f t="shared" ref="AF179:AF187" si="71">SUM(AG179:AH179)</f>
        <v>224000</v>
      </c>
      <c r="AG179" s="371">
        <v>160000</v>
      </c>
      <c r="AH179" s="371">
        <v>64000</v>
      </c>
      <c r="AI179" s="387">
        <f t="shared" si="49"/>
        <v>0</v>
      </c>
      <c r="AJ179" s="496"/>
    </row>
    <row r="180" spans="1:36" s="393" customFormat="1" ht="14.25">
      <c r="A180" s="397" t="s">
        <v>1814</v>
      </c>
      <c r="B180" s="394" t="s">
        <v>1815</v>
      </c>
      <c r="C180" s="497" t="s">
        <v>1817</v>
      </c>
      <c r="D180" s="396">
        <v>4</v>
      </c>
      <c r="E180" s="385">
        <f t="shared" si="68"/>
        <v>4000</v>
      </c>
      <c r="F180" s="368"/>
      <c r="G180" s="368">
        <v>4000</v>
      </c>
      <c r="H180" s="385">
        <f t="shared" si="69"/>
        <v>0</v>
      </c>
      <c r="I180" s="371"/>
      <c r="J180" s="371"/>
      <c r="K180" s="371"/>
      <c r="L180" s="371"/>
      <c r="M180" s="371"/>
      <c r="N180" s="371"/>
      <c r="O180" s="370"/>
      <c r="P180" s="386">
        <f t="shared" si="70"/>
        <v>4000</v>
      </c>
      <c r="Q180" s="371"/>
      <c r="R180" s="371"/>
      <c r="S180" s="371"/>
      <c r="T180" s="371"/>
      <c r="U180" s="371"/>
      <c r="V180" s="371"/>
      <c r="W180" s="371"/>
      <c r="X180" s="371"/>
      <c r="Y180" s="371"/>
      <c r="Z180" s="371"/>
      <c r="AA180" s="371"/>
      <c r="AB180" s="371"/>
      <c r="AC180" s="371"/>
      <c r="AD180" s="371"/>
      <c r="AE180" s="371">
        <v>4000</v>
      </c>
      <c r="AF180" s="385">
        <f t="shared" si="71"/>
        <v>0</v>
      </c>
      <c r="AG180" s="371"/>
      <c r="AH180" s="371"/>
      <c r="AI180" s="387">
        <f t="shared" si="49"/>
        <v>0</v>
      </c>
      <c r="AJ180" s="496"/>
    </row>
    <row r="181" spans="1:36" s="393" customFormat="1" ht="14.25">
      <c r="A181" s="397" t="s">
        <v>1814</v>
      </c>
      <c r="B181" s="394" t="s">
        <v>1815</v>
      </c>
      <c r="C181" s="497" t="s">
        <v>1818</v>
      </c>
      <c r="D181" s="396">
        <v>4</v>
      </c>
      <c r="E181" s="385">
        <f t="shared" si="68"/>
        <v>25927</v>
      </c>
      <c r="F181" s="368"/>
      <c r="G181" s="368">
        <v>25927</v>
      </c>
      <c r="H181" s="385">
        <f t="shared" si="69"/>
        <v>0</v>
      </c>
      <c r="I181" s="371"/>
      <c r="J181" s="371"/>
      <c r="K181" s="371"/>
      <c r="L181" s="371"/>
      <c r="M181" s="371"/>
      <c r="N181" s="371"/>
      <c r="O181" s="370"/>
      <c r="P181" s="386">
        <f t="shared" si="70"/>
        <v>0</v>
      </c>
      <c r="Q181" s="371"/>
      <c r="R181" s="371"/>
      <c r="S181" s="371"/>
      <c r="T181" s="371"/>
      <c r="U181" s="371"/>
      <c r="V181" s="371"/>
      <c r="W181" s="371"/>
      <c r="X181" s="371"/>
      <c r="Y181" s="371"/>
      <c r="Z181" s="371"/>
      <c r="AA181" s="371"/>
      <c r="AB181" s="371"/>
      <c r="AC181" s="371"/>
      <c r="AD181" s="371"/>
      <c r="AE181" s="371"/>
      <c r="AF181" s="385">
        <f t="shared" si="71"/>
        <v>25927</v>
      </c>
      <c r="AG181" s="371"/>
      <c r="AH181" s="371">
        <v>25927</v>
      </c>
      <c r="AI181" s="387">
        <f t="shared" si="49"/>
        <v>0</v>
      </c>
      <c r="AJ181" s="496"/>
    </row>
    <row r="182" spans="1:36" s="393" customFormat="1" ht="14.25">
      <c r="A182" s="397" t="s">
        <v>1814</v>
      </c>
      <c r="B182" s="394" t="s">
        <v>1815</v>
      </c>
      <c r="C182" s="497" t="s">
        <v>1819</v>
      </c>
      <c r="D182" s="396">
        <v>4</v>
      </c>
      <c r="E182" s="385">
        <f t="shared" si="68"/>
        <v>40758</v>
      </c>
      <c r="F182" s="368"/>
      <c r="G182" s="368">
        <v>40758</v>
      </c>
      <c r="H182" s="385">
        <f t="shared" si="69"/>
        <v>0</v>
      </c>
      <c r="I182" s="371"/>
      <c r="J182" s="371"/>
      <c r="K182" s="371"/>
      <c r="L182" s="371"/>
      <c r="M182" s="371"/>
      <c r="N182" s="371"/>
      <c r="O182" s="370"/>
      <c r="P182" s="386">
        <f t="shared" si="70"/>
        <v>0</v>
      </c>
      <c r="Q182" s="371"/>
      <c r="R182" s="371"/>
      <c r="S182" s="371"/>
      <c r="T182" s="371"/>
      <c r="U182" s="371"/>
      <c r="V182" s="371"/>
      <c r="W182" s="371"/>
      <c r="X182" s="371"/>
      <c r="Y182" s="371"/>
      <c r="Z182" s="371"/>
      <c r="AA182" s="371"/>
      <c r="AB182" s="371"/>
      <c r="AC182" s="371"/>
      <c r="AD182" s="371"/>
      <c r="AE182" s="371"/>
      <c r="AF182" s="385">
        <f t="shared" si="71"/>
        <v>40758</v>
      </c>
      <c r="AG182" s="371">
        <v>14000</v>
      </c>
      <c r="AH182" s="371">
        <v>26758</v>
      </c>
      <c r="AI182" s="387">
        <f t="shared" si="49"/>
        <v>0</v>
      </c>
      <c r="AJ182" s="496"/>
    </row>
    <row r="183" spans="1:36" s="393" customFormat="1" ht="14.25">
      <c r="A183" s="397" t="s">
        <v>1814</v>
      </c>
      <c r="B183" s="394" t="s">
        <v>1815</v>
      </c>
      <c r="C183" s="497" t="s">
        <v>1820</v>
      </c>
      <c r="D183" s="396">
        <v>4</v>
      </c>
      <c r="E183" s="385">
        <f t="shared" si="68"/>
        <v>1800</v>
      </c>
      <c r="F183" s="368"/>
      <c r="G183" s="368">
        <v>1800</v>
      </c>
      <c r="H183" s="385">
        <f t="shared" si="69"/>
        <v>0</v>
      </c>
      <c r="I183" s="371"/>
      <c r="J183" s="371"/>
      <c r="K183" s="371"/>
      <c r="L183" s="371"/>
      <c r="M183" s="371"/>
      <c r="N183" s="371"/>
      <c r="O183" s="370"/>
      <c r="P183" s="386">
        <f t="shared" si="70"/>
        <v>1800</v>
      </c>
      <c r="Q183" s="371"/>
      <c r="R183" s="371"/>
      <c r="S183" s="371"/>
      <c r="T183" s="371"/>
      <c r="U183" s="371"/>
      <c r="V183" s="371"/>
      <c r="W183" s="371"/>
      <c r="X183" s="371"/>
      <c r="Y183" s="371"/>
      <c r="Z183" s="371"/>
      <c r="AA183" s="371">
        <v>1800</v>
      </c>
      <c r="AB183" s="371"/>
      <c r="AC183" s="371"/>
      <c r="AD183" s="371"/>
      <c r="AE183" s="371"/>
      <c r="AF183" s="385">
        <f t="shared" si="71"/>
        <v>0</v>
      </c>
      <c r="AG183" s="371"/>
      <c r="AH183" s="371"/>
      <c r="AI183" s="387">
        <f t="shared" si="49"/>
        <v>0</v>
      </c>
      <c r="AJ183" s="496"/>
    </row>
    <row r="184" spans="1:36" s="393" customFormat="1" ht="14.25">
      <c r="A184" s="397" t="s">
        <v>1814</v>
      </c>
      <c r="B184" s="394" t="s">
        <v>1815</v>
      </c>
      <c r="C184" s="497" t="s">
        <v>1821</v>
      </c>
      <c r="D184" s="396">
        <v>4</v>
      </c>
      <c r="E184" s="385">
        <f t="shared" si="68"/>
        <v>250000</v>
      </c>
      <c r="F184" s="368"/>
      <c r="G184" s="368">
        <v>250000</v>
      </c>
      <c r="H184" s="385">
        <f t="shared" si="69"/>
        <v>30000</v>
      </c>
      <c r="I184" s="371"/>
      <c r="J184" s="371"/>
      <c r="K184" s="371"/>
      <c r="L184" s="371">
        <v>30000</v>
      </c>
      <c r="M184" s="371"/>
      <c r="N184" s="371"/>
      <c r="O184" s="370"/>
      <c r="P184" s="386">
        <f t="shared" si="70"/>
        <v>220000</v>
      </c>
      <c r="Q184" s="371">
        <v>60000</v>
      </c>
      <c r="R184" s="371"/>
      <c r="S184" s="371"/>
      <c r="T184" s="371"/>
      <c r="U184" s="371"/>
      <c r="V184" s="371"/>
      <c r="W184" s="371"/>
      <c r="X184" s="371"/>
      <c r="Y184" s="371"/>
      <c r="Z184" s="371">
        <v>65000</v>
      </c>
      <c r="AA184" s="371"/>
      <c r="AB184" s="371">
        <v>20000</v>
      </c>
      <c r="AC184" s="371"/>
      <c r="AD184" s="371"/>
      <c r="AE184" s="371">
        <v>75000</v>
      </c>
      <c r="AF184" s="385">
        <f t="shared" si="71"/>
        <v>0</v>
      </c>
      <c r="AG184" s="371"/>
      <c r="AH184" s="371"/>
      <c r="AI184" s="387">
        <f t="shared" si="49"/>
        <v>0</v>
      </c>
      <c r="AJ184" s="496"/>
    </row>
    <row r="185" spans="1:36" s="393" customFormat="1" ht="14.25">
      <c r="A185" s="397" t="s">
        <v>1814</v>
      </c>
      <c r="B185" s="394" t="s">
        <v>1815</v>
      </c>
      <c r="C185" s="497" t="s">
        <v>1822</v>
      </c>
      <c r="D185" s="396">
        <v>4</v>
      </c>
      <c r="E185" s="385">
        <f t="shared" si="68"/>
        <v>18847</v>
      </c>
      <c r="F185" s="368"/>
      <c r="G185" s="368">
        <v>18847</v>
      </c>
      <c r="H185" s="385">
        <f t="shared" si="69"/>
        <v>13847</v>
      </c>
      <c r="I185" s="371"/>
      <c r="J185" s="371"/>
      <c r="K185" s="371"/>
      <c r="L185" s="371"/>
      <c r="M185" s="371">
        <v>12920</v>
      </c>
      <c r="N185" s="371"/>
      <c r="O185" s="370">
        <v>927</v>
      </c>
      <c r="P185" s="386">
        <f t="shared" si="70"/>
        <v>5000</v>
      </c>
      <c r="Q185" s="371"/>
      <c r="R185" s="371"/>
      <c r="S185" s="371"/>
      <c r="T185" s="371"/>
      <c r="U185" s="371"/>
      <c r="V185" s="371"/>
      <c r="W185" s="371"/>
      <c r="X185" s="371"/>
      <c r="Y185" s="371"/>
      <c r="Z185" s="371"/>
      <c r="AA185" s="371"/>
      <c r="AB185" s="371"/>
      <c r="AC185" s="371"/>
      <c r="AD185" s="371"/>
      <c r="AE185" s="371">
        <v>5000</v>
      </c>
      <c r="AF185" s="385">
        <f t="shared" si="71"/>
        <v>0</v>
      </c>
      <c r="AG185" s="371"/>
      <c r="AH185" s="371"/>
      <c r="AI185" s="387">
        <f t="shared" si="49"/>
        <v>0</v>
      </c>
      <c r="AJ185" s="496"/>
    </row>
    <row r="186" spans="1:36" s="393" customFormat="1" ht="14.25">
      <c r="A186" s="397" t="s">
        <v>1814</v>
      </c>
      <c r="B186" s="394" t="s">
        <v>1815</v>
      </c>
      <c r="C186" s="497" t="s">
        <v>1823</v>
      </c>
      <c r="D186" s="396">
        <v>4</v>
      </c>
      <c r="E186" s="385">
        <f t="shared" si="68"/>
        <v>118561</v>
      </c>
      <c r="F186" s="368">
        <v>36181</v>
      </c>
      <c r="G186" s="579">
        <v>82380</v>
      </c>
      <c r="H186" s="385">
        <f t="shared" si="69"/>
        <v>10843</v>
      </c>
      <c r="I186" s="371">
        <v>0</v>
      </c>
      <c r="J186" s="371">
        <v>0</v>
      </c>
      <c r="K186" s="371">
        <v>0</v>
      </c>
      <c r="L186" s="371">
        <v>2000</v>
      </c>
      <c r="M186" s="371">
        <v>3543</v>
      </c>
      <c r="N186" s="371">
        <v>5300</v>
      </c>
      <c r="O186" s="370">
        <v>0</v>
      </c>
      <c r="P186" s="386">
        <f t="shared" si="70"/>
        <v>107718</v>
      </c>
      <c r="Q186" s="371">
        <v>2800</v>
      </c>
      <c r="R186" s="371">
        <v>0</v>
      </c>
      <c r="S186" s="371">
        <v>0</v>
      </c>
      <c r="T186" s="579">
        <v>47234</v>
      </c>
      <c r="U186" s="371">
        <v>0</v>
      </c>
      <c r="V186" s="371">
        <f>49301+1</f>
        <v>49302</v>
      </c>
      <c r="W186" s="371">
        <v>4920</v>
      </c>
      <c r="X186" s="371">
        <v>2600</v>
      </c>
      <c r="Y186" s="371">
        <v>0</v>
      </c>
      <c r="Z186" s="371">
        <v>0</v>
      </c>
      <c r="AA186" s="371">
        <v>862</v>
      </c>
      <c r="AB186" s="371">
        <v>0</v>
      </c>
      <c r="AC186" s="371">
        <v>0</v>
      </c>
      <c r="AD186" s="371">
        <v>0</v>
      </c>
      <c r="AE186" s="371">
        <v>0</v>
      </c>
      <c r="AF186" s="385">
        <f t="shared" si="71"/>
        <v>0</v>
      </c>
      <c r="AG186" s="371"/>
      <c r="AH186" s="371"/>
      <c r="AI186" s="387">
        <f t="shared" si="49"/>
        <v>0</v>
      </c>
      <c r="AJ186" s="496"/>
    </row>
    <row r="187" spans="1:36" s="410" customFormat="1" ht="21.6" customHeight="1">
      <c r="A187" s="405" t="s">
        <v>1814</v>
      </c>
      <c r="B187" s="406" t="s">
        <v>1824</v>
      </c>
      <c r="C187" s="407" t="s">
        <v>1242</v>
      </c>
      <c r="D187" s="408">
        <v>4</v>
      </c>
      <c r="E187" s="409">
        <f t="shared" si="68"/>
        <v>22814</v>
      </c>
      <c r="F187" s="554">
        <v>22814</v>
      </c>
      <c r="G187" s="409"/>
      <c r="H187" s="409">
        <f t="shared" si="69"/>
        <v>13994</v>
      </c>
      <c r="I187" s="409"/>
      <c r="J187" s="409"/>
      <c r="K187" s="409"/>
      <c r="L187" s="409"/>
      <c r="M187" s="409"/>
      <c r="N187" s="409"/>
      <c r="O187" s="581">
        <v>13994</v>
      </c>
      <c r="P187" s="409">
        <f t="shared" si="70"/>
        <v>7840</v>
      </c>
      <c r="Q187" s="409"/>
      <c r="R187" s="409"/>
      <c r="S187" s="409"/>
      <c r="T187" s="409"/>
      <c r="U187" s="409"/>
      <c r="V187" s="409"/>
      <c r="W187" s="409"/>
      <c r="X187" s="409"/>
      <c r="Y187" s="409"/>
      <c r="Z187" s="409"/>
      <c r="AA187" s="409"/>
      <c r="AB187" s="409"/>
      <c r="AC187" s="409"/>
      <c r="AD187" s="409"/>
      <c r="AE187" s="554">
        <v>7840</v>
      </c>
      <c r="AF187" s="409">
        <f t="shared" si="71"/>
        <v>980</v>
      </c>
      <c r="AG187" s="554">
        <v>490</v>
      </c>
      <c r="AH187" s="554">
        <v>490</v>
      </c>
      <c r="AI187" s="387">
        <f>IF(AND(+F187+G187=E187,AF187+P187+H187=E187,SUM(I187:O187,Q187:AE187,AG187:AH187)=E187),0,FALSE)</f>
        <v>0</v>
      </c>
      <c r="AJ187" s="496"/>
    </row>
    <row r="188" spans="1:36" s="515" customFormat="1" ht="24" customHeight="1">
      <c r="A188" s="510" t="s">
        <v>1271</v>
      </c>
      <c r="B188" s="511"/>
      <c r="C188" s="512"/>
      <c r="D188" s="513"/>
      <c r="E188" s="514">
        <f>E189+E210</f>
        <v>26153108</v>
      </c>
      <c r="F188" s="514">
        <f t="shared" ref="F188:AH188" si="72">F189+F210</f>
        <v>5718663</v>
      </c>
      <c r="G188" s="514">
        <f t="shared" si="72"/>
        <v>20434445</v>
      </c>
      <c r="H188" s="514">
        <f t="shared" si="72"/>
        <v>17749168</v>
      </c>
      <c r="I188" s="514">
        <f t="shared" si="72"/>
        <v>2650966</v>
      </c>
      <c r="J188" s="514">
        <f t="shared" si="72"/>
        <v>5190061</v>
      </c>
      <c r="K188" s="514">
        <f t="shared" si="72"/>
        <v>321654</v>
      </c>
      <c r="L188" s="514">
        <f t="shared" si="72"/>
        <v>3347677</v>
      </c>
      <c r="M188" s="514">
        <f t="shared" si="72"/>
        <v>330331</v>
      </c>
      <c r="N188" s="514">
        <f t="shared" si="72"/>
        <v>5878479</v>
      </c>
      <c r="O188" s="514">
        <f t="shared" si="72"/>
        <v>30000</v>
      </c>
      <c r="P188" s="514">
        <f t="shared" si="72"/>
        <v>6337708</v>
      </c>
      <c r="Q188" s="514">
        <f t="shared" si="72"/>
        <v>289561</v>
      </c>
      <c r="R188" s="514">
        <f t="shared" si="72"/>
        <v>240859</v>
      </c>
      <c r="S188" s="514">
        <f t="shared" si="72"/>
        <v>374057</v>
      </c>
      <c r="T188" s="514">
        <f t="shared" si="72"/>
        <v>652306</v>
      </c>
      <c r="U188" s="514">
        <f t="shared" si="72"/>
        <v>246172</v>
      </c>
      <c r="V188" s="514">
        <f t="shared" si="72"/>
        <v>517483</v>
      </c>
      <c r="W188" s="514">
        <f t="shared" si="72"/>
        <v>294625</v>
      </c>
      <c r="X188" s="514">
        <f t="shared" si="72"/>
        <v>532548</v>
      </c>
      <c r="Y188" s="514">
        <f t="shared" si="72"/>
        <v>631787</v>
      </c>
      <c r="Z188" s="514">
        <f t="shared" si="72"/>
        <v>574172</v>
      </c>
      <c r="AA188" s="514">
        <f t="shared" si="72"/>
        <v>224128</v>
      </c>
      <c r="AB188" s="514">
        <f t="shared" si="72"/>
        <v>64778</v>
      </c>
      <c r="AC188" s="514">
        <f t="shared" si="72"/>
        <v>95714</v>
      </c>
      <c r="AD188" s="514">
        <f t="shared" si="72"/>
        <v>56749</v>
      </c>
      <c r="AE188" s="514">
        <f t="shared" si="72"/>
        <v>1542769</v>
      </c>
      <c r="AF188" s="514">
        <f>AF189+AF210</f>
        <v>2066232</v>
      </c>
      <c r="AG188" s="514">
        <f t="shared" si="72"/>
        <v>1380984</v>
      </c>
      <c r="AH188" s="514">
        <f t="shared" si="72"/>
        <v>685248</v>
      </c>
      <c r="AI188" s="387">
        <f>IF(AND(+F188+G188=E188,AF188+P188+H188=E188,SUM(I188:O188,Q188:AE188,AG188:AH188)=E188),0,FALSE)</f>
        <v>0</v>
      </c>
    </row>
    <row r="189" spans="1:36" s="410" customFormat="1" ht="21.6" customHeight="1">
      <c r="A189" s="405" t="s">
        <v>1256</v>
      </c>
      <c r="B189" s="406"/>
      <c r="C189" s="407"/>
      <c r="D189" s="408"/>
      <c r="E189" s="409">
        <f t="shared" ref="E189:AH189" si="73">SUM(E190:E209)</f>
        <v>17290269</v>
      </c>
      <c r="F189" s="409">
        <f t="shared" si="73"/>
        <v>4027611</v>
      </c>
      <c r="G189" s="409">
        <f t="shared" si="73"/>
        <v>13262658</v>
      </c>
      <c r="H189" s="409">
        <f t="shared" si="73"/>
        <v>15750770</v>
      </c>
      <c r="I189" s="409">
        <f t="shared" si="73"/>
        <v>2361664</v>
      </c>
      <c r="J189" s="409">
        <f t="shared" si="73"/>
        <v>4900759</v>
      </c>
      <c r="K189" s="409">
        <f t="shared" si="73"/>
        <v>30891</v>
      </c>
      <c r="L189" s="409">
        <f t="shared" si="73"/>
        <v>3057826</v>
      </c>
      <c r="M189" s="409">
        <f t="shared" si="73"/>
        <v>38648</v>
      </c>
      <c r="N189" s="409">
        <f t="shared" si="73"/>
        <v>5350982</v>
      </c>
      <c r="O189" s="409">
        <f t="shared" si="73"/>
        <v>10000</v>
      </c>
      <c r="P189" s="409">
        <f t="shared" si="73"/>
        <v>355680</v>
      </c>
      <c r="Q189" s="409">
        <f t="shared" si="73"/>
        <v>34763</v>
      </c>
      <c r="R189" s="409">
        <f t="shared" si="73"/>
        <v>19073</v>
      </c>
      <c r="S189" s="409">
        <f t="shared" si="73"/>
        <v>15688</v>
      </c>
      <c r="T189" s="409">
        <f t="shared" si="73"/>
        <v>17155</v>
      </c>
      <c r="U189" s="409">
        <f t="shared" si="73"/>
        <v>11977</v>
      </c>
      <c r="V189" s="409">
        <f t="shared" si="73"/>
        <v>22357</v>
      </c>
      <c r="W189" s="409">
        <f t="shared" si="73"/>
        <v>26184</v>
      </c>
      <c r="X189" s="409">
        <f t="shared" si="73"/>
        <v>42871</v>
      </c>
      <c r="Y189" s="409">
        <f t="shared" si="73"/>
        <v>51597</v>
      </c>
      <c r="Z189" s="409">
        <f t="shared" si="73"/>
        <v>10950</v>
      </c>
      <c r="AA189" s="409">
        <f t="shared" si="73"/>
        <v>22364</v>
      </c>
      <c r="AB189" s="409">
        <f t="shared" si="73"/>
        <v>14914</v>
      </c>
      <c r="AC189" s="409">
        <f t="shared" si="73"/>
        <v>26527</v>
      </c>
      <c r="AD189" s="409">
        <f t="shared" si="73"/>
        <v>6885</v>
      </c>
      <c r="AE189" s="409">
        <f t="shared" si="73"/>
        <v>32375</v>
      </c>
      <c r="AF189" s="409">
        <f t="shared" si="73"/>
        <v>1183819</v>
      </c>
      <c r="AG189" s="409">
        <f t="shared" si="73"/>
        <v>551778</v>
      </c>
      <c r="AH189" s="409">
        <f t="shared" si="73"/>
        <v>632041</v>
      </c>
      <c r="AI189" s="387">
        <f t="shared" ref="AI189:AI252" si="74">IF(AND(+F189+G189=E189,AF189+P189+H189=E189,SUM(I189:O189,Q189:AE189,AG189:AH189)=E189),0,FALSE)</f>
        <v>0</v>
      </c>
      <c r="AJ189" s="496"/>
    </row>
    <row r="190" spans="1:36" s="393" customFormat="1" ht="14.25">
      <c r="A190" s="397" t="s">
        <v>1986</v>
      </c>
      <c r="B190" s="394" t="s">
        <v>1987</v>
      </c>
      <c r="C190" s="497" t="s">
        <v>1988</v>
      </c>
      <c r="D190" s="396">
        <v>4</v>
      </c>
      <c r="E190" s="910">
        <f>SUM(H190,P190,AF190)</f>
        <v>377022</v>
      </c>
      <c r="F190" s="911">
        <v>260122</v>
      </c>
      <c r="G190" s="911">
        <v>116900</v>
      </c>
      <c r="H190" s="385">
        <f>SUM(I190:O190)</f>
        <v>188987</v>
      </c>
      <c r="I190" s="911">
        <v>22893</v>
      </c>
      <c r="J190" s="911">
        <v>34485</v>
      </c>
      <c r="K190" s="911">
        <v>28055</v>
      </c>
      <c r="L190" s="911">
        <v>41110</v>
      </c>
      <c r="M190" s="911">
        <v>28348</v>
      </c>
      <c r="N190" s="911">
        <v>34096</v>
      </c>
      <c r="O190" s="912">
        <v>0</v>
      </c>
      <c r="P190" s="386">
        <f>SUM(Q190:AE190)</f>
        <v>170478</v>
      </c>
      <c r="Q190" s="911">
        <v>29712</v>
      </c>
      <c r="R190" s="911">
        <v>7793</v>
      </c>
      <c r="S190" s="911">
        <v>4871</v>
      </c>
      <c r="T190" s="911">
        <v>14125</v>
      </c>
      <c r="U190" s="911">
        <v>7793</v>
      </c>
      <c r="V190" s="911">
        <v>14125</v>
      </c>
      <c r="W190" s="911">
        <v>19970</v>
      </c>
      <c r="X190" s="911">
        <v>15100</v>
      </c>
      <c r="Y190" s="911">
        <v>7793</v>
      </c>
      <c r="Z190" s="911">
        <v>4871</v>
      </c>
      <c r="AA190" s="911">
        <v>4871</v>
      </c>
      <c r="AB190" s="911">
        <v>12177</v>
      </c>
      <c r="AC190" s="911">
        <v>22406</v>
      </c>
      <c r="AD190" s="911">
        <v>4871</v>
      </c>
      <c r="AE190" s="911"/>
      <c r="AF190" s="386">
        <f>SUM(AG190:AH190)</f>
        <v>17557</v>
      </c>
      <c r="AG190" s="911">
        <v>8778</v>
      </c>
      <c r="AH190" s="911">
        <v>8779</v>
      </c>
      <c r="AI190" s="387">
        <f t="shared" si="74"/>
        <v>0</v>
      </c>
      <c r="AJ190" s="496"/>
    </row>
    <row r="191" spans="1:36" s="393" customFormat="1" ht="14.25">
      <c r="A191" s="397" t="s">
        <v>1986</v>
      </c>
      <c r="B191" s="394" t="s">
        <v>1987</v>
      </c>
      <c r="C191" s="497" t="s">
        <v>1989</v>
      </c>
      <c r="D191" s="396">
        <v>4</v>
      </c>
      <c r="E191" s="910">
        <f>SUM(H191,P191,AF191)</f>
        <v>162595</v>
      </c>
      <c r="F191" s="911">
        <f>231933-79338</f>
        <v>152595</v>
      </c>
      <c r="G191" s="911">
        <v>10000</v>
      </c>
      <c r="H191" s="385">
        <f>SUM(I191:O191)</f>
        <v>53850</v>
      </c>
      <c r="I191" s="911">
        <f>14385-666</f>
        <v>13719</v>
      </c>
      <c r="J191" s="911">
        <v>7495</v>
      </c>
      <c r="K191" s="911">
        <v>2836</v>
      </c>
      <c r="L191" s="911">
        <v>8335</v>
      </c>
      <c r="M191" s="911">
        <v>10300</v>
      </c>
      <c r="N191" s="911">
        <f>11830-665</f>
        <v>11165</v>
      </c>
      <c r="O191" s="912"/>
      <c r="P191" s="386">
        <f>SUM(Q191:AE191)</f>
        <v>102745</v>
      </c>
      <c r="Q191" s="911">
        <v>5051</v>
      </c>
      <c r="R191" s="911">
        <v>11280</v>
      </c>
      <c r="S191" s="911">
        <v>10817</v>
      </c>
      <c r="T191" s="911">
        <v>3030</v>
      </c>
      <c r="U191" s="911">
        <v>4184</v>
      </c>
      <c r="V191" s="911">
        <v>8232</v>
      </c>
      <c r="W191" s="911">
        <v>6214</v>
      </c>
      <c r="X191" s="911">
        <v>8571</v>
      </c>
      <c r="Y191" s="911">
        <v>4468</v>
      </c>
      <c r="Z191" s="911">
        <v>6079</v>
      </c>
      <c r="AA191" s="911">
        <v>3572</v>
      </c>
      <c r="AB191" s="911">
        <v>2737</v>
      </c>
      <c r="AC191" s="911">
        <v>4121</v>
      </c>
      <c r="AD191" s="911">
        <v>2014</v>
      </c>
      <c r="AE191" s="911">
        <f>22375</f>
        <v>22375</v>
      </c>
      <c r="AF191" s="385">
        <f>SUM(AG191:AH191)</f>
        <v>6000</v>
      </c>
      <c r="AG191" s="911">
        <v>3000</v>
      </c>
      <c r="AH191" s="911">
        <v>3000</v>
      </c>
      <c r="AI191" s="387">
        <f t="shared" si="74"/>
        <v>0</v>
      </c>
      <c r="AJ191" s="496"/>
    </row>
    <row r="192" spans="1:36" s="393" customFormat="1" ht="14.25">
      <c r="A192" s="397" t="s">
        <v>1986</v>
      </c>
      <c r="B192" s="394" t="s">
        <v>1987</v>
      </c>
      <c r="C192" s="497" t="s">
        <v>1990</v>
      </c>
      <c r="D192" s="396">
        <v>9</v>
      </c>
      <c r="E192" s="910">
        <f t="shared" ref="E192:E208" si="75">SUM(H192,P192,AF192)</f>
        <v>3475775</v>
      </c>
      <c r="F192" s="911">
        <v>3475775</v>
      </c>
      <c r="G192" s="911"/>
      <c r="H192" s="385">
        <f t="shared" ref="H192:H210" si="76">SUM(I192:O192)</f>
        <v>3475775</v>
      </c>
      <c r="I192" s="911"/>
      <c r="J192" s="911">
        <v>2873779</v>
      </c>
      <c r="K192" s="911"/>
      <c r="L192" s="911"/>
      <c r="M192" s="911"/>
      <c r="N192" s="911">
        <v>601996</v>
      </c>
      <c r="O192" s="912"/>
      <c r="P192" s="386">
        <f t="shared" ref="P192:P209" si="77">SUM(Q192:AE192)</f>
        <v>0</v>
      </c>
      <c r="Q192" s="911"/>
      <c r="R192" s="911"/>
      <c r="S192" s="911"/>
      <c r="T192" s="911"/>
      <c r="U192" s="911"/>
      <c r="V192" s="911"/>
      <c r="W192" s="911"/>
      <c r="X192" s="911"/>
      <c r="Y192" s="911"/>
      <c r="Z192" s="911"/>
      <c r="AA192" s="911"/>
      <c r="AB192" s="911"/>
      <c r="AC192" s="911"/>
      <c r="AD192" s="911"/>
      <c r="AE192" s="911"/>
      <c r="AF192" s="385">
        <f t="shared" ref="AF192:AF197" si="78">SUM(AG192:AH192)</f>
        <v>0</v>
      </c>
      <c r="AG192" s="911"/>
      <c r="AH192" s="911"/>
      <c r="AI192" s="387">
        <f t="shared" si="74"/>
        <v>0</v>
      </c>
      <c r="AJ192" s="496"/>
    </row>
    <row r="193" spans="1:36" s="393" customFormat="1" ht="28.5">
      <c r="A193" s="397" t="s">
        <v>1986</v>
      </c>
      <c r="B193" s="394" t="s">
        <v>1987</v>
      </c>
      <c r="C193" s="497" t="s">
        <v>1991</v>
      </c>
      <c r="D193" s="396">
        <v>4</v>
      </c>
      <c r="E193" s="910">
        <f t="shared" si="75"/>
        <v>508000</v>
      </c>
      <c r="F193" s="911"/>
      <c r="G193" s="911">
        <v>508000</v>
      </c>
      <c r="H193" s="385">
        <f t="shared" si="76"/>
        <v>508000</v>
      </c>
      <c r="I193" s="911"/>
      <c r="J193" s="911">
        <v>508000</v>
      </c>
      <c r="K193" s="911"/>
      <c r="L193" s="911"/>
      <c r="M193" s="911"/>
      <c r="N193" s="911"/>
      <c r="O193" s="912"/>
      <c r="P193" s="386">
        <f t="shared" si="77"/>
        <v>0</v>
      </c>
      <c r="Q193" s="911"/>
      <c r="R193" s="911"/>
      <c r="S193" s="911"/>
      <c r="T193" s="911"/>
      <c r="U193" s="911"/>
      <c r="V193" s="911"/>
      <c r="W193" s="911"/>
      <c r="X193" s="911"/>
      <c r="Y193" s="911"/>
      <c r="Z193" s="911"/>
      <c r="AA193" s="911"/>
      <c r="AB193" s="911"/>
      <c r="AC193" s="911"/>
      <c r="AD193" s="911"/>
      <c r="AE193" s="911"/>
      <c r="AF193" s="385">
        <f t="shared" si="78"/>
        <v>0</v>
      </c>
      <c r="AG193" s="911"/>
      <c r="AH193" s="911"/>
      <c r="AI193" s="387">
        <f t="shared" si="74"/>
        <v>0</v>
      </c>
      <c r="AJ193" s="496"/>
    </row>
    <row r="194" spans="1:36" s="393" customFormat="1" ht="14.25">
      <c r="A194" s="397" t="s">
        <v>1986</v>
      </c>
      <c r="B194" s="394" t="s">
        <v>1987</v>
      </c>
      <c r="C194" s="497" t="s">
        <v>1992</v>
      </c>
      <c r="D194" s="396">
        <v>4</v>
      </c>
      <c r="E194" s="910">
        <f t="shared" si="75"/>
        <v>2325052</v>
      </c>
      <c r="F194" s="911"/>
      <c r="G194" s="911">
        <v>2325052</v>
      </c>
      <c r="H194" s="385">
        <f t="shared" si="76"/>
        <v>2325052</v>
      </c>
      <c r="I194" s="911">
        <v>2325052</v>
      </c>
      <c r="J194" s="911"/>
      <c r="K194" s="911"/>
      <c r="L194" s="911"/>
      <c r="M194" s="911"/>
      <c r="N194" s="911"/>
      <c r="O194" s="912"/>
      <c r="P194" s="386">
        <f t="shared" si="77"/>
        <v>0</v>
      </c>
      <c r="Q194" s="911"/>
      <c r="R194" s="911"/>
      <c r="S194" s="911"/>
      <c r="T194" s="911"/>
      <c r="U194" s="911"/>
      <c r="V194" s="911"/>
      <c r="W194" s="911"/>
      <c r="X194" s="911"/>
      <c r="Y194" s="911"/>
      <c r="Z194" s="911"/>
      <c r="AA194" s="911"/>
      <c r="AB194" s="911"/>
      <c r="AC194" s="911"/>
      <c r="AD194" s="911"/>
      <c r="AE194" s="911"/>
      <c r="AF194" s="385">
        <f t="shared" si="78"/>
        <v>0</v>
      </c>
      <c r="AG194" s="911"/>
      <c r="AH194" s="911"/>
      <c r="AI194" s="387">
        <f t="shared" si="74"/>
        <v>0</v>
      </c>
      <c r="AJ194" s="496"/>
    </row>
    <row r="195" spans="1:36" s="393" customFormat="1" ht="28.5">
      <c r="A195" s="397" t="s">
        <v>1986</v>
      </c>
      <c r="B195" s="394" t="s">
        <v>1987</v>
      </c>
      <c r="C195" s="497" t="s">
        <v>1993</v>
      </c>
      <c r="D195" s="396">
        <v>4</v>
      </c>
      <c r="E195" s="910">
        <f t="shared" si="75"/>
        <v>135000</v>
      </c>
      <c r="F195" s="911"/>
      <c r="G195" s="911">
        <v>135000</v>
      </c>
      <c r="H195" s="385">
        <f t="shared" si="76"/>
        <v>135000</v>
      </c>
      <c r="I195" s="911"/>
      <c r="J195" s="911">
        <v>135000</v>
      </c>
      <c r="K195" s="911"/>
      <c r="L195" s="911"/>
      <c r="M195" s="911"/>
      <c r="N195" s="911"/>
      <c r="O195" s="912"/>
      <c r="P195" s="386">
        <f t="shared" si="77"/>
        <v>0</v>
      </c>
      <c r="Q195" s="911"/>
      <c r="R195" s="911"/>
      <c r="S195" s="911"/>
      <c r="T195" s="911"/>
      <c r="U195" s="911"/>
      <c r="V195" s="911"/>
      <c r="W195" s="911"/>
      <c r="X195" s="911"/>
      <c r="Y195" s="911"/>
      <c r="Z195" s="911"/>
      <c r="AA195" s="911"/>
      <c r="AB195" s="911"/>
      <c r="AC195" s="911"/>
      <c r="AD195" s="911"/>
      <c r="AE195" s="911"/>
      <c r="AF195" s="385">
        <f t="shared" si="78"/>
        <v>0</v>
      </c>
      <c r="AG195" s="911"/>
      <c r="AH195" s="911"/>
      <c r="AI195" s="387">
        <f t="shared" si="74"/>
        <v>0</v>
      </c>
      <c r="AJ195" s="496"/>
    </row>
    <row r="196" spans="1:36" s="393" customFormat="1" ht="28.5">
      <c r="A196" s="397" t="s">
        <v>1986</v>
      </c>
      <c r="B196" s="394" t="s">
        <v>1987</v>
      </c>
      <c r="C196" s="497" t="s">
        <v>1994</v>
      </c>
      <c r="D196" s="396">
        <v>4</v>
      </c>
      <c r="E196" s="910">
        <f t="shared" si="75"/>
        <v>1342000</v>
      </c>
      <c r="F196" s="911"/>
      <c r="G196" s="911">
        <v>1342000</v>
      </c>
      <c r="H196" s="385">
        <f t="shared" si="76"/>
        <v>1342000</v>
      </c>
      <c r="I196" s="911"/>
      <c r="J196" s="911">
        <v>1342000</v>
      </c>
      <c r="K196" s="911"/>
      <c r="L196" s="911"/>
      <c r="M196" s="911"/>
      <c r="N196" s="911"/>
      <c r="O196" s="912"/>
      <c r="P196" s="386">
        <f t="shared" si="77"/>
        <v>0</v>
      </c>
      <c r="Q196" s="911"/>
      <c r="R196" s="911"/>
      <c r="S196" s="911"/>
      <c r="T196" s="911"/>
      <c r="U196" s="911"/>
      <c r="V196" s="911"/>
      <c r="W196" s="911"/>
      <c r="X196" s="911"/>
      <c r="Y196" s="911"/>
      <c r="Z196" s="911"/>
      <c r="AA196" s="911"/>
      <c r="AB196" s="911"/>
      <c r="AC196" s="911"/>
      <c r="AD196" s="911"/>
      <c r="AE196" s="911"/>
      <c r="AF196" s="385">
        <f t="shared" si="78"/>
        <v>0</v>
      </c>
      <c r="AG196" s="911"/>
      <c r="AH196" s="911"/>
      <c r="AI196" s="387">
        <f t="shared" si="74"/>
        <v>0</v>
      </c>
      <c r="AJ196" s="496"/>
    </row>
    <row r="197" spans="1:36" s="393" customFormat="1" ht="14.25">
      <c r="A197" s="397" t="s">
        <v>1986</v>
      </c>
      <c r="B197" s="394" t="s">
        <v>1987</v>
      </c>
      <c r="C197" s="497" t="s">
        <v>1995</v>
      </c>
      <c r="D197" s="396">
        <v>4</v>
      </c>
      <c r="E197" s="910">
        <f t="shared" si="75"/>
        <v>1098000</v>
      </c>
      <c r="F197" s="911"/>
      <c r="G197" s="911">
        <v>1098000</v>
      </c>
      <c r="H197" s="385">
        <f t="shared" si="76"/>
        <v>1098000</v>
      </c>
      <c r="I197" s="911"/>
      <c r="J197" s="911"/>
      <c r="K197" s="911"/>
      <c r="L197" s="911"/>
      <c r="M197" s="911"/>
      <c r="N197" s="911">
        <v>1098000</v>
      </c>
      <c r="O197" s="912"/>
      <c r="P197" s="386">
        <f t="shared" si="77"/>
        <v>0</v>
      </c>
      <c r="Q197" s="911"/>
      <c r="R197" s="911"/>
      <c r="S197" s="911"/>
      <c r="T197" s="911"/>
      <c r="U197" s="911"/>
      <c r="V197" s="911"/>
      <c r="W197" s="911"/>
      <c r="X197" s="911"/>
      <c r="Y197" s="911"/>
      <c r="Z197" s="911"/>
      <c r="AA197" s="911"/>
      <c r="AB197" s="911"/>
      <c r="AC197" s="911"/>
      <c r="AD197" s="911"/>
      <c r="AE197" s="911"/>
      <c r="AF197" s="385">
        <f t="shared" si="78"/>
        <v>0</v>
      </c>
      <c r="AG197" s="911"/>
      <c r="AH197" s="911"/>
      <c r="AI197" s="387">
        <f t="shared" si="74"/>
        <v>0</v>
      </c>
      <c r="AJ197" s="496"/>
    </row>
    <row r="198" spans="1:36" s="393" customFormat="1" ht="14.25">
      <c r="A198" s="397" t="s">
        <v>1986</v>
      </c>
      <c r="B198" s="394" t="s">
        <v>1987</v>
      </c>
      <c r="C198" s="497" t="s">
        <v>1996</v>
      </c>
      <c r="D198" s="396">
        <v>4</v>
      </c>
      <c r="E198" s="910">
        <f t="shared" si="75"/>
        <v>20000</v>
      </c>
      <c r="F198" s="911"/>
      <c r="G198" s="911">
        <v>20000</v>
      </c>
      <c r="H198" s="385">
        <f t="shared" si="76"/>
        <v>10000</v>
      </c>
      <c r="I198" s="911"/>
      <c r="J198" s="911"/>
      <c r="K198" s="911"/>
      <c r="L198" s="911"/>
      <c r="M198" s="911"/>
      <c r="N198" s="911"/>
      <c r="O198" s="912">
        <v>10000</v>
      </c>
      <c r="P198" s="386">
        <f t="shared" si="77"/>
        <v>10000</v>
      </c>
      <c r="Q198" s="911"/>
      <c r="R198" s="911"/>
      <c r="S198" s="911"/>
      <c r="T198" s="911"/>
      <c r="U198" s="911"/>
      <c r="V198" s="911"/>
      <c r="W198" s="911"/>
      <c r="X198" s="911"/>
      <c r="Y198" s="911"/>
      <c r="Z198" s="911"/>
      <c r="AA198" s="911"/>
      <c r="AB198" s="911"/>
      <c r="AC198" s="911"/>
      <c r="AD198" s="911"/>
      <c r="AE198" s="911">
        <v>10000</v>
      </c>
      <c r="AF198" s="385"/>
      <c r="AG198" s="911"/>
      <c r="AH198" s="911"/>
      <c r="AI198" s="387">
        <f t="shared" si="74"/>
        <v>0</v>
      </c>
      <c r="AJ198" s="496"/>
    </row>
    <row r="199" spans="1:36" s="393" customFormat="1" ht="28.5">
      <c r="A199" s="397" t="s">
        <v>1986</v>
      </c>
      <c r="B199" s="394" t="s">
        <v>1997</v>
      </c>
      <c r="C199" s="497" t="s">
        <v>1998</v>
      </c>
      <c r="D199" s="396">
        <v>4</v>
      </c>
      <c r="E199" s="910">
        <f t="shared" si="75"/>
        <v>14000</v>
      </c>
      <c r="F199" s="911"/>
      <c r="G199" s="911">
        <v>14000</v>
      </c>
      <c r="H199" s="385">
        <f t="shared" si="76"/>
        <v>0</v>
      </c>
      <c r="I199" s="911"/>
      <c r="J199" s="911"/>
      <c r="K199" s="911"/>
      <c r="L199" s="911"/>
      <c r="M199" s="911"/>
      <c r="N199" s="911"/>
      <c r="O199" s="912"/>
      <c r="P199" s="386">
        <f t="shared" si="77"/>
        <v>11100</v>
      </c>
      <c r="Q199" s="911"/>
      <c r="R199" s="911"/>
      <c r="S199" s="911"/>
      <c r="T199" s="911"/>
      <c r="U199" s="911"/>
      <c r="V199" s="911"/>
      <c r="W199" s="911"/>
      <c r="X199" s="911">
        <v>4700</v>
      </c>
      <c r="Y199" s="911">
        <v>3500</v>
      </c>
      <c r="Z199" s="911"/>
      <c r="AA199" s="911">
        <v>2900</v>
      </c>
      <c r="AB199" s="911"/>
      <c r="AC199" s="911"/>
      <c r="AD199" s="911"/>
      <c r="AE199" s="911"/>
      <c r="AF199" s="385">
        <f t="shared" ref="AF199:AF210" si="79">SUM(AG199:AH199)</f>
        <v>2900</v>
      </c>
      <c r="AG199" s="911"/>
      <c r="AH199" s="911">
        <v>2900</v>
      </c>
      <c r="AI199" s="387">
        <f t="shared" si="74"/>
        <v>0</v>
      </c>
      <c r="AJ199" s="496"/>
    </row>
    <row r="200" spans="1:36" s="393" customFormat="1" ht="14.25">
      <c r="A200" s="397" t="s">
        <v>1986</v>
      </c>
      <c r="B200" s="394" t="s">
        <v>1997</v>
      </c>
      <c r="C200" s="497" t="s">
        <v>1999</v>
      </c>
      <c r="D200" s="396">
        <v>4</v>
      </c>
      <c r="E200" s="910">
        <f t="shared" si="75"/>
        <v>20000</v>
      </c>
      <c r="F200" s="911"/>
      <c r="G200" s="911">
        <v>20000</v>
      </c>
      <c r="H200" s="385">
        <f t="shared" si="76"/>
        <v>0</v>
      </c>
      <c r="I200" s="911"/>
      <c r="J200" s="911"/>
      <c r="K200" s="911"/>
      <c r="L200" s="911"/>
      <c r="M200" s="911"/>
      <c r="N200" s="911"/>
      <c r="O200" s="912"/>
      <c r="P200" s="386">
        <f t="shared" si="77"/>
        <v>20000</v>
      </c>
      <c r="Q200" s="911"/>
      <c r="R200" s="911"/>
      <c r="S200" s="911"/>
      <c r="T200" s="911"/>
      <c r="U200" s="911"/>
      <c r="V200" s="911"/>
      <c r="W200" s="911"/>
      <c r="X200" s="911"/>
      <c r="Y200" s="911">
        <v>20000</v>
      </c>
      <c r="Z200" s="911"/>
      <c r="AA200" s="911"/>
      <c r="AB200" s="911"/>
      <c r="AC200" s="911"/>
      <c r="AD200" s="911"/>
      <c r="AE200" s="911"/>
      <c r="AF200" s="385">
        <f t="shared" si="79"/>
        <v>0</v>
      </c>
      <c r="AG200" s="911"/>
      <c r="AH200" s="911"/>
      <c r="AI200" s="387">
        <f t="shared" si="74"/>
        <v>0</v>
      </c>
      <c r="AJ200" s="496"/>
    </row>
    <row r="201" spans="1:36" s="393" customFormat="1" ht="14.25">
      <c r="A201" s="397" t="s">
        <v>1986</v>
      </c>
      <c r="B201" s="394" t="s">
        <v>2000</v>
      </c>
      <c r="C201" s="497" t="s">
        <v>2001</v>
      </c>
      <c r="D201" s="396">
        <v>4</v>
      </c>
      <c r="E201" s="910">
        <f t="shared" si="75"/>
        <v>1081309</v>
      </c>
      <c r="F201" s="911"/>
      <c r="G201" s="911">
        <v>1081309</v>
      </c>
      <c r="H201" s="385">
        <f t="shared" si="76"/>
        <v>1081309</v>
      </c>
      <c r="I201" s="911"/>
      <c r="J201" s="911"/>
      <c r="K201" s="911"/>
      <c r="L201" s="911">
        <v>1081309</v>
      </c>
      <c r="M201" s="911"/>
      <c r="N201" s="911"/>
      <c r="O201" s="912"/>
      <c r="P201" s="386">
        <f t="shared" si="77"/>
        <v>0</v>
      </c>
      <c r="Q201" s="911"/>
      <c r="R201" s="911"/>
      <c r="S201" s="911"/>
      <c r="T201" s="911"/>
      <c r="U201" s="911"/>
      <c r="V201" s="911"/>
      <c r="W201" s="911"/>
      <c r="X201" s="911"/>
      <c r="Y201" s="911"/>
      <c r="Z201" s="911"/>
      <c r="AA201" s="911"/>
      <c r="AB201" s="911"/>
      <c r="AC201" s="911"/>
      <c r="AD201" s="911"/>
      <c r="AE201" s="911"/>
      <c r="AF201" s="385">
        <f t="shared" si="79"/>
        <v>0</v>
      </c>
      <c r="AG201" s="911"/>
      <c r="AH201" s="911"/>
      <c r="AI201" s="387">
        <f t="shared" si="74"/>
        <v>0</v>
      </c>
      <c r="AJ201" s="496"/>
    </row>
    <row r="202" spans="1:36" s="393" customFormat="1" ht="14.25">
      <c r="A202" s="397" t="s">
        <v>1986</v>
      </c>
      <c r="B202" s="394" t="s">
        <v>2000</v>
      </c>
      <c r="C202" s="497" t="s">
        <v>2002</v>
      </c>
      <c r="D202" s="396">
        <v>4</v>
      </c>
      <c r="E202" s="910">
        <f t="shared" si="75"/>
        <v>2028800</v>
      </c>
      <c r="F202" s="911"/>
      <c r="G202" s="911">
        <v>2028800</v>
      </c>
      <c r="H202" s="385">
        <f t="shared" si="76"/>
        <v>2028800</v>
      </c>
      <c r="I202" s="911"/>
      <c r="J202" s="911"/>
      <c r="K202" s="911"/>
      <c r="L202" s="911"/>
      <c r="M202" s="911"/>
      <c r="N202" s="911">
        <v>2028800</v>
      </c>
      <c r="O202" s="912"/>
      <c r="P202" s="386">
        <f t="shared" si="77"/>
        <v>0</v>
      </c>
      <c r="Q202" s="911"/>
      <c r="R202" s="911"/>
      <c r="S202" s="911"/>
      <c r="T202" s="911"/>
      <c r="U202" s="911"/>
      <c r="V202" s="911"/>
      <c r="W202" s="911"/>
      <c r="X202" s="911"/>
      <c r="Y202" s="911"/>
      <c r="Z202" s="911"/>
      <c r="AA202" s="911"/>
      <c r="AB202" s="911"/>
      <c r="AC202" s="911"/>
      <c r="AD202" s="911"/>
      <c r="AE202" s="911"/>
      <c r="AF202" s="385">
        <f t="shared" si="79"/>
        <v>0</v>
      </c>
      <c r="AG202" s="911"/>
      <c r="AH202" s="911"/>
      <c r="AI202" s="387">
        <f t="shared" si="74"/>
        <v>0</v>
      </c>
      <c r="AJ202" s="496"/>
    </row>
    <row r="203" spans="1:36" s="393" customFormat="1" ht="14.25">
      <c r="A203" s="397" t="s">
        <v>1986</v>
      </c>
      <c r="B203" s="394" t="s">
        <v>2000</v>
      </c>
      <c r="C203" s="497" t="s">
        <v>2003</v>
      </c>
      <c r="D203" s="396">
        <v>4</v>
      </c>
      <c r="E203" s="910">
        <f t="shared" si="75"/>
        <v>1226325</v>
      </c>
      <c r="F203" s="911"/>
      <c r="G203" s="911">
        <v>1226325</v>
      </c>
      <c r="H203" s="385">
        <f t="shared" si="76"/>
        <v>1226325</v>
      </c>
      <c r="I203" s="911"/>
      <c r="J203" s="911"/>
      <c r="K203" s="911"/>
      <c r="L203" s="911"/>
      <c r="M203" s="911"/>
      <c r="N203" s="911">
        <v>1226325</v>
      </c>
      <c r="O203" s="912"/>
      <c r="P203" s="386">
        <f t="shared" si="77"/>
        <v>0</v>
      </c>
      <c r="Q203" s="911"/>
      <c r="R203" s="911"/>
      <c r="S203" s="911"/>
      <c r="T203" s="911"/>
      <c r="U203" s="911"/>
      <c r="V203" s="911"/>
      <c r="W203" s="911"/>
      <c r="X203" s="911"/>
      <c r="Y203" s="911"/>
      <c r="Z203" s="911"/>
      <c r="AA203" s="911"/>
      <c r="AB203" s="911"/>
      <c r="AC203" s="911"/>
      <c r="AD203" s="911"/>
      <c r="AE203" s="911"/>
      <c r="AF203" s="385">
        <f t="shared" si="79"/>
        <v>0</v>
      </c>
      <c r="AG203" s="911"/>
      <c r="AH203" s="911"/>
      <c r="AI203" s="387">
        <f t="shared" si="74"/>
        <v>0</v>
      </c>
      <c r="AJ203" s="496"/>
    </row>
    <row r="204" spans="1:36" s="393" customFormat="1" ht="14.25">
      <c r="A204" s="397" t="s">
        <v>1986</v>
      </c>
      <c r="B204" s="394" t="s">
        <v>2000</v>
      </c>
      <c r="C204" s="497" t="s">
        <v>2004</v>
      </c>
      <c r="D204" s="396">
        <v>4</v>
      </c>
      <c r="E204" s="910">
        <f t="shared" si="75"/>
        <v>350600</v>
      </c>
      <c r="F204" s="911"/>
      <c r="G204" s="911">
        <v>350600</v>
      </c>
      <c r="H204" s="385">
        <f t="shared" si="76"/>
        <v>350600</v>
      </c>
      <c r="I204" s="911"/>
      <c r="J204" s="911"/>
      <c r="K204" s="911"/>
      <c r="L204" s="911"/>
      <c r="M204" s="911"/>
      <c r="N204" s="911">
        <v>350600</v>
      </c>
      <c r="O204" s="912"/>
      <c r="P204" s="386">
        <f t="shared" si="77"/>
        <v>0</v>
      </c>
      <c r="Q204" s="911"/>
      <c r="R204" s="911"/>
      <c r="S204" s="911"/>
      <c r="T204" s="911"/>
      <c r="U204" s="911"/>
      <c r="V204" s="911"/>
      <c r="W204" s="911"/>
      <c r="X204" s="911"/>
      <c r="Y204" s="911"/>
      <c r="Z204" s="911"/>
      <c r="AA204" s="911"/>
      <c r="AB204" s="911"/>
      <c r="AC204" s="911"/>
      <c r="AD204" s="911"/>
      <c r="AE204" s="911"/>
      <c r="AF204" s="385">
        <f t="shared" si="79"/>
        <v>0</v>
      </c>
      <c r="AG204" s="911"/>
      <c r="AH204" s="911"/>
      <c r="AI204" s="387">
        <f t="shared" si="74"/>
        <v>0</v>
      </c>
      <c r="AJ204" s="496"/>
    </row>
    <row r="205" spans="1:36" s="393" customFormat="1" ht="14.25">
      <c r="A205" s="397" t="s">
        <v>1986</v>
      </c>
      <c r="B205" s="394" t="s">
        <v>2005</v>
      </c>
      <c r="C205" s="497" t="s">
        <v>2006</v>
      </c>
      <c r="D205" s="396">
        <v>4</v>
      </c>
      <c r="E205" s="910">
        <f t="shared" si="75"/>
        <v>1927072</v>
      </c>
      <c r="F205" s="911"/>
      <c r="G205" s="911">
        <v>1927072</v>
      </c>
      <c r="H205" s="385">
        <f t="shared" si="76"/>
        <v>1927072</v>
      </c>
      <c r="I205" s="911"/>
      <c r="J205" s="911"/>
      <c r="K205" s="911"/>
      <c r="L205" s="911">
        <v>1927072</v>
      </c>
      <c r="M205" s="911"/>
      <c r="N205" s="911"/>
      <c r="O205" s="912"/>
      <c r="P205" s="386">
        <f t="shared" si="77"/>
        <v>0</v>
      </c>
      <c r="Q205" s="911"/>
      <c r="R205" s="911"/>
      <c r="S205" s="911"/>
      <c r="T205" s="911"/>
      <c r="U205" s="911"/>
      <c r="V205" s="911"/>
      <c r="W205" s="911"/>
      <c r="X205" s="911"/>
      <c r="Y205" s="911"/>
      <c r="Z205" s="911"/>
      <c r="AA205" s="911"/>
      <c r="AB205" s="911"/>
      <c r="AC205" s="911"/>
      <c r="AD205" s="911"/>
      <c r="AE205" s="911"/>
      <c r="AF205" s="385">
        <f t="shared" si="79"/>
        <v>0</v>
      </c>
      <c r="AG205" s="911"/>
      <c r="AH205" s="911"/>
      <c r="AI205" s="387">
        <f t="shared" si="74"/>
        <v>0</v>
      </c>
      <c r="AJ205" s="496"/>
    </row>
    <row r="206" spans="1:36" s="393" customFormat="1" ht="28.5">
      <c r="A206" s="397" t="s">
        <v>1986</v>
      </c>
      <c r="B206" s="394" t="s">
        <v>2007</v>
      </c>
      <c r="C206" s="497" t="s">
        <v>2008</v>
      </c>
      <c r="D206" s="396">
        <v>4</v>
      </c>
      <c r="E206" s="910">
        <f t="shared" si="75"/>
        <v>540000</v>
      </c>
      <c r="F206" s="911"/>
      <c r="G206" s="911">
        <v>540000</v>
      </c>
      <c r="H206" s="385">
        <f t="shared" si="76"/>
        <v>0</v>
      </c>
      <c r="I206" s="911"/>
      <c r="J206" s="911"/>
      <c r="K206" s="911"/>
      <c r="L206" s="911"/>
      <c r="M206" s="911"/>
      <c r="N206" s="911"/>
      <c r="O206" s="912"/>
      <c r="P206" s="386">
        <f t="shared" si="77"/>
        <v>0</v>
      </c>
      <c r="Q206" s="911"/>
      <c r="R206" s="911"/>
      <c r="S206" s="911"/>
      <c r="T206" s="911"/>
      <c r="U206" s="911"/>
      <c r="V206" s="911"/>
      <c r="W206" s="911"/>
      <c r="X206" s="911"/>
      <c r="Y206" s="911"/>
      <c r="Z206" s="911"/>
      <c r="AA206" s="911"/>
      <c r="AB206" s="911"/>
      <c r="AC206" s="911"/>
      <c r="AD206" s="911"/>
      <c r="AE206" s="911"/>
      <c r="AF206" s="385">
        <f t="shared" si="79"/>
        <v>540000</v>
      </c>
      <c r="AG206" s="911">
        <v>540000</v>
      </c>
      <c r="AH206" s="911"/>
      <c r="AI206" s="387">
        <f t="shared" si="74"/>
        <v>0</v>
      </c>
      <c r="AJ206" s="496"/>
    </row>
    <row r="207" spans="1:36" s="393" customFormat="1" ht="28.5">
      <c r="A207" s="397" t="s">
        <v>1986</v>
      </c>
      <c r="B207" s="394" t="s">
        <v>2007</v>
      </c>
      <c r="C207" s="497" t="s">
        <v>2009</v>
      </c>
      <c r="D207" s="396">
        <v>4</v>
      </c>
      <c r="E207" s="910">
        <f t="shared" si="75"/>
        <v>519600</v>
      </c>
      <c r="F207" s="911"/>
      <c r="G207" s="911">
        <f>SUM(J207,AG207,R207,AH207)</f>
        <v>519600</v>
      </c>
      <c r="H207" s="385">
        <f t="shared" si="76"/>
        <v>0</v>
      </c>
      <c r="I207" s="911"/>
      <c r="J207" s="911"/>
      <c r="K207" s="911"/>
      <c r="L207" s="911"/>
      <c r="M207" s="911"/>
      <c r="N207" s="911"/>
      <c r="O207" s="912"/>
      <c r="P207" s="386">
        <f t="shared" si="77"/>
        <v>0</v>
      </c>
      <c r="Q207" s="911"/>
      <c r="R207" s="911"/>
      <c r="S207" s="911"/>
      <c r="T207" s="911"/>
      <c r="U207" s="911"/>
      <c r="V207" s="911"/>
      <c r="W207" s="911"/>
      <c r="X207" s="911"/>
      <c r="Y207" s="911"/>
      <c r="Z207" s="911"/>
      <c r="AA207" s="911"/>
      <c r="AB207" s="911"/>
      <c r="AC207" s="911"/>
      <c r="AD207" s="911"/>
      <c r="AE207" s="911"/>
      <c r="AF207" s="385">
        <f t="shared" si="79"/>
        <v>519600</v>
      </c>
      <c r="AG207" s="911"/>
      <c r="AH207" s="911">
        <v>519600</v>
      </c>
      <c r="AI207" s="387">
        <f t="shared" si="74"/>
        <v>0</v>
      </c>
      <c r="AJ207" s="496"/>
    </row>
    <row r="208" spans="1:36" s="393" customFormat="1" ht="14.25">
      <c r="A208" s="397" t="s">
        <v>1986</v>
      </c>
      <c r="B208" s="394" t="s">
        <v>2007</v>
      </c>
      <c r="C208" s="497" t="s">
        <v>2010</v>
      </c>
      <c r="D208" s="396">
        <v>4</v>
      </c>
      <c r="E208" s="910">
        <f t="shared" si="75"/>
        <v>2261</v>
      </c>
      <c r="F208" s="911">
        <f>AF208</f>
        <v>2261</v>
      </c>
      <c r="G208" s="911"/>
      <c r="H208" s="385">
        <f t="shared" si="76"/>
        <v>0</v>
      </c>
      <c r="I208" s="911"/>
      <c r="J208" s="911"/>
      <c r="K208" s="911"/>
      <c r="L208" s="911"/>
      <c r="M208" s="911"/>
      <c r="N208" s="911"/>
      <c r="O208" s="912"/>
      <c r="P208" s="386">
        <f t="shared" si="77"/>
        <v>0</v>
      </c>
      <c r="Q208" s="911"/>
      <c r="R208" s="911"/>
      <c r="S208" s="911"/>
      <c r="T208" s="911"/>
      <c r="U208" s="911"/>
      <c r="V208" s="911"/>
      <c r="W208" s="911"/>
      <c r="X208" s="911"/>
      <c r="Y208" s="911"/>
      <c r="Z208" s="911"/>
      <c r="AA208" s="911"/>
      <c r="AB208" s="911"/>
      <c r="AC208" s="911"/>
      <c r="AD208" s="911"/>
      <c r="AE208" s="911"/>
      <c r="AF208" s="385">
        <f t="shared" si="79"/>
        <v>2261</v>
      </c>
      <c r="AG208" s="911"/>
      <c r="AH208" s="911">
        <v>2261</v>
      </c>
      <c r="AI208" s="387">
        <f t="shared" si="74"/>
        <v>0</v>
      </c>
      <c r="AJ208" s="496"/>
    </row>
    <row r="209" spans="1:41" s="393" customFormat="1" ht="28.5">
      <c r="A209" s="397" t="s">
        <v>1986</v>
      </c>
      <c r="B209" s="394" t="s">
        <v>2007</v>
      </c>
      <c r="C209" s="497" t="s">
        <v>2011</v>
      </c>
      <c r="D209" s="396">
        <v>4</v>
      </c>
      <c r="E209" s="910">
        <v>136858</v>
      </c>
      <c r="F209" s="911">
        <f>P209+AF209</f>
        <v>136858</v>
      </c>
      <c r="G209" s="911"/>
      <c r="H209" s="385">
        <f t="shared" si="76"/>
        <v>0</v>
      </c>
      <c r="I209" s="911"/>
      <c r="J209" s="911"/>
      <c r="K209" s="911"/>
      <c r="L209" s="911"/>
      <c r="M209" s="911"/>
      <c r="N209" s="911"/>
      <c r="O209" s="912"/>
      <c r="P209" s="386">
        <f t="shared" si="77"/>
        <v>41357</v>
      </c>
      <c r="Q209" s="911"/>
      <c r="R209" s="911"/>
      <c r="S209" s="911"/>
      <c r="T209" s="911"/>
      <c r="U209" s="911"/>
      <c r="V209" s="911"/>
      <c r="W209" s="911"/>
      <c r="X209" s="911">
        <v>14500</v>
      </c>
      <c r="Y209" s="911">
        <v>15836</v>
      </c>
      <c r="Z209" s="911"/>
      <c r="AA209" s="911">
        <v>11021</v>
      </c>
      <c r="AB209" s="911"/>
      <c r="AC209" s="911"/>
      <c r="AD209" s="911"/>
      <c r="AE209" s="911"/>
      <c r="AF209" s="385">
        <f t="shared" si="79"/>
        <v>95501</v>
      </c>
      <c r="AG209" s="911"/>
      <c r="AH209" s="911">
        <v>95501</v>
      </c>
      <c r="AI209" s="387">
        <f t="shared" si="74"/>
        <v>0</v>
      </c>
      <c r="AJ209" s="496"/>
    </row>
    <row r="210" spans="1:41" s="410" customFormat="1" ht="21.6" customHeight="1">
      <c r="A210" s="405" t="s">
        <v>2012</v>
      </c>
      <c r="B210" s="406"/>
      <c r="C210" s="407"/>
      <c r="D210" s="408"/>
      <c r="E210" s="409">
        <f>SUM(E211:E214)</f>
        <v>8862839</v>
      </c>
      <c r="F210" s="409">
        <f>SUM(F211:F214)</f>
        <v>1691052</v>
      </c>
      <c r="G210" s="409">
        <f>SUM(G211:G214)</f>
        <v>7171787</v>
      </c>
      <c r="H210" s="409">
        <f t="shared" si="76"/>
        <v>1998398</v>
      </c>
      <c r="I210" s="409">
        <f t="shared" ref="I210:AE210" si="80">SUM(I211:I214)</f>
        <v>289302</v>
      </c>
      <c r="J210" s="409">
        <f t="shared" si="80"/>
        <v>289302</v>
      </c>
      <c r="K210" s="409">
        <f t="shared" si="80"/>
        <v>290763</v>
      </c>
      <c r="L210" s="409">
        <f t="shared" si="80"/>
        <v>289851</v>
      </c>
      <c r="M210" s="409">
        <f t="shared" si="80"/>
        <v>291683</v>
      </c>
      <c r="N210" s="409">
        <f t="shared" si="80"/>
        <v>527497</v>
      </c>
      <c r="O210" s="409">
        <f t="shared" si="80"/>
        <v>20000</v>
      </c>
      <c r="P210" s="409">
        <f t="shared" si="80"/>
        <v>5982028</v>
      </c>
      <c r="Q210" s="409">
        <f t="shared" si="80"/>
        <v>254798</v>
      </c>
      <c r="R210" s="409">
        <f t="shared" si="80"/>
        <v>221786</v>
      </c>
      <c r="S210" s="409">
        <f t="shared" si="80"/>
        <v>358369</v>
      </c>
      <c r="T210" s="409">
        <f t="shared" si="80"/>
        <v>635151</v>
      </c>
      <c r="U210" s="409">
        <f t="shared" si="80"/>
        <v>234195</v>
      </c>
      <c r="V210" s="409">
        <f t="shared" si="80"/>
        <v>495126</v>
      </c>
      <c r="W210" s="409">
        <f t="shared" si="80"/>
        <v>268441</v>
      </c>
      <c r="X210" s="409">
        <f t="shared" si="80"/>
        <v>489677</v>
      </c>
      <c r="Y210" s="409">
        <f t="shared" si="80"/>
        <v>580190</v>
      </c>
      <c r="Z210" s="409">
        <f t="shared" si="80"/>
        <v>563222</v>
      </c>
      <c r="AA210" s="409">
        <f t="shared" si="80"/>
        <v>201764</v>
      </c>
      <c r="AB210" s="409">
        <f t="shared" si="80"/>
        <v>49864</v>
      </c>
      <c r="AC210" s="409">
        <f t="shared" si="80"/>
        <v>69187</v>
      </c>
      <c r="AD210" s="409">
        <f t="shared" si="80"/>
        <v>49864</v>
      </c>
      <c r="AE210" s="409">
        <f t="shared" si="80"/>
        <v>1510394</v>
      </c>
      <c r="AF210" s="409">
        <f t="shared" si="79"/>
        <v>882413</v>
      </c>
      <c r="AG210" s="409">
        <f>SUM(AG211:AG214)</f>
        <v>829206</v>
      </c>
      <c r="AH210" s="409">
        <f>SUM(AH211:AH214)</f>
        <v>53207</v>
      </c>
      <c r="AI210" s="387">
        <f t="shared" si="74"/>
        <v>0</v>
      </c>
      <c r="AJ210" s="496"/>
    </row>
    <row r="211" spans="1:41" s="393" customFormat="1" ht="14.25">
      <c r="A211" s="397" t="s">
        <v>1986</v>
      </c>
      <c r="B211" s="394" t="s">
        <v>2013</v>
      </c>
      <c r="C211" s="497" t="s">
        <v>2014</v>
      </c>
      <c r="D211" s="396">
        <v>4</v>
      </c>
      <c r="E211" s="385">
        <f>SUM(H211,P211,AF211)</f>
        <v>2660327</v>
      </c>
      <c r="F211" s="911">
        <v>1691052</v>
      </c>
      <c r="G211" s="911">
        <v>969275</v>
      </c>
      <c r="H211" s="385">
        <f>SUM(I211:O211)</f>
        <v>1755816</v>
      </c>
      <c r="I211" s="911">
        <f>289303-1</f>
        <v>289302</v>
      </c>
      <c r="J211" s="911">
        <v>289302</v>
      </c>
      <c r="K211" s="911">
        <v>289303</v>
      </c>
      <c r="L211" s="911">
        <v>289303</v>
      </c>
      <c r="M211" s="911">
        <v>289303</v>
      </c>
      <c r="N211" s="911">
        <v>289303</v>
      </c>
      <c r="O211" s="912">
        <v>20000</v>
      </c>
      <c r="P211" s="386">
        <f>SUM(Q211:AE211)</f>
        <v>798098</v>
      </c>
      <c r="Q211" s="911">
        <f>49864+1</f>
        <v>49865</v>
      </c>
      <c r="R211" s="911">
        <f>49864+1</f>
        <v>49865</v>
      </c>
      <c r="S211" s="911">
        <v>49864</v>
      </c>
      <c r="T211" s="911">
        <v>49864</v>
      </c>
      <c r="U211" s="911">
        <v>49864</v>
      </c>
      <c r="V211" s="911">
        <v>49864</v>
      </c>
      <c r="W211" s="911">
        <v>49864</v>
      </c>
      <c r="X211" s="911">
        <v>49864</v>
      </c>
      <c r="Y211" s="911">
        <v>49864</v>
      </c>
      <c r="Z211" s="911">
        <v>49864</v>
      </c>
      <c r="AA211" s="911">
        <v>49864</v>
      </c>
      <c r="AB211" s="911">
        <v>49864</v>
      </c>
      <c r="AC211" s="911">
        <v>49864</v>
      </c>
      <c r="AD211" s="911">
        <v>49864</v>
      </c>
      <c r="AE211" s="911">
        <v>100000</v>
      </c>
      <c r="AF211" s="385">
        <f>SUM(AG211:AH211)</f>
        <v>106413</v>
      </c>
      <c r="AG211" s="911">
        <f>53207-1</f>
        <v>53206</v>
      </c>
      <c r="AH211" s="911">
        <v>53207</v>
      </c>
      <c r="AI211" s="387">
        <f t="shared" si="74"/>
        <v>0</v>
      </c>
      <c r="AJ211" s="496"/>
    </row>
    <row r="212" spans="1:41" s="393" customFormat="1" ht="14.25">
      <c r="A212" s="397" t="s">
        <v>1986</v>
      </c>
      <c r="B212" s="394" t="s">
        <v>2013</v>
      </c>
      <c r="C212" s="497" t="s">
        <v>2015</v>
      </c>
      <c r="D212" s="396">
        <v>4</v>
      </c>
      <c r="E212" s="385">
        <f>SUM(H212,P212,AF212)</f>
        <v>217322</v>
      </c>
      <c r="F212" s="911"/>
      <c r="G212" s="911">
        <v>217322</v>
      </c>
      <c r="H212" s="385">
        <f>SUM(I212:O212)</f>
        <v>0</v>
      </c>
      <c r="I212" s="911"/>
      <c r="J212" s="911"/>
      <c r="K212" s="911"/>
      <c r="L212" s="911"/>
      <c r="M212" s="911"/>
      <c r="N212" s="911"/>
      <c r="O212" s="912"/>
      <c r="P212" s="386">
        <f>SUM(Q212:AE212)</f>
        <v>217322</v>
      </c>
      <c r="Q212" s="911">
        <v>92930</v>
      </c>
      <c r="R212" s="911"/>
      <c r="S212" s="911"/>
      <c r="T212" s="911"/>
      <c r="U212" s="911"/>
      <c r="V212" s="911"/>
      <c r="W212" s="911"/>
      <c r="X212" s="911"/>
      <c r="Y212" s="911"/>
      <c r="Z212" s="911">
        <v>124392</v>
      </c>
      <c r="AA212" s="911"/>
      <c r="AB212" s="911"/>
      <c r="AC212" s="911"/>
      <c r="AD212" s="911"/>
      <c r="AE212" s="911"/>
      <c r="AF212" s="385">
        <f>SUM(AG212:AH212)</f>
        <v>0</v>
      </c>
      <c r="AG212" s="911"/>
      <c r="AH212" s="911"/>
      <c r="AI212" s="387">
        <f t="shared" si="74"/>
        <v>0</v>
      </c>
      <c r="AJ212" s="496"/>
    </row>
    <row r="213" spans="1:41" s="393" customFormat="1" ht="28.5">
      <c r="A213" s="397" t="s">
        <v>1986</v>
      </c>
      <c r="B213" s="394" t="s">
        <v>2013</v>
      </c>
      <c r="C213" s="497" t="s">
        <v>2016</v>
      </c>
      <c r="D213" s="396">
        <v>4</v>
      </c>
      <c r="E213" s="385">
        <f>SUM(H213,P213,AF213)</f>
        <v>5209190</v>
      </c>
      <c r="F213" s="911"/>
      <c r="G213" s="911">
        <v>5209190</v>
      </c>
      <c r="H213" s="385">
        <f>SUM(I213:O213)</f>
        <v>242582</v>
      </c>
      <c r="I213" s="911"/>
      <c r="J213" s="911"/>
      <c r="K213" s="911">
        <v>1460</v>
      </c>
      <c r="L213" s="911">
        <v>548</v>
      </c>
      <c r="M213" s="911">
        <v>2380</v>
      </c>
      <c r="N213" s="911">
        <v>238194</v>
      </c>
      <c r="O213" s="912"/>
      <c r="P213" s="386">
        <f>SUM(Q213:AE213)</f>
        <v>4966608</v>
      </c>
      <c r="Q213" s="911">
        <v>112003</v>
      </c>
      <c r="R213" s="911">
        <v>171921</v>
      </c>
      <c r="S213" s="911">
        <v>308505</v>
      </c>
      <c r="T213" s="911">
        <v>585287</v>
      </c>
      <c r="U213" s="911">
        <v>184331</v>
      </c>
      <c r="V213" s="911">
        <v>445262</v>
      </c>
      <c r="W213" s="911">
        <v>218577</v>
      </c>
      <c r="X213" s="911">
        <v>439813</v>
      </c>
      <c r="Y213" s="911">
        <v>530326</v>
      </c>
      <c r="Z213" s="911">
        <v>388966</v>
      </c>
      <c r="AA213" s="911">
        <v>151900</v>
      </c>
      <c r="AB213" s="911"/>
      <c r="AC213" s="911">
        <v>19323</v>
      </c>
      <c r="AD213" s="911"/>
      <c r="AE213" s="911">
        <v>1410394</v>
      </c>
      <c r="AF213" s="385">
        <f>SUM(AG213:AH213)</f>
        <v>0</v>
      </c>
      <c r="AG213" s="911"/>
      <c r="AH213" s="911"/>
      <c r="AI213" s="387">
        <f t="shared" si="74"/>
        <v>0</v>
      </c>
      <c r="AJ213" s="496"/>
    </row>
    <row r="214" spans="1:41" s="393" customFormat="1" ht="14.25">
      <c r="A214" s="397" t="s">
        <v>1986</v>
      </c>
      <c r="B214" s="394" t="s">
        <v>2013</v>
      </c>
      <c r="C214" s="497" t="s">
        <v>2017</v>
      </c>
      <c r="D214" s="396">
        <v>4</v>
      </c>
      <c r="E214" s="385">
        <f>SUM(H214,P214,AF214)</f>
        <v>776000</v>
      </c>
      <c r="F214" s="911"/>
      <c r="G214" s="911">
        <v>776000</v>
      </c>
      <c r="H214" s="385">
        <f>SUM(I214:O214)</f>
        <v>0</v>
      </c>
      <c r="I214" s="911"/>
      <c r="J214" s="911"/>
      <c r="K214" s="911"/>
      <c r="L214" s="911"/>
      <c r="M214" s="911"/>
      <c r="N214" s="911"/>
      <c r="O214" s="912"/>
      <c r="P214" s="386">
        <f>SUM(Q214:AE214)</f>
        <v>0</v>
      </c>
      <c r="Q214" s="911"/>
      <c r="R214" s="911"/>
      <c r="S214" s="911"/>
      <c r="T214" s="911"/>
      <c r="U214" s="911"/>
      <c r="V214" s="911"/>
      <c r="W214" s="911"/>
      <c r="X214" s="911"/>
      <c r="Y214" s="911"/>
      <c r="Z214" s="911"/>
      <c r="AA214" s="911"/>
      <c r="AB214" s="911"/>
      <c r="AC214" s="911"/>
      <c r="AD214" s="911"/>
      <c r="AE214" s="911"/>
      <c r="AF214" s="385">
        <f>SUM(AG214:AH214)</f>
        <v>776000</v>
      </c>
      <c r="AG214" s="911">
        <v>776000</v>
      </c>
      <c r="AH214" s="911"/>
      <c r="AI214" s="387">
        <f t="shared" si="74"/>
        <v>0</v>
      </c>
      <c r="AJ214" s="496"/>
    </row>
    <row r="215" spans="1:41" s="515" customFormat="1" ht="24" customHeight="1">
      <c r="A215" s="510" t="s">
        <v>1270</v>
      </c>
      <c r="B215" s="511"/>
      <c r="C215" s="512"/>
      <c r="D215" s="513"/>
      <c r="E215" s="514">
        <f t="shared" ref="E215:AH215" si="81">SUM(E216:E218)</f>
        <v>1755583</v>
      </c>
      <c r="F215" s="514">
        <f t="shared" si="81"/>
        <v>1755583</v>
      </c>
      <c r="G215" s="514">
        <f t="shared" si="81"/>
        <v>0</v>
      </c>
      <c r="H215" s="514">
        <f t="shared" si="81"/>
        <v>1753786</v>
      </c>
      <c r="I215" s="514">
        <f t="shared" si="81"/>
        <v>140</v>
      </c>
      <c r="J215" s="514">
        <f t="shared" si="81"/>
        <v>1173650</v>
      </c>
      <c r="K215" s="514">
        <f t="shared" si="81"/>
        <v>95</v>
      </c>
      <c r="L215" s="514">
        <f t="shared" si="81"/>
        <v>135</v>
      </c>
      <c r="M215" s="514">
        <f t="shared" si="81"/>
        <v>180</v>
      </c>
      <c r="N215" s="514">
        <f t="shared" si="81"/>
        <v>579586</v>
      </c>
      <c r="O215" s="514">
        <f t="shared" si="81"/>
        <v>0</v>
      </c>
      <c r="P215" s="514">
        <f t="shared" si="81"/>
        <v>1797</v>
      </c>
      <c r="Q215" s="514">
        <f t="shared" si="81"/>
        <v>120</v>
      </c>
      <c r="R215" s="514">
        <f t="shared" si="81"/>
        <v>0</v>
      </c>
      <c r="S215" s="514">
        <f t="shared" si="81"/>
        <v>30</v>
      </c>
      <c r="T215" s="514">
        <f t="shared" si="81"/>
        <v>90</v>
      </c>
      <c r="U215" s="514">
        <f t="shared" si="81"/>
        <v>0</v>
      </c>
      <c r="V215" s="514">
        <f t="shared" si="81"/>
        <v>75</v>
      </c>
      <c r="W215" s="514">
        <f t="shared" si="81"/>
        <v>70</v>
      </c>
      <c r="X215" s="514">
        <f t="shared" si="81"/>
        <v>440</v>
      </c>
      <c r="Y215" s="514">
        <f t="shared" si="81"/>
        <v>54</v>
      </c>
      <c r="Z215" s="514">
        <f t="shared" si="81"/>
        <v>0</v>
      </c>
      <c r="AA215" s="514">
        <f t="shared" si="81"/>
        <v>345</v>
      </c>
      <c r="AB215" s="514">
        <f t="shared" si="81"/>
        <v>233</v>
      </c>
      <c r="AC215" s="514">
        <f t="shared" si="81"/>
        <v>215</v>
      </c>
      <c r="AD215" s="514">
        <f t="shared" si="81"/>
        <v>125</v>
      </c>
      <c r="AE215" s="514">
        <f t="shared" si="81"/>
        <v>0</v>
      </c>
      <c r="AF215" s="514">
        <f t="shared" si="81"/>
        <v>0</v>
      </c>
      <c r="AG215" s="514">
        <f t="shared" si="81"/>
        <v>0</v>
      </c>
      <c r="AH215" s="514">
        <f t="shared" si="81"/>
        <v>0</v>
      </c>
      <c r="AI215" s="387">
        <f t="shared" si="74"/>
        <v>0</v>
      </c>
    </row>
    <row r="216" spans="1:41" s="393" customFormat="1" ht="14.25">
      <c r="A216" s="397" t="s">
        <v>1804</v>
      </c>
      <c r="B216" s="394" t="s">
        <v>1805</v>
      </c>
      <c r="C216" s="497" t="s">
        <v>1806</v>
      </c>
      <c r="D216" s="396">
        <v>5</v>
      </c>
      <c r="E216" s="385">
        <f>SUM(H216,P216,AF216)</f>
        <v>1752826</v>
      </c>
      <c r="F216" s="368">
        <v>1752826</v>
      </c>
      <c r="G216" s="368">
        <v>0</v>
      </c>
      <c r="H216" s="385">
        <f>SUM(I216:O216)</f>
        <v>1752826</v>
      </c>
      <c r="I216" s="371">
        <v>0</v>
      </c>
      <c r="J216" s="371">
        <v>1173620</v>
      </c>
      <c r="K216" s="371">
        <v>0</v>
      </c>
      <c r="L216" s="371">
        <v>0</v>
      </c>
      <c r="M216" s="371">
        <v>0</v>
      </c>
      <c r="N216" s="371">
        <v>579206</v>
      </c>
      <c r="O216" s="370">
        <v>0</v>
      </c>
      <c r="P216" s="386">
        <f>SUM(Q216:AH216)</f>
        <v>0</v>
      </c>
      <c r="Q216" s="371">
        <v>0</v>
      </c>
      <c r="R216" s="371">
        <v>0</v>
      </c>
      <c r="S216" s="371">
        <v>0</v>
      </c>
      <c r="T216" s="371">
        <v>0</v>
      </c>
      <c r="U216" s="371">
        <v>0</v>
      </c>
      <c r="V216" s="371">
        <v>0</v>
      </c>
      <c r="W216" s="371">
        <v>0</v>
      </c>
      <c r="X216" s="371">
        <v>0</v>
      </c>
      <c r="Y216" s="371">
        <v>0</v>
      </c>
      <c r="Z216" s="371">
        <v>0</v>
      </c>
      <c r="AA216" s="371">
        <v>0</v>
      </c>
      <c r="AB216" s="371">
        <v>0</v>
      </c>
      <c r="AC216" s="371">
        <v>0</v>
      </c>
      <c r="AD216" s="371">
        <v>0</v>
      </c>
      <c r="AE216" s="371">
        <v>0</v>
      </c>
      <c r="AF216" s="385">
        <v>0</v>
      </c>
      <c r="AG216" s="371">
        <v>0</v>
      </c>
      <c r="AH216" s="371">
        <v>0</v>
      </c>
      <c r="AI216" s="387">
        <f>IF(AND(+F216+G216=E216,AF216+P216+H216=E216,SUM(I216:O216,Q216:AE216,AG216:AH216)=E216),0,FALSE)</f>
        <v>0</v>
      </c>
      <c r="AJ216" s="496"/>
    </row>
    <row r="217" spans="1:41" s="393" customFormat="1" ht="28.5">
      <c r="A217" s="397" t="s">
        <v>1804</v>
      </c>
      <c r="B217" s="394" t="s">
        <v>1805</v>
      </c>
      <c r="C217" s="497" t="s">
        <v>1807</v>
      </c>
      <c r="D217" s="396">
        <v>5</v>
      </c>
      <c r="E217" s="385">
        <f>SUM(H217,P217,AF217)</f>
        <v>1904</v>
      </c>
      <c r="F217" s="368">
        <v>1904</v>
      </c>
      <c r="G217" s="368">
        <v>0</v>
      </c>
      <c r="H217" s="385">
        <f>SUM(I217:O217)</f>
        <v>680</v>
      </c>
      <c r="I217" s="371">
        <v>80</v>
      </c>
      <c r="J217" s="371">
        <v>0</v>
      </c>
      <c r="K217" s="371">
        <v>70</v>
      </c>
      <c r="L217" s="371">
        <v>80</v>
      </c>
      <c r="M217" s="371">
        <v>130</v>
      </c>
      <c r="N217" s="371">
        <v>320</v>
      </c>
      <c r="O217" s="370">
        <v>0</v>
      </c>
      <c r="P217" s="386">
        <f>SUM(Q217:AH217)</f>
        <v>1224</v>
      </c>
      <c r="Q217" s="371">
        <v>80</v>
      </c>
      <c r="R217" s="371">
        <v>0</v>
      </c>
      <c r="S217" s="371">
        <v>0</v>
      </c>
      <c r="T217" s="371">
        <v>0</v>
      </c>
      <c r="U217" s="371">
        <v>0</v>
      </c>
      <c r="V217" s="371">
        <v>0</v>
      </c>
      <c r="W217" s="371">
        <v>0</v>
      </c>
      <c r="X217" s="371">
        <v>340</v>
      </c>
      <c r="Y217" s="371">
        <v>34</v>
      </c>
      <c r="Z217" s="371">
        <v>0</v>
      </c>
      <c r="AA217" s="371">
        <v>310</v>
      </c>
      <c r="AB217" s="371">
        <v>190</v>
      </c>
      <c r="AC217" s="371">
        <v>170</v>
      </c>
      <c r="AD217" s="371">
        <v>100</v>
      </c>
      <c r="AE217" s="371">
        <v>0</v>
      </c>
      <c r="AF217" s="385">
        <v>0</v>
      </c>
      <c r="AG217" s="371">
        <v>0</v>
      </c>
      <c r="AH217" s="371">
        <v>0</v>
      </c>
      <c r="AI217" s="387">
        <f>IF(AND(+F217+G217=E217,AF217+P217+H217=E217,SUM(I217:O217,Q217:AE217,AG217:AH217)=E217),0,FALSE)</f>
        <v>0</v>
      </c>
      <c r="AJ217" s="496"/>
    </row>
    <row r="218" spans="1:41" s="393" customFormat="1" ht="14.25">
      <c r="A218" s="397" t="s">
        <v>1804</v>
      </c>
      <c r="B218" s="394" t="s">
        <v>1805</v>
      </c>
      <c r="C218" s="497" t="s">
        <v>1808</v>
      </c>
      <c r="D218" s="396">
        <v>5</v>
      </c>
      <c r="E218" s="385">
        <f>SUM(H218,P218,AF218)</f>
        <v>853</v>
      </c>
      <c r="F218" s="368">
        <v>853</v>
      </c>
      <c r="G218" s="368">
        <v>0</v>
      </c>
      <c r="H218" s="385">
        <f>SUM(I218:O218)</f>
        <v>280</v>
      </c>
      <c r="I218" s="371">
        <v>60</v>
      </c>
      <c r="J218" s="371">
        <v>30</v>
      </c>
      <c r="K218" s="371">
        <v>25</v>
      </c>
      <c r="L218" s="371">
        <v>55</v>
      </c>
      <c r="M218" s="371">
        <v>50</v>
      </c>
      <c r="N218" s="371">
        <v>60</v>
      </c>
      <c r="O218" s="370">
        <v>0</v>
      </c>
      <c r="P218" s="386">
        <f>SUM(Q218:AE218)</f>
        <v>573</v>
      </c>
      <c r="Q218" s="371">
        <v>40</v>
      </c>
      <c r="R218" s="371">
        <v>0</v>
      </c>
      <c r="S218" s="371">
        <v>30</v>
      </c>
      <c r="T218" s="371">
        <v>90</v>
      </c>
      <c r="U218" s="371">
        <v>0</v>
      </c>
      <c r="V218" s="371">
        <v>75</v>
      </c>
      <c r="W218" s="371">
        <v>70</v>
      </c>
      <c r="X218" s="371">
        <v>100</v>
      </c>
      <c r="Y218" s="371">
        <v>20</v>
      </c>
      <c r="Z218" s="371">
        <v>0</v>
      </c>
      <c r="AA218" s="371">
        <v>35</v>
      </c>
      <c r="AB218" s="371">
        <v>43</v>
      </c>
      <c r="AC218" s="371">
        <v>45</v>
      </c>
      <c r="AD218" s="371">
        <v>25</v>
      </c>
      <c r="AE218" s="371">
        <v>0</v>
      </c>
      <c r="AF218" s="385">
        <f>SUM(AG218:AH218)</f>
        <v>0</v>
      </c>
      <c r="AG218" s="371">
        <v>0</v>
      </c>
      <c r="AH218" s="371">
        <v>0</v>
      </c>
      <c r="AI218" s="387">
        <f>IF(AND(+F218+G218=E218,AF218+P218+H218=E218,SUM(I218:O218,Q218:AE218,AG218:AH218)=E218),0,FALSE)</f>
        <v>0</v>
      </c>
      <c r="AJ218" s="496"/>
    </row>
    <row r="219" spans="1:41" s="515" customFormat="1" ht="24" customHeight="1">
      <c r="A219" s="510" t="s">
        <v>1269</v>
      </c>
      <c r="B219" s="511"/>
      <c r="C219" s="512"/>
      <c r="D219" s="513"/>
      <c r="E219" s="514">
        <f t="shared" ref="E219:AH219" si="82">E220+E242+E260+E266+E278+E290</f>
        <v>4445981</v>
      </c>
      <c r="F219" s="514">
        <f t="shared" si="82"/>
        <v>1009392</v>
      </c>
      <c r="G219" s="514">
        <f t="shared" si="82"/>
        <v>3436589</v>
      </c>
      <c r="H219" s="514">
        <f t="shared" si="82"/>
        <v>2514484</v>
      </c>
      <c r="I219" s="514">
        <f t="shared" si="82"/>
        <v>38424</v>
      </c>
      <c r="J219" s="514">
        <f t="shared" si="82"/>
        <v>1918</v>
      </c>
      <c r="K219" s="514">
        <f t="shared" si="82"/>
        <v>76381</v>
      </c>
      <c r="L219" s="514">
        <f t="shared" si="82"/>
        <v>1752991</v>
      </c>
      <c r="M219" s="514">
        <f t="shared" si="82"/>
        <v>277803</v>
      </c>
      <c r="N219" s="514">
        <f t="shared" si="82"/>
        <v>110970</v>
      </c>
      <c r="O219" s="514">
        <f t="shared" si="82"/>
        <v>255997</v>
      </c>
      <c r="P219" s="514">
        <f t="shared" si="82"/>
        <v>1836634</v>
      </c>
      <c r="Q219" s="514">
        <f t="shared" si="82"/>
        <v>50110</v>
      </c>
      <c r="R219" s="514">
        <f t="shared" si="82"/>
        <v>24411</v>
      </c>
      <c r="S219" s="514">
        <f t="shared" si="82"/>
        <v>60883</v>
      </c>
      <c r="T219" s="514">
        <f t="shared" si="82"/>
        <v>167248</v>
      </c>
      <c r="U219" s="514">
        <f t="shared" si="82"/>
        <v>39194</v>
      </c>
      <c r="V219" s="514">
        <f t="shared" si="82"/>
        <v>162094</v>
      </c>
      <c r="W219" s="514">
        <f t="shared" si="82"/>
        <v>93217</v>
      </c>
      <c r="X219" s="514">
        <f t="shared" si="82"/>
        <v>107342</v>
      </c>
      <c r="Y219" s="514">
        <f t="shared" si="82"/>
        <v>49980</v>
      </c>
      <c r="Z219" s="514">
        <f t="shared" si="82"/>
        <v>45682</v>
      </c>
      <c r="AA219" s="514">
        <f t="shared" si="82"/>
        <v>207495</v>
      </c>
      <c r="AB219" s="514">
        <f t="shared" si="82"/>
        <v>49796</v>
      </c>
      <c r="AC219" s="514">
        <f t="shared" si="82"/>
        <v>67034</v>
      </c>
      <c r="AD219" s="514">
        <f t="shared" si="82"/>
        <v>18090</v>
      </c>
      <c r="AE219" s="514">
        <f t="shared" si="82"/>
        <v>694058</v>
      </c>
      <c r="AF219" s="514">
        <f t="shared" si="82"/>
        <v>94863</v>
      </c>
      <c r="AG219" s="514">
        <f t="shared" si="82"/>
        <v>69794</v>
      </c>
      <c r="AH219" s="514">
        <f t="shared" si="82"/>
        <v>25069</v>
      </c>
      <c r="AI219" s="387">
        <f t="shared" si="74"/>
        <v>0</v>
      </c>
    </row>
    <row r="220" spans="1:41" s="410" customFormat="1" ht="21.6" customHeight="1">
      <c r="A220" s="405" t="s">
        <v>1257</v>
      </c>
      <c r="B220" s="406"/>
      <c r="C220" s="407"/>
      <c r="D220" s="408"/>
      <c r="E220" s="409">
        <f t="shared" ref="E220:AH220" si="83">SUM(E221:E241)</f>
        <v>1377963</v>
      </c>
      <c r="F220" s="409">
        <f t="shared" si="83"/>
        <v>185273</v>
      </c>
      <c r="G220" s="409">
        <f t="shared" si="83"/>
        <v>1192690</v>
      </c>
      <c r="H220" s="409">
        <f t="shared" si="83"/>
        <v>458386</v>
      </c>
      <c r="I220" s="409">
        <f t="shared" si="83"/>
        <v>10399</v>
      </c>
      <c r="J220" s="409">
        <f t="shared" si="83"/>
        <v>3</v>
      </c>
      <c r="K220" s="409">
        <f t="shared" si="83"/>
        <v>41483</v>
      </c>
      <c r="L220" s="409">
        <f t="shared" si="83"/>
        <v>70311</v>
      </c>
      <c r="M220" s="409">
        <f t="shared" si="83"/>
        <v>89481</v>
      </c>
      <c r="N220" s="409">
        <f t="shared" si="83"/>
        <v>10984</v>
      </c>
      <c r="O220" s="409">
        <f t="shared" si="83"/>
        <v>235725</v>
      </c>
      <c r="P220" s="409">
        <f t="shared" si="83"/>
        <v>903266</v>
      </c>
      <c r="Q220" s="409">
        <f t="shared" si="83"/>
        <v>9067</v>
      </c>
      <c r="R220" s="409">
        <f t="shared" si="83"/>
        <v>5571</v>
      </c>
      <c r="S220" s="409">
        <f t="shared" si="83"/>
        <v>11303</v>
      </c>
      <c r="T220" s="409">
        <f t="shared" si="83"/>
        <v>15367</v>
      </c>
      <c r="U220" s="409">
        <f t="shared" si="83"/>
        <v>17453</v>
      </c>
      <c r="V220" s="409">
        <f t="shared" si="83"/>
        <v>76661</v>
      </c>
      <c r="W220" s="409">
        <f t="shared" si="83"/>
        <v>50348</v>
      </c>
      <c r="X220" s="409">
        <f t="shared" si="83"/>
        <v>11105</v>
      </c>
      <c r="Y220" s="409">
        <f t="shared" si="83"/>
        <v>10102</v>
      </c>
      <c r="Z220" s="409">
        <f t="shared" si="83"/>
        <v>19505</v>
      </c>
      <c r="AA220" s="409">
        <f t="shared" si="83"/>
        <v>24188</v>
      </c>
      <c r="AB220" s="409">
        <f t="shared" si="83"/>
        <v>35461</v>
      </c>
      <c r="AC220" s="409">
        <f t="shared" si="83"/>
        <v>36677</v>
      </c>
      <c r="AD220" s="409">
        <f t="shared" si="83"/>
        <v>10402</v>
      </c>
      <c r="AE220" s="409">
        <f t="shared" si="83"/>
        <v>570056</v>
      </c>
      <c r="AF220" s="409">
        <f t="shared" si="83"/>
        <v>16311</v>
      </c>
      <c r="AG220" s="409">
        <f t="shared" si="83"/>
        <v>14235</v>
      </c>
      <c r="AH220" s="409">
        <f t="shared" si="83"/>
        <v>2076</v>
      </c>
      <c r="AI220" s="387">
        <f t="shared" si="74"/>
        <v>0</v>
      </c>
      <c r="AJ220" s="496"/>
    </row>
    <row r="221" spans="1:41" s="393" customFormat="1" ht="14.25">
      <c r="A221" s="397" t="s">
        <v>1825</v>
      </c>
      <c r="B221" s="394" t="s">
        <v>1826</v>
      </c>
      <c r="C221" s="925" t="s">
        <v>394</v>
      </c>
      <c r="D221" s="396">
        <v>4</v>
      </c>
      <c r="E221" s="385">
        <f t="shared" ref="E221:E241" si="84">SUM(F221:G221)</f>
        <v>334834</v>
      </c>
      <c r="F221" s="104">
        <v>19083</v>
      </c>
      <c r="G221" s="104">
        <f>336978-21227</f>
        <v>315751</v>
      </c>
      <c r="H221" s="926">
        <f>SUM(I221:O221)</f>
        <v>134603</v>
      </c>
      <c r="I221" s="927">
        <v>0</v>
      </c>
      <c r="J221" s="927">
        <v>0</v>
      </c>
      <c r="K221" s="927">
        <v>4463</v>
      </c>
      <c r="L221" s="927">
        <v>0</v>
      </c>
      <c r="M221" s="927">
        <v>53117</v>
      </c>
      <c r="N221" s="927">
        <v>0</v>
      </c>
      <c r="O221" s="927">
        <f>88250-11227</f>
        <v>77023</v>
      </c>
      <c r="P221" s="928">
        <f>SUM(Q221:AE221)</f>
        <v>200231</v>
      </c>
      <c r="Q221" s="927">
        <v>860</v>
      </c>
      <c r="R221" s="927">
        <v>0</v>
      </c>
      <c r="S221" s="927">
        <v>0</v>
      </c>
      <c r="T221" s="927">
        <v>3226</v>
      </c>
      <c r="U221" s="927">
        <v>0</v>
      </c>
      <c r="V221" s="927">
        <v>66301</v>
      </c>
      <c r="W221" s="927">
        <v>22903</v>
      </c>
      <c r="X221" s="927">
        <v>0</v>
      </c>
      <c r="Y221" s="927">
        <v>0</v>
      </c>
      <c r="Z221" s="927">
        <v>0</v>
      </c>
      <c r="AA221" s="927">
        <v>0</v>
      </c>
      <c r="AB221" s="927">
        <v>0</v>
      </c>
      <c r="AC221" s="927">
        <v>0</v>
      </c>
      <c r="AD221" s="927">
        <v>0</v>
      </c>
      <c r="AE221" s="927">
        <f>116941-10000</f>
        <v>106941</v>
      </c>
      <c r="AF221" s="926">
        <f t="shared" ref="AF221:AF241" si="85">SUM(AG221:AH221)</f>
        <v>0</v>
      </c>
      <c r="AG221" s="927">
        <v>0</v>
      </c>
      <c r="AH221" s="927">
        <v>0</v>
      </c>
      <c r="AI221" s="387">
        <f t="shared" si="74"/>
        <v>0</v>
      </c>
      <c r="AJ221" s="496">
        <f t="shared" ref="AJ221:AJ241" si="86">+O221+AE221</f>
        <v>183964</v>
      </c>
      <c r="AK221" s="393">
        <f t="shared" ref="AK221:AK241" si="87">SUM(AG221:AH221)+SUM(Q221:AD221)+SUM(I221:N221)</f>
        <v>150870</v>
      </c>
      <c r="AL221" s="393">
        <f t="shared" ref="AL221:AL241" si="88">SUM(I221:O221)-H221</f>
        <v>0</v>
      </c>
      <c r="AM221" s="393">
        <f t="shared" ref="AM221:AM241" si="89">SUM(Q221:AE221)-P221</f>
        <v>0</v>
      </c>
      <c r="AN221" s="393">
        <f t="shared" ref="AN221:AN241" si="90">SUM(AG221:AH221)-AF221</f>
        <v>0</v>
      </c>
      <c r="AO221" s="393">
        <f t="shared" ref="AO221:AO241" si="91">IF(+AJ221+AK221=E221,0,FALSE)</f>
        <v>0</v>
      </c>
    </row>
    <row r="222" spans="1:41" s="393" customFormat="1" ht="14.25">
      <c r="A222" s="397" t="s">
        <v>1825</v>
      </c>
      <c r="B222" s="394" t="s">
        <v>1826</v>
      </c>
      <c r="C222" s="925" t="s">
        <v>960</v>
      </c>
      <c r="D222" s="396">
        <v>4</v>
      </c>
      <c r="E222" s="385">
        <f t="shared" si="84"/>
        <v>582000</v>
      </c>
      <c r="F222" s="104">
        <v>0</v>
      </c>
      <c r="G222" s="104">
        <v>582000</v>
      </c>
      <c r="H222" s="926">
        <f t="shared" ref="H222:H241" si="92">SUM(I222:O222)</f>
        <v>145500</v>
      </c>
      <c r="I222" s="929">
        <v>0</v>
      </c>
      <c r="J222" s="929">
        <v>0</v>
      </c>
      <c r="K222" s="929">
        <v>0</v>
      </c>
      <c r="L222" s="929">
        <v>0</v>
      </c>
      <c r="M222" s="929">
        <v>0</v>
      </c>
      <c r="N222" s="929">
        <v>0</v>
      </c>
      <c r="O222" s="930">
        <v>145500</v>
      </c>
      <c r="P222" s="928">
        <f t="shared" ref="P222:P241" si="93">SUM(Q222:AE222)</f>
        <v>436500</v>
      </c>
      <c r="Q222" s="929">
        <v>0</v>
      </c>
      <c r="R222" s="929">
        <v>0</v>
      </c>
      <c r="S222" s="929">
        <v>0</v>
      </c>
      <c r="T222" s="929">
        <v>0</v>
      </c>
      <c r="U222" s="929">
        <v>0</v>
      </c>
      <c r="V222" s="929">
        <v>0</v>
      </c>
      <c r="W222" s="929">
        <v>0</v>
      </c>
      <c r="X222" s="929">
        <v>0</v>
      </c>
      <c r="Y222" s="929">
        <v>0</v>
      </c>
      <c r="Z222" s="929">
        <v>0</v>
      </c>
      <c r="AA222" s="929">
        <v>0</v>
      </c>
      <c r="AB222" s="929">
        <v>0</v>
      </c>
      <c r="AC222" s="929">
        <v>0</v>
      </c>
      <c r="AD222" s="929">
        <v>0</v>
      </c>
      <c r="AE222" s="930">
        <v>436500</v>
      </c>
      <c r="AF222" s="926">
        <f t="shared" si="85"/>
        <v>0</v>
      </c>
      <c r="AG222" s="931">
        <v>0</v>
      </c>
      <c r="AH222" s="931">
        <v>0</v>
      </c>
      <c r="AI222" s="387">
        <f t="shared" si="74"/>
        <v>0</v>
      </c>
      <c r="AJ222" s="496">
        <f t="shared" si="86"/>
        <v>582000</v>
      </c>
      <c r="AK222" s="393">
        <f t="shared" si="87"/>
        <v>0</v>
      </c>
      <c r="AL222" s="393">
        <f t="shared" si="88"/>
        <v>0</v>
      </c>
      <c r="AM222" s="393">
        <f t="shared" si="89"/>
        <v>0</v>
      </c>
      <c r="AN222" s="393">
        <f t="shared" si="90"/>
        <v>0</v>
      </c>
      <c r="AO222" s="393">
        <f t="shared" si="91"/>
        <v>0</v>
      </c>
    </row>
    <row r="223" spans="1:41" s="393" customFormat="1" ht="14.25">
      <c r="A223" s="397" t="s">
        <v>1825</v>
      </c>
      <c r="B223" s="394" t="s">
        <v>1826</v>
      </c>
      <c r="C223" s="932" t="s">
        <v>536</v>
      </c>
      <c r="D223" s="396">
        <v>4</v>
      </c>
      <c r="E223" s="385">
        <f t="shared" si="84"/>
        <v>597</v>
      </c>
      <c r="F223" s="104">
        <v>597</v>
      </c>
      <c r="G223" s="104">
        <v>0</v>
      </c>
      <c r="H223" s="926">
        <f t="shared" si="92"/>
        <v>170</v>
      </c>
      <c r="I223" s="927">
        <v>34</v>
      </c>
      <c r="J223" s="927">
        <v>0</v>
      </c>
      <c r="K223" s="927">
        <v>34</v>
      </c>
      <c r="L223" s="927">
        <v>34</v>
      </c>
      <c r="M223" s="927">
        <v>34</v>
      </c>
      <c r="N223" s="927">
        <v>34</v>
      </c>
      <c r="O223" s="927">
        <v>0</v>
      </c>
      <c r="P223" s="928">
        <f t="shared" si="93"/>
        <v>404</v>
      </c>
      <c r="Q223" s="927">
        <v>29</v>
      </c>
      <c r="R223" s="927">
        <v>29</v>
      </c>
      <c r="S223" s="927">
        <v>29</v>
      </c>
      <c r="T223" s="927">
        <v>29</v>
      </c>
      <c r="U223" s="927">
        <v>29</v>
      </c>
      <c r="V223" s="927">
        <v>29</v>
      </c>
      <c r="W223" s="927">
        <v>29</v>
      </c>
      <c r="X223" s="927">
        <v>29</v>
      </c>
      <c r="Y223" s="927">
        <v>29</v>
      </c>
      <c r="Z223" s="927">
        <v>29</v>
      </c>
      <c r="AA223" s="927">
        <v>29</v>
      </c>
      <c r="AB223" s="927">
        <v>28</v>
      </c>
      <c r="AC223" s="927">
        <v>28</v>
      </c>
      <c r="AD223" s="927">
        <v>29</v>
      </c>
      <c r="AE223" s="927">
        <v>0</v>
      </c>
      <c r="AF223" s="926">
        <f t="shared" si="85"/>
        <v>23</v>
      </c>
      <c r="AG223" s="927">
        <v>23</v>
      </c>
      <c r="AH223" s="927">
        <v>0</v>
      </c>
      <c r="AI223" s="387">
        <f t="shared" si="74"/>
        <v>0</v>
      </c>
      <c r="AJ223" s="496">
        <f t="shared" si="86"/>
        <v>0</v>
      </c>
      <c r="AK223" s="393">
        <f t="shared" si="87"/>
        <v>597</v>
      </c>
      <c r="AL223" s="393">
        <f t="shared" si="88"/>
        <v>0</v>
      </c>
      <c r="AM223" s="393">
        <f t="shared" si="89"/>
        <v>0</v>
      </c>
      <c r="AN223" s="393">
        <f t="shared" si="90"/>
        <v>0</v>
      </c>
      <c r="AO223" s="393">
        <f t="shared" si="91"/>
        <v>0</v>
      </c>
    </row>
    <row r="224" spans="1:41" s="393" customFormat="1" ht="14.25">
      <c r="A224" s="397" t="s">
        <v>1825</v>
      </c>
      <c r="B224" s="394" t="s">
        <v>1826</v>
      </c>
      <c r="C224" s="932" t="s">
        <v>829</v>
      </c>
      <c r="D224" s="396">
        <v>4</v>
      </c>
      <c r="E224" s="385">
        <f t="shared" si="84"/>
        <v>4211</v>
      </c>
      <c r="F224" s="104">
        <v>146</v>
      </c>
      <c r="G224" s="104">
        <v>4065</v>
      </c>
      <c r="H224" s="926">
        <f t="shared" si="92"/>
        <v>1183</v>
      </c>
      <c r="I224" s="927">
        <v>0</v>
      </c>
      <c r="J224" s="927">
        <v>0</v>
      </c>
      <c r="K224" s="927">
        <v>184</v>
      </c>
      <c r="L224" s="927">
        <v>204</v>
      </c>
      <c r="M224" s="927">
        <v>398</v>
      </c>
      <c r="N224" s="927">
        <v>397</v>
      </c>
      <c r="O224" s="927">
        <v>0</v>
      </c>
      <c r="P224" s="928">
        <f t="shared" si="93"/>
        <v>3028</v>
      </c>
      <c r="Q224" s="927">
        <v>204</v>
      </c>
      <c r="R224" s="927">
        <v>204</v>
      </c>
      <c r="S224" s="927">
        <v>204</v>
      </c>
      <c r="T224" s="927">
        <v>495</v>
      </c>
      <c r="U224" s="927">
        <v>166</v>
      </c>
      <c r="V224" s="927">
        <v>687</v>
      </c>
      <c r="W224" s="927">
        <v>204</v>
      </c>
      <c r="X224" s="927">
        <v>495</v>
      </c>
      <c r="Y224" s="927">
        <v>204</v>
      </c>
      <c r="Z224" s="927">
        <v>107</v>
      </c>
      <c r="AA224" s="927">
        <v>58</v>
      </c>
      <c r="AB224" s="927">
        <v>0</v>
      </c>
      <c r="AC224" s="927">
        <v>0</v>
      </c>
      <c r="AD224" s="927">
        <v>0</v>
      </c>
      <c r="AE224" s="927">
        <v>0</v>
      </c>
      <c r="AF224" s="926">
        <f t="shared" si="85"/>
        <v>0</v>
      </c>
      <c r="AG224" s="927">
        <v>0</v>
      </c>
      <c r="AH224" s="927">
        <v>0</v>
      </c>
      <c r="AI224" s="387">
        <f t="shared" si="74"/>
        <v>0</v>
      </c>
      <c r="AJ224" s="496">
        <f t="shared" si="86"/>
        <v>0</v>
      </c>
      <c r="AK224" s="393">
        <f t="shared" si="87"/>
        <v>4211</v>
      </c>
      <c r="AL224" s="393">
        <f t="shared" si="88"/>
        <v>0</v>
      </c>
      <c r="AM224" s="393">
        <f t="shared" si="89"/>
        <v>0</v>
      </c>
      <c r="AN224" s="393">
        <f t="shared" si="90"/>
        <v>0</v>
      </c>
      <c r="AO224" s="393">
        <f t="shared" si="91"/>
        <v>0</v>
      </c>
    </row>
    <row r="225" spans="1:41" s="393" customFormat="1" ht="14.25">
      <c r="A225" s="397" t="s">
        <v>1825</v>
      </c>
      <c r="B225" s="394" t="s">
        <v>1826</v>
      </c>
      <c r="C225" s="932" t="s">
        <v>961</v>
      </c>
      <c r="D225" s="396">
        <v>4</v>
      </c>
      <c r="E225" s="385">
        <f t="shared" si="84"/>
        <v>104716</v>
      </c>
      <c r="F225" s="104">
        <v>104716</v>
      </c>
      <c r="G225" s="104">
        <v>0</v>
      </c>
      <c r="H225" s="926">
        <f t="shared" si="92"/>
        <v>29057</v>
      </c>
      <c r="I225" s="927">
        <v>1500</v>
      </c>
      <c r="J225" s="927">
        <v>0</v>
      </c>
      <c r="K225" s="927">
        <v>3500</v>
      </c>
      <c r="L225" s="927">
        <v>3500</v>
      </c>
      <c r="M225" s="927">
        <v>5800</v>
      </c>
      <c r="N225" s="927">
        <v>5765</v>
      </c>
      <c r="O225" s="933">
        <v>8992</v>
      </c>
      <c r="P225" s="928">
        <f t="shared" si="93"/>
        <v>71585</v>
      </c>
      <c r="Q225" s="927">
        <v>5200</v>
      </c>
      <c r="R225" s="927">
        <v>2700</v>
      </c>
      <c r="S225" s="927">
        <v>6200</v>
      </c>
      <c r="T225" s="927">
        <v>6000</v>
      </c>
      <c r="U225" s="927">
        <v>6200</v>
      </c>
      <c r="V225" s="927">
        <v>4000</v>
      </c>
      <c r="W225" s="927">
        <v>4000</v>
      </c>
      <c r="X225" s="927">
        <v>3500</v>
      </c>
      <c r="Y225" s="927">
        <v>3500</v>
      </c>
      <c r="Z225" s="927">
        <v>3500</v>
      </c>
      <c r="AA225" s="927">
        <v>2000</v>
      </c>
      <c r="AB225" s="927">
        <v>2500</v>
      </c>
      <c r="AC225" s="927">
        <v>2500</v>
      </c>
      <c r="AD225" s="927">
        <v>2000</v>
      </c>
      <c r="AE225" s="933">
        <v>17785</v>
      </c>
      <c r="AF225" s="926">
        <f t="shared" si="85"/>
        <v>4074</v>
      </c>
      <c r="AG225" s="927">
        <v>2134</v>
      </c>
      <c r="AH225" s="927">
        <v>1940</v>
      </c>
      <c r="AI225" s="387">
        <f t="shared" si="74"/>
        <v>0</v>
      </c>
      <c r="AJ225" s="496">
        <f t="shared" si="86"/>
        <v>26777</v>
      </c>
      <c r="AK225" s="393">
        <f t="shared" si="87"/>
        <v>77939</v>
      </c>
      <c r="AL225" s="393">
        <f t="shared" si="88"/>
        <v>0</v>
      </c>
      <c r="AM225" s="393">
        <f t="shared" si="89"/>
        <v>0</v>
      </c>
      <c r="AN225" s="393">
        <f t="shared" si="90"/>
        <v>0</v>
      </c>
      <c r="AO225" s="393">
        <f t="shared" si="91"/>
        <v>0</v>
      </c>
    </row>
    <row r="226" spans="1:41" s="393" customFormat="1" ht="14.25">
      <c r="A226" s="397" t="s">
        <v>1825</v>
      </c>
      <c r="B226" s="394" t="s">
        <v>1826</v>
      </c>
      <c r="C226" s="932" t="s">
        <v>387</v>
      </c>
      <c r="D226" s="396">
        <v>4</v>
      </c>
      <c r="E226" s="385">
        <f t="shared" si="84"/>
        <v>1014</v>
      </c>
      <c r="F226" s="104">
        <v>1014</v>
      </c>
      <c r="G226" s="104">
        <v>0</v>
      </c>
      <c r="H226" s="926">
        <f t="shared" si="92"/>
        <v>252</v>
      </c>
      <c r="I226" s="934">
        <v>39</v>
      </c>
      <c r="J226" s="934">
        <v>0</v>
      </c>
      <c r="K226" s="934">
        <v>56</v>
      </c>
      <c r="L226" s="934">
        <v>70</v>
      </c>
      <c r="M226" s="934">
        <v>87</v>
      </c>
      <c r="N226" s="934">
        <v>0</v>
      </c>
      <c r="O226" s="934">
        <v>0</v>
      </c>
      <c r="P226" s="928">
        <f t="shared" si="93"/>
        <v>728</v>
      </c>
      <c r="Q226" s="934">
        <v>42</v>
      </c>
      <c r="R226" s="934">
        <v>29</v>
      </c>
      <c r="S226" s="934">
        <v>34</v>
      </c>
      <c r="T226" s="934">
        <v>136</v>
      </c>
      <c r="U226" s="934">
        <v>41</v>
      </c>
      <c r="V226" s="934">
        <v>116</v>
      </c>
      <c r="W226" s="934">
        <v>63</v>
      </c>
      <c r="X226" s="934">
        <v>82</v>
      </c>
      <c r="Y226" s="934">
        <v>49</v>
      </c>
      <c r="Z226" s="934">
        <v>39</v>
      </c>
      <c r="AA226" s="934">
        <v>34</v>
      </c>
      <c r="AB226" s="934">
        <v>15</v>
      </c>
      <c r="AC226" s="934">
        <v>19</v>
      </c>
      <c r="AD226" s="934">
        <v>29</v>
      </c>
      <c r="AE226" s="934">
        <v>0</v>
      </c>
      <c r="AF226" s="926">
        <f t="shared" si="85"/>
        <v>34</v>
      </c>
      <c r="AG226" s="934">
        <v>34</v>
      </c>
      <c r="AH226" s="934">
        <v>0</v>
      </c>
      <c r="AI226" s="387">
        <f t="shared" si="74"/>
        <v>0</v>
      </c>
      <c r="AJ226" s="496">
        <f t="shared" si="86"/>
        <v>0</v>
      </c>
      <c r="AK226" s="393">
        <f t="shared" si="87"/>
        <v>1014</v>
      </c>
      <c r="AL226" s="393">
        <f t="shared" si="88"/>
        <v>0</v>
      </c>
      <c r="AM226" s="393">
        <f t="shared" si="89"/>
        <v>0</v>
      </c>
      <c r="AN226" s="393">
        <f t="shared" si="90"/>
        <v>0</v>
      </c>
      <c r="AO226" s="393">
        <f t="shared" si="91"/>
        <v>0</v>
      </c>
    </row>
    <row r="227" spans="1:41" s="393" customFormat="1" ht="14.25">
      <c r="A227" s="397" t="s">
        <v>1825</v>
      </c>
      <c r="B227" s="394" t="s">
        <v>1826</v>
      </c>
      <c r="C227" s="935" t="s">
        <v>384</v>
      </c>
      <c r="D227" s="396">
        <v>4</v>
      </c>
      <c r="E227" s="385">
        <f t="shared" si="84"/>
        <v>2560</v>
      </c>
      <c r="F227" s="104">
        <v>2560</v>
      </c>
      <c r="G227" s="104">
        <v>0</v>
      </c>
      <c r="H227" s="926">
        <f t="shared" si="92"/>
        <v>925</v>
      </c>
      <c r="I227" s="929">
        <v>0</v>
      </c>
      <c r="J227" s="929">
        <v>0</v>
      </c>
      <c r="K227" s="929">
        <v>117</v>
      </c>
      <c r="L227" s="929">
        <v>0</v>
      </c>
      <c r="M227" s="929">
        <v>168</v>
      </c>
      <c r="N227" s="929">
        <v>640</v>
      </c>
      <c r="O227" s="929">
        <v>0</v>
      </c>
      <c r="P227" s="928">
        <f t="shared" si="93"/>
        <v>1635</v>
      </c>
      <c r="Q227" s="929">
        <v>299</v>
      </c>
      <c r="R227" s="929">
        <v>89</v>
      </c>
      <c r="S227" s="929">
        <v>172</v>
      </c>
      <c r="T227" s="929">
        <v>316</v>
      </c>
      <c r="U227" s="929">
        <v>69</v>
      </c>
      <c r="V227" s="929">
        <v>163</v>
      </c>
      <c r="W227" s="929">
        <v>163</v>
      </c>
      <c r="X227" s="929">
        <v>175</v>
      </c>
      <c r="Y227" s="929">
        <v>81</v>
      </c>
      <c r="Z227" s="929">
        <v>47</v>
      </c>
      <c r="AA227" s="929">
        <v>61</v>
      </c>
      <c r="AB227" s="929">
        <v>0</v>
      </c>
      <c r="AC227" s="929">
        <v>0</v>
      </c>
      <c r="AD227" s="929">
        <v>0</v>
      </c>
      <c r="AE227" s="929">
        <v>0</v>
      </c>
      <c r="AF227" s="926">
        <f t="shared" si="85"/>
        <v>0</v>
      </c>
      <c r="AG227" s="929">
        <v>0</v>
      </c>
      <c r="AH227" s="929">
        <v>0</v>
      </c>
      <c r="AI227" s="387">
        <f t="shared" si="74"/>
        <v>0</v>
      </c>
      <c r="AJ227" s="496">
        <f t="shared" si="86"/>
        <v>0</v>
      </c>
      <c r="AK227" s="393">
        <f t="shared" si="87"/>
        <v>2560</v>
      </c>
      <c r="AL227" s="393">
        <f t="shared" si="88"/>
        <v>0</v>
      </c>
      <c r="AM227" s="393">
        <f t="shared" si="89"/>
        <v>0</v>
      </c>
      <c r="AN227" s="393">
        <f t="shared" si="90"/>
        <v>0</v>
      </c>
      <c r="AO227" s="393">
        <f t="shared" si="91"/>
        <v>0</v>
      </c>
    </row>
    <row r="228" spans="1:41" s="393" customFormat="1" ht="14.25">
      <c r="A228" s="397" t="s">
        <v>1825</v>
      </c>
      <c r="B228" s="394" t="s">
        <v>1826</v>
      </c>
      <c r="C228" s="936" t="s">
        <v>389</v>
      </c>
      <c r="D228" s="396">
        <v>4</v>
      </c>
      <c r="E228" s="385">
        <f t="shared" si="84"/>
        <v>285180</v>
      </c>
      <c r="F228" s="104">
        <v>0</v>
      </c>
      <c r="G228" s="104">
        <v>285180</v>
      </c>
      <c r="H228" s="926">
        <f t="shared" si="92"/>
        <v>127070</v>
      </c>
      <c r="I228" s="929">
        <v>7275</v>
      </c>
      <c r="J228" s="929">
        <v>0</v>
      </c>
      <c r="K228" s="929">
        <v>31040</v>
      </c>
      <c r="L228" s="929">
        <v>63050</v>
      </c>
      <c r="M228" s="929">
        <v>25705</v>
      </c>
      <c r="N228" s="929">
        <v>0</v>
      </c>
      <c r="O228" s="929">
        <v>0</v>
      </c>
      <c r="P228" s="928">
        <f t="shared" si="93"/>
        <v>146470</v>
      </c>
      <c r="Q228" s="927">
        <v>0</v>
      </c>
      <c r="R228" s="927">
        <v>0</v>
      </c>
      <c r="S228" s="927">
        <v>1940</v>
      </c>
      <c r="T228" s="927">
        <v>0</v>
      </c>
      <c r="U228" s="927">
        <v>8245</v>
      </c>
      <c r="V228" s="927">
        <v>0</v>
      </c>
      <c r="W228" s="927">
        <v>19497</v>
      </c>
      <c r="X228" s="927">
        <v>2619</v>
      </c>
      <c r="Y228" s="927">
        <v>3880</v>
      </c>
      <c r="Z228" s="927">
        <v>13580</v>
      </c>
      <c r="AA228" s="927">
        <v>21728</v>
      </c>
      <c r="AB228" s="927">
        <v>32786</v>
      </c>
      <c r="AC228" s="927">
        <v>33950</v>
      </c>
      <c r="AD228" s="927">
        <v>8245</v>
      </c>
      <c r="AE228" s="927">
        <v>0</v>
      </c>
      <c r="AF228" s="926">
        <f t="shared" si="85"/>
        <v>11640</v>
      </c>
      <c r="AG228" s="927">
        <v>11640</v>
      </c>
      <c r="AH228" s="927">
        <v>0</v>
      </c>
      <c r="AI228" s="387">
        <f t="shared" si="74"/>
        <v>0</v>
      </c>
      <c r="AJ228" s="496">
        <f t="shared" si="86"/>
        <v>0</v>
      </c>
      <c r="AK228" s="393">
        <f t="shared" si="87"/>
        <v>285180</v>
      </c>
      <c r="AL228" s="393">
        <f t="shared" si="88"/>
        <v>0</v>
      </c>
      <c r="AM228" s="393">
        <f t="shared" si="89"/>
        <v>0</v>
      </c>
      <c r="AN228" s="393">
        <f t="shared" si="90"/>
        <v>0</v>
      </c>
      <c r="AO228" s="393">
        <f t="shared" si="91"/>
        <v>0</v>
      </c>
    </row>
    <row r="229" spans="1:41" s="393" customFormat="1" ht="14.25">
      <c r="A229" s="397" t="s">
        <v>1825</v>
      </c>
      <c r="B229" s="394" t="s">
        <v>1826</v>
      </c>
      <c r="C229" s="932" t="s">
        <v>386</v>
      </c>
      <c r="D229" s="396">
        <v>4</v>
      </c>
      <c r="E229" s="385">
        <f t="shared" si="84"/>
        <v>1941</v>
      </c>
      <c r="F229" s="104">
        <v>1941</v>
      </c>
      <c r="G229" s="104">
        <v>0</v>
      </c>
      <c r="H229" s="926">
        <f t="shared" si="92"/>
        <v>340</v>
      </c>
      <c r="I229" s="929">
        <v>68</v>
      </c>
      <c r="J229" s="929">
        <v>0</v>
      </c>
      <c r="K229" s="929">
        <v>68</v>
      </c>
      <c r="L229" s="929">
        <v>68</v>
      </c>
      <c r="M229" s="929">
        <v>68</v>
      </c>
      <c r="N229" s="929">
        <v>68</v>
      </c>
      <c r="O229" s="929">
        <v>0</v>
      </c>
      <c r="P229" s="928">
        <f t="shared" si="93"/>
        <v>1533</v>
      </c>
      <c r="Q229" s="929">
        <v>58</v>
      </c>
      <c r="R229" s="929">
        <v>68</v>
      </c>
      <c r="S229" s="929">
        <v>145</v>
      </c>
      <c r="T229" s="929">
        <v>155</v>
      </c>
      <c r="U229" s="929">
        <v>97</v>
      </c>
      <c r="V229" s="929">
        <v>242</v>
      </c>
      <c r="W229" s="929">
        <v>175</v>
      </c>
      <c r="X229" s="929">
        <v>263</v>
      </c>
      <c r="Y229" s="929">
        <v>107</v>
      </c>
      <c r="Z229" s="929">
        <v>97</v>
      </c>
      <c r="AA229" s="929">
        <v>39</v>
      </c>
      <c r="AB229" s="929">
        <v>48</v>
      </c>
      <c r="AC229" s="929">
        <v>39</v>
      </c>
      <c r="AD229" s="929">
        <v>0</v>
      </c>
      <c r="AE229" s="929">
        <v>0</v>
      </c>
      <c r="AF229" s="926">
        <f t="shared" si="85"/>
        <v>68</v>
      </c>
      <c r="AG229" s="929">
        <v>39</v>
      </c>
      <c r="AH229" s="929">
        <v>29</v>
      </c>
      <c r="AI229" s="387">
        <f t="shared" si="74"/>
        <v>0</v>
      </c>
      <c r="AJ229" s="496">
        <f t="shared" si="86"/>
        <v>0</v>
      </c>
      <c r="AK229" s="393">
        <f t="shared" si="87"/>
        <v>1941</v>
      </c>
      <c r="AL229" s="393">
        <f t="shared" si="88"/>
        <v>0</v>
      </c>
      <c r="AM229" s="393">
        <f t="shared" si="89"/>
        <v>0</v>
      </c>
      <c r="AN229" s="393">
        <f t="shared" si="90"/>
        <v>0</v>
      </c>
      <c r="AO229" s="393">
        <f t="shared" si="91"/>
        <v>0</v>
      </c>
    </row>
    <row r="230" spans="1:41" s="393" customFormat="1" ht="14.25">
      <c r="A230" s="397" t="s">
        <v>1825</v>
      </c>
      <c r="B230" s="394" t="s">
        <v>1826</v>
      </c>
      <c r="C230" s="932" t="s">
        <v>826</v>
      </c>
      <c r="D230" s="396">
        <v>4</v>
      </c>
      <c r="E230" s="385">
        <f t="shared" si="84"/>
        <v>960</v>
      </c>
      <c r="F230" s="104">
        <v>485</v>
      </c>
      <c r="G230" s="104">
        <v>475</v>
      </c>
      <c r="H230" s="926">
        <f t="shared" si="92"/>
        <v>384</v>
      </c>
      <c r="I230" s="927">
        <v>0</v>
      </c>
      <c r="J230" s="927">
        <v>0</v>
      </c>
      <c r="K230" s="927">
        <v>0</v>
      </c>
      <c r="L230" s="927">
        <v>0</v>
      </c>
      <c r="M230" s="927">
        <v>194</v>
      </c>
      <c r="N230" s="927">
        <v>190</v>
      </c>
      <c r="O230" s="927">
        <v>0</v>
      </c>
      <c r="P230" s="928">
        <f t="shared" si="93"/>
        <v>576</v>
      </c>
      <c r="Q230" s="929">
        <v>0</v>
      </c>
      <c r="R230" s="929">
        <v>0</v>
      </c>
      <c r="S230" s="929">
        <v>0</v>
      </c>
      <c r="T230" s="929">
        <v>194</v>
      </c>
      <c r="U230" s="929">
        <v>0</v>
      </c>
      <c r="V230" s="929">
        <v>194</v>
      </c>
      <c r="W230" s="929">
        <v>0</v>
      </c>
      <c r="X230" s="929">
        <v>188</v>
      </c>
      <c r="Y230" s="929">
        <v>0</v>
      </c>
      <c r="Z230" s="929">
        <v>0</v>
      </c>
      <c r="AA230" s="929">
        <v>0</v>
      </c>
      <c r="AB230" s="929">
        <v>0</v>
      </c>
      <c r="AC230" s="929">
        <v>0</v>
      </c>
      <c r="AD230" s="929">
        <v>0</v>
      </c>
      <c r="AE230" s="929">
        <v>0</v>
      </c>
      <c r="AF230" s="926">
        <f t="shared" si="85"/>
        <v>0</v>
      </c>
      <c r="AG230" s="929">
        <v>0</v>
      </c>
      <c r="AH230" s="929">
        <v>0</v>
      </c>
      <c r="AI230" s="387">
        <f t="shared" si="74"/>
        <v>0</v>
      </c>
      <c r="AJ230" s="496">
        <f t="shared" si="86"/>
        <v>0</v>
      </c>
      <c r="AK230" s="393">
        <f t="shared" si="87"/>
        <v>960</v>
      </c>
      <c r="AL230" s="393">
        <f t="shared" si="88"/>
        <v>0</v>
      </c>
      <c r="AM230" s="393">
        <f t="shared" si="89"/>
        <v>0</v>
      </c>
      <c r="AN230" s="393">
        <f t="shared" si="90"/>
        <v>0</v>
      </c>
      <c r="AO230" s="393">
        <f t="shared" si="91"/>
        <v>0</v>
      </c>
    </row>
    <row r="231" spans="1:41" s="393" customFormat="1" ht="14.25">
      <c r="A231" s="397" t="s">
        <v>1825</v>
      </c>
      <c r="B231" s="394" t="s">
        <v>1826</v>
      </c>
      <c r="C231" s="932" t="s">
        <v>830</v>
      </c>
      <c r="D231" s="396">
        <v>4</v>
      </c>
      <c r="E231" s="385">
        <f t="shared" si="84"/>
        <v>4428</v>
      </c>
      <c r="F231" s="104">
        <v>4428</v>
      </c>
      <c r="G231" s="104">
        <v>0</v>
      </c>
      <c r="H231" s="926">
        <f t="shared" si="92"/>
        <v>1552</v>
      </c>
      <c r="I231" s="927">
        <v>194</v>
      </c>
      <c r="J231" s="927">
        <v>0</v>
      </c>
      <c r="K231" s="927">
        <v>194</v>
      </c>
      <c r="L231" s="927">
        <v>194</v>
      </c>
      <c r="M231" s="927">
        <v>485</v>
      </c>
      <c r="N231" s="927">
        <v>485</v>
      </c>
      <c r="O231" s="927">
        <v>0</v>
      </c>
      <c r="P231" s="928">
        <f t="shared" si="93"/>
        <v>2847</v>
      </c>
      <c r="Q231" s="927">
        <v>194</v>
      </c>
      <c r="R231" s="927">
        <v>194</v>
      </c>
      <c r="S231" s="927">
        <v>194</v>
      </c>
      <c r="T231" s="927">
        <v>485</v>
      </c>
      <c r="U231" s="927">
        <v>194</v>
      </c>
      <c r="V231" s="927">
        <v>485</v>
      </c>
      <c r="W231" s="927">
        <v>194</v>
      </c>
      <c r="X231" s="927">
        <v>485</v>
      </c>
      <c r="Y231" s="927">
        <v>194</v>
      </c>
      <c r="Z231" s="927">
        <v>194</v>
      </c>
      <c r="AA231" s="927">
        <v>10</v>
      </c>
      <c r="AB231" s="927">
        <v>4</v>
      </c>
      <c r="AC231" s="927">
        <v>10</v>
      </c>
      <c r="AD231" s="927">
        <v>10</v>
      </c>
      <c r="AE231" s="927">
        <v>0</v>
      </c>
      <c r="AF231" s="926">
        <f t="shared" si="85"/>
        <v>29</v>
      </c>
      <c r="AG231" s="929">
        <v>19</v>
      </c>
      <c r="AH231" s="929">
        <v>10</v>
      </c>
      <c r="AI231" s="387">
        <f t="shared" si="74"/>
        <v>0</v>
      </c>
      <c r="AJ231" s="496">
        <f t="shared" si="86"/>
        <v>0</v>
      </c>
      <c r="AK231" s="393">
        <f t="shared" si="87"/>
        <v>4428</v>
      </c>
      <c r="AL231" s="393">
        <f t="shared" si="88"/>
        <v>0</v>
      </c>
      <c r="AM231" s="393">
        <f t="shared" si="89"/>
        <v>0</v>
      </c>
      <c r="AN231" s="393">
        <f t="shared" si="90"/>
        <v>0</v>
      </c>
      <c r="AO231" s="393">
        <f t="shared" si="91"/>
        <v>0</v>
      </c>
    </row>
    <row r="232" spans="1:41" s="393" customFormat="1" ht="14.25">
      <c r="A232" s="397" t="s">
        <v>1825</v>
      </c>
      <c r="B232" s="394" t="s">
        <v>1826</v>
      </c>
      <c r="C232" s="932" t="s">
        <v>1827</v>
      </c>
      <c r="D232" s="396">
        <v>4</v>
      </c>
      <c r="E232" s="385">
        <f t="shared" si="84"/>
        <v>1516</v>
      </c>
      <c r="F232" s="104">
        <v>970</v>
      </c>
      <c r="G232" s="104">
        <v>546</v>
      </c>
      <c r="H232" s="926">
        <f t="shared" si="92"/>
        <v>582</v>
      </c>
      <c r="I232" s="927">
        <v>0</v>
      </c>
      <c r="J232" s="927">
        <v>0</v>
      </c>
      <c r="K232" s="927">
        <v>0</v>
      </c>
      <c r="L232" s="927">
        <v>0</v>
      </c>
      <c r="M232" s="927">
        <v>0</v>
      </c>
      <c r="N232" s="927">
        <v>0</v>
      </c>
      <c r="O232" s="933">
        <v>582</v>
      </c>
      <c r="P232" s="928">
        <f t="shared" si="93"/>
        <v>934</v>
      </c>
      <c r="Q232" s="927">
        <v>0</v>
      </c>
      <c r="R232" s="927">
        <v>0</v>
      </c>
      <c r="S232" s="927">
        <v>0</v>
      </c>
      <c r="T232" s="927">
        <v>0</v>
      </c>
      <c r="U232" s="927">
        <v>0</v>
      </c>
      <c r="V232" s="927">
        <v>0</v>
      </c>
      <c r="W232" s="927">
        <v>0</v>
      </c>
      <c r="X232" s="927">
        <v>0</v>
      </c>
      <c r="Y232" s="927">
        <v>0</v>
      </c>
      <c r="Z232" s="927">
        <v>0</v>
      </c>
      <c r="AA232" s="927">
        <v>0</v>
      </c>
      <c r="AB232" s="927">
        <v>0</v>
      </c>
      <c r="AC232" s="927">
        <v>0</v>
      </c>
      <c r="AD232" s="927">
        <v>0</v>
      </c>
      <c r="AE232" s="927">
        <v>934</v>
      </c>
      <c r="AF232" s="926">
        <f t="shared" si="85"/>
        <v>0</v>
      </c>
      <c r="AG232" s="929">
        <v>0</v>
      </c>
      <c r="AH232" s="929">
        <v>0</v>
      </c>
      <c r="AI232" s="387">
        <f t="shared" si="74"/>
        <v>0</v>
      </c>
      <c r="AJ232" s="496">
        <f t="shared" si="86"/>
        <v>1516</v>
      </c>
      <c r="AK232" s="393">
        <f t="shared" si="87"/>
        <v>0</v>
      </c>
      <c r="AL232" s="393">
        <f t="shared" si="88"/>
        <v>0</v>
      </c>
      <c r="AM232" s="393">
        <f t="shared" si="89"/>
        <v>0</v>
      </c>
      <c r="AN232" s="393">
        <f t="shared" si="90"/>
        <v>0</v>
      </c>
      <c r="AO232" s="393">
        <f t="shared" si="91"/>
        <v>0</v>
      </c>
    </row>
    <row r="233" spans="1:41" s="393" customFormat="1" ht="14.25">
      <c r="A233" s="397" t="s">
        <v>1825</v>
      </c>
      <c r="B233" s="394" t="s">
        <v>1826</v>
      </c>
      <c r="C233" s="932" t="s">
        <v>828</v>
      </c>
      <c r="D233" s="396">
        <v>4</v>
      </c>
      <c r="E233" s="385">
        <f t="shared" si="84"/>
        <v>6856</v>
      </c>
      <c r="F233" s="104">
        <v>2183</v>
      </c>
      <c r="G233" s="104">
        <v>4673</v>
      </c>
      <c r="H233" s="926">
        <f t="shared" si="92"/>
        <v>1823</v>
      </c>
      <c r="I233" s="927">
        <v>194</v>
      </c>
      <c r="J233" s="927">
        <v>0</v>
      </c>
      <c r="K233" s="927">
        <v>291</v>
      </c>
      <c r="L233" s="927">
        <v>194</v>
      </c>
      <c r="M233" s="927">
        <v>659</v>
      </c>
      <c r="N233" s="927">
        <v>485</v>
      </c>
      <c r="O233" s="927">
        <v>0</v>
      </c>
      <c r="P233" s="928">
        <f t="shared" si="93"/>
        <v>4839</v>
      </c>
      <c r="Q233" s="927">
        <v>291</v>
      </c>
      <c r="R233" s="927">
        <v>291</v>
      </c>
      <c r="S233" s="927">
        <v>291</v>
      </c>
      <c r="T233" s="927">
        <v>825</v>
      </c>
      <c r="U233" s="927">
        <v>291</v>
      </c>
      <c r="V233" s="927">
        <v>970</v>
      </c>
      <c r="W233" s="927">
        <v>485</v>
      </c>
      <c r="X233" s="927">
        <v>910</v>
      </c>
      <c r="Y233" s="927">
        <v>194</v>
      </c>
      <c r="Z233" s="927">
        <v>194</v>
      </c>
      <c r="AA233" s="927">
        <v>97</v>
      </c>
      <c r="AB233" s="927">
        <v>0</v>
      </c>
      <c r="AC233" s="927">
        <v>0</v>
      </c>
      <c r="AD233" s="927">
        <v>0</v>
      </c>
      <c r="AE233" s="927">
        <v>0</v>
      </c>
      <c r="AF233" s="926">
        <f t="shared" si="85"/>
        <v>194</v>
      </c>
      <c r="AG233" s="929">
        <v>97</v>
      </c>
      <c r="AH233" s="929">
        <v>97</v>
      </c>
      <c r="AI233" s="387">
        <f t="shared" si="74"/>
        <v>0</v>
      </c>
      <c r="AJ233" s="496">
        <f t="shared" si="86"/>
        <v>0</v>
      </c>
      <c r="AK233" s="393">
        <f t="shared" si="87"/>
        <v>6856</v>
      </c>
      <c r="AL233" s="393">
        <f t="shared" si="88"/>
        <v>0</v>
      </c>
      <c r="AM233" s="393">
        <f t="shared" si="89"/>
        <v>0</v>
      </c>
      <c r="AN233" s="393">
        <f t="shared" si="90"/>
        <v>0</v>
      </c>
      <c r="AO233" s="393">
        <f t="shared" si="91"/>
        <v>0</v>
      </c>
    </row>
    <row r="234" spans="1:41" s="393" customFormat="1" ht="14.25">
      <c r="A234" s="397" t="s">
        <v>1825</v>
      </c>
      <c r="B234" s="394" t="s">
        <v>1826</v>
      </c>
      <c r="C234" s="932" t="s">
        <v>1828</v>
      </c>
      <c r="D234" s="396">
        <v>4</v>
      </c>
      <c r="E234" s="385">
        <f t="shared" si="84"/>
        <v>2132</v>
      </c>
      <c r="F234" s="104">
        <v>2132</v>
      </c>
      <c r="G234" s="104">
        <v>0</v>
      </c>
      <c r="H234" s="926">
        <f t="shared" si="92"/>
        <v>369</v>
      </c>
      <c r="I234" s="927">
        <v>10</v>
      </c>
      <c r="J234" s="927">
        <v>0</v>
      </c>
      <c r="K234" s="927">
        <v>58</v>
      </c>
      <c r="L234" s="927">
        <v>49</v>
      </c>
      <c r="M234" s="927">
        <v>126</v>
      </c>
      <c r="N234" s="927">
        <v>126</v>
      </c>
      <c r="O234" s="927">
        <v>0</v>
      </c>
      <c r="P234" s="928">
        <f t="shared" si="93"/>
        <v>1748</v>
      </c>
      <c r="Q234" s="927">
        <v>49</v>
      </c>
      <c r="R234" s="927">
        <v>53</v>
      </c>
      <c r="S234" s="927">
        <v>58</v>
      </c>
      <c r="T234" s="927">
        <v>922</v>
      </c>
      <c r="U234" s="927">
        <v>78</v>
      </c>
      <c r="V234" s="927">
        <v>242</v>
      </c>
      <c r="W234" s="927">
        <v>126</v>
      </c>
      <c r="X234" s="927">
        <v>165</v>
      </c>
      <c r="Y234" s="927">
        <v>18</v>
      </c>
      <c r="Z234" s="927">
        <v>13</v>
      </c>
      <c r="AA234" s="927">
        <v>16</v>
      </c>
      <c r="AB234" s="927">
        <v>0</v>
      </c>
      <c r="AC234" s="927">
        <v>8</v>
      </c>
      <c r="AD234" s="927">
        <v>0</v>
      </c>
      <c r="AE234" s="927">
        <v>0</v>
      </c>
      <c r="AF234" s="926">
        <f t="shared" si="85"/>
        <v>15</v>
      </c>
      <c r="AG234" s="929">
        <v>15</v>
      </c>
      <c r="AH234" s="929">
        <v>0</v>
      </c>
      <c r="AI234" s="387">
        <f t="shared" si="74"/>
        <v>0</v>
      </c>
      <c r="AJ234" s="496">
        <f t="shared" si="86"/>
        <v>0</v>
      </c>
      <c r="AK234" s="393">
        <f t="shared" si="87"/>
        <v>2132</v>
      </c>
      <c r="AL234" s="393">
        <f t="shared" si="88"/>
        <v>0</v>
      </c>
      <c r="AM234" s="393">
        <f t="shared" si="89"/>
        <v>0</v>
      </c>
      <c r="AN234" s="393">
        <f t="shared" si="90"/>
        <v>0</v>
      </c>
      <c r="AO234" s="393">
        <f t="shared" si="91"/>
        <v>0</v>
      </c>
    </row>
    <row r="235" spans="1:41" s="393" customFormat="1" ht="14.25">
      <c r="A235" s="397" t="s">
        <v>1825</v>
      </c>
      <c r="B235" s="394" t="s">
        <v>1826</v>
      </c>
      <c r="C235" s="932" t="s">
        <v>1829</v>
      </c>
      <c r="D235" s="396">
        <v>4</v>
      </c>
      <c r="E235" s="385">
        <f t="shared" si="84"/>
        <v>1915</v>
      </c>
      <c r="F235" s="104">
        <v>1915</v>
      </c>
      <c r="G235" s="104">
        <v>0</v>
      </c>
      <c r="H235" s="926">
        <f t="shared" si="92"/>
        <v>451</v>
      </c>
      <c r="I235" s="927">
        <v>49</v>
      </c>
      <c r="J235" s="927">
        <v>0</v>
      </c>
      <c r="K235" s="927">
        <v>87</v>
      </c>
      <c r="L235" s="927">
        <v>116</v>
      </c>
      <c r="M235" s="927">
        <v>78</v>
      </c>
      <c r="N235" s="927">
        <v>121</v>
      </c>
      <c r="O235" s="927">
        <v>0</v>
      </c>
      <c r="P235" s="928">
        <f t="shared" si="93"/>
        <v>1464</v>
      </c>
      <c r="Q235" s="927">
        <v>29</v>
      </c>
      <c r="R235" s="927">
        <v>44</v>
      </c>
      <c r="S235" s="927">
        <v>107</v>
      </c>
      <c r="T235" s="927">
        <v>243</v>
      </c>
      <c r="U235" s="927">
        <v>58</v>
      </c>
      <c r="V235" s="927">
        <v>256</v>
      </c>
      <c r="W235" s="927">
        <v>145</v>
      </c>
      <c r="X235" s="927">
        <v>184</v>
      </c>
      <c r="Y235" s="927">
        <v>243</v>
      </c>
      <c r="Z235" s="927">
        <v>136</v>
      </c>
      <c r="AA235" s="927">
        <v>0</v>
      </c>
      <c r="AB235" s="927">
        <v>0</v>
      </c>
      <c r="AC235" s="927">
        <v>19</v>
      </c>
      <c r="AD235" s="927">
        <v>0</v>
      </c>
      <c r="AE235" s="927">
        <v>0</v>
      </c>
      <c r="AF235" s="926">
        <f t="shared" si="85"/>
        <v>0</v>
      </c>
      <c r="AG235" s="927">
        <v>0</v>
      </c>
      <c r="AH235" s="927">
        <v>0</v>
      </c>
      <c r="AI235" s="387">
        <f t="shared" si="74"/>
        <v>0</v>
      </c>
      <c r="AJ235" s="496">
        <f t="shared" si="86"/>
        <v>0</v>
      </c>
      <c r="AK235" s="393">
        <f t="shared" si="87"/>
        <v>1915</v>
      </c>
      <c r="AL235" s="393">
        <f t="shared" si="88"/>
        <v>0</v>
      </c>
      <c r="AM235" s="393">
        <f t="shared" si="89"/>
        <v>0</v>
      </c>
      <c r="AN235" s="393">
        <f t="shared" si="90"/>
        <v>0</v>
      </c>
      <c r="AO235" s="393">
        <f t="shared" si="91"/>
        <v>0</v>
      </c>
    </row>
    <row r="236" spans="1:41" s="393" customFormat="1" ht="14.25">
      <c r="A236" s="397" t="s">
        <v>1825</v>
      </c>
      <c r="B236" s="394" t="s">
        <v>1826</v>
      </c>
      <c r="C236" s="932" t="s">
        <v>1830</v>
      </c>
      <c r="D236" s="396">
        <v>4</v>
      </c>
      <c r="E236" s="385">
        <f t="shared" si="84"/>
        <v>670</v>
      </c>
      <c r="F236" s="104">
        <v>670</v>
      </c>
      <c r="G236" s="104">
        <v>0</v>
      </c>
      <c r="H236" s="926">
        <f t="shared" si="92"/>
        <v>138</v>
      </c>
      <c r="I236" s="927">
        <v>15</v>
      </c>
      <c r="J236" s="927">
        <v>0</v>
      </c>
      <c r="K236" s="927">
        <v>25</v>
      </c>
      <c r="L236" s="927">
        <v>35</v>
      </c>
      <c r="M236" s="927">
        <v>23</v>
      </c>
      <c r="N236" s="927">
        <v>40</v>
      </c>
      <c r="O236" s="927">
        <v>0</v>
      </c>
      <c r="P236" s="928">
        <f t="shared" si="93"/>
        <v>532</v>
      </c>
      <c r="Q236" s="927">
        <v>10</v>
      </c>
      <c r="R236" s="927">
        <v>29</v>
      </c>
      <c r="S236" s="927">
        <v>37</v>
      </c>
      <c r="T236" s="927">
        <v>82</v>
      </c>
      <c r="U236" s="927">
        <v>23</v>
      </c>
      <c r="V236" s="927">
        <v>98</v>
      </c>
      <c r="W236" s="927">
        <v>50</v>
      </c>
      <c r="X236" s="927">
        <v>63</v>
      </c>
      <c r="Y236" s="927">
        <v>85</v>
      </c>
      <c r="Z236" s="927">
        <v>47</v>
      </c>
      <c r="AA236" s="927">
        <v>0</v>
      </c>
      <c r="AB236" s="927">
        <v>0</v>
      </c>
      <c r="AC236" s="927">
        <v>8</v>
      </c>
      <c r="AD236" s="927">
        <v>0</v>
      </c>
      <c r="AE236" s="927">
        <v>0</v>
      </c>
      <c r="AF236" s="926">
        <f t="shared" si="85"/>
        <v>0</v>
      </c>
      <c r="AG236" s="927">
        <v>0</v>
      </c>
      <c r="AH236" s="927">
        <v>0</v>
      </c>
      <c r="AI236" s="387">
        <f t="shared" si="74"/>
        <v>0</v>
      </c>
      <c r="AJ236" s="496">
        <f t="shared" si="86"/>
        <v>0</v>
      </c>
      <c r="AK236" s="393">
        <f t="shared" si="87"/>
        <v>670</v>
      </c>
      <c r="AL236" s="393">
        <f t="shared" si="88"/>
        <v>0</v>
      </c>
      <c r="AM236" s="393">
        <f t="shared" si="89"/>
        <v>0</v>
      </c>
      <c r="AN236" s="393">
        <f t="shared" si="90"/>
        <v>0</v>
      </c>
      <c r="AO236" s="393">
        <f t="shared" si="91"/>
        <v>0</v>
      </c>
    </row>
    <row r="237" spans="1:41" s="393" customFormat="1" ht="14.25">
      <c r="A237" s="397" t="s">
        <v>1825</v>
      </c>
      <c r="B237" s="394" t="s">
        <v>1826</v>
      </c>
      <c r="C237" s="932" t="s">
        <v>825</v>
      </c>
      <c r="D237" s="396">
        <v>4</v>
      </c>
      <c r="E237" s="385">
        <f t="shared" si="84"/>
        <v>1277</v>
      </c>
      <c r="F237" s="104">
        <v>1277</v>
      </c>
      <c r="G237" s="104">
        <v>0</v>
      </c>
      <c r="H237" s="926">
        <f t="shared" si="92"/>
        <v>367</v>
      </c>
      <c r="I237" s="927">
        <v>51</v>
      </c>
      <c r="J237" s="927">
        <v>0</v>
      </c>
      <c r="K237" s="927">
        <v>61</v>
      </c>
      <c r="L237" s="927">
        <v>91</v>
      </c>
      <c r="M237" s="927">
        <v>114</v>
      </c>
      <c r="N237" s="927">
        <v>50</v>
      </c>
      <c r="O237" s="927">
        <v>0</v>
      </c>
      <c r="P237" s="928">
        <f t="shared" si="93"/>
        <v>910</v>
      </c>
      <c r="Q237" s="927">
        <v>45</v>
      </c>
      <c r="R237" s="927">
        <v>81</v>
      </c>
      <c r="S237" s="927">
        <v>102</v>
      </c>
      <c r="T237" s="927">
        <v>91</v>
      </c>
      <c r="U237" s="927">
        <v>61</v>
      </c>
      <c r="V237" s="927">
        <v>102</v>
      </c>
      <c r="W237" s="927">
        <v>93</v>
      </c>
      <c r="X237" s="927">
        <v>94</v>
      </c>
      <c r="Y237" s="927">
        <v>50</v>
      </c>
      <c r="Z237" s="927">
        <v>50</v>
      </c>
      <c r="AA237" s="927">
        <v>0</v>
      </c>
      <c r="AB237" s="927">
        <v>41</v>
      </c>
      <c r="AC237" s="927">
        <v>53</v>
      </c>
      <c r="AD237" s="927">
        <v>47</v>
      </c>
      <c r="AE237" s="927">
        <v>0</v>
      </c>
      <c r="AF237" s="926">
        <f t="shared" si="85"/>
        <v>0</v>
      </c>
      <c r="AG237" s="927">
        <v>0</v>
      </c>
      <c r="AH237" s="927">
        <v>0</v>
      </c>
      <c r="AI237" s="387">
        <f t="shared" si="74"/>
        <v>0</v>
      </c>
      <c r="AJ237" s="496">
        <f t="shared" si="86"/>
        <v>0</v>
      </c>
      <c r="AK237" s="393">
        <f t="shared" si="87"/>
        <v>1277</v>
      </c>
      <c r="AL237" s="393">
        <f t="shared" si="88"/>
        <v>0</v>
      </c>
      <c r="AM237" s="393">
        <f t="shared" si="89"/>
        <v>0</v>
      </c>
      <c r="AN237" s="393">
        <f t="shared" si="90"/>
        <v>0</v>
      </c>
      <c r="AO237" s="393">
        <f t="shared" si="91"/>
        <v>0</v>
      </c>
    </row>
    <row r="238" spans="1:41" s="393" customFormat="1" ht="28.5">
      <c r="A238" s="397" t="s">
        <v>1825</v>
      </c>
      <c r="B238" s="394" t="s">
        <v>1826</v>
      </c>
      <c r="C238" s="937" t="s">
        <v>1831</v>
      </c>
      <c r="D238" s="396">
        <v>4</v>
      </c>
      <c r="E238" s="385">
        <f t="shared" si="84"/>
        <v>5490</v>
      </c>
      <c r="F238" s="104">
        <v>5490</v>
      </c>
      <c r="G238" s="104"/>
      <c r="H238" s="926">
        <f t="shared" si="92"/>
        <v>1358</v>
      </c>
      <c r="I238" s="927">
        <v>0</v>
      </c>
      <c r="J238" s="927">
        <v>0</v>
      </c>
      <c r="K238" s="927">
        <v>291</v>
      </c>
      <c r="L238" s="927">
        <v>291</v>
      </c>
      <c r="M238" s="927">
        <v>485</v>
      </c>
      <c r="N238" s="927">
        <v>291</v>
      </c>
      <c r="O238" s="927">
        <v>0</v>
      </c>
      <c r="P238" s="928">
        <f t="shared" si="93"/>
        <v>4016</v>
      </c>
      <c r="Q238" s="927">
        <v>291</v>
      </c>
      <c r="R238" s="927">
        <v>291</v>
      </c>
      <c r="S238" s="927">
        <v>291</v>
      </c>
      <c r="T238" s="927">
        <v>582</v>
      </c>
      <c r="U238" s="927">
        <v>291</v>
      </c>
      <c r="V238" s="927">
        <v>291</v>
      </c>
      <c r="W238" s="927">
        <v>582</v>
      </c>
      <c r="X238" s="927">
        <v>582</v>
      </c>
      <c r="Y238" s="927">
        <v>291</v>
      </c>
      <c r="Z238" s="927">
        <v>291</v>
      </c>
      <c r="AA238" s="927">
        <v>116</v>
      </c>
      <c r="AB238" s="927">
        <v>39</v>
      </c>
      <c r="AC238" s="927">
        <v>39</v>
      </c>
      <c r="AD238" s="927">
        <v>39</v>
      </c>
      <c r="AE238" s="927">
        <v>0</v>
      </c>
      <c r="AF238" s="926">
        <f t="shared" si="85"/>
        <v>116</v>
      </c>
      <c r="AG238" s="927">
        <v>116</v>
      </c>
      <c r="AH238" s="927">
        <v>0</v>
      </c>
      <c r="AI238" s="387">
        <f t="shared" si="74"/>
        <v>0</v>
      </c>
      <c r="AJ238" s="496">
        <f t="shared" si="86"/>
        <v>0</v>
      </c>
      <c r="AK238" s="393">
        <f t="shared" si="87"/>
        <v>5490</v>
      </c>
      <c r="AL238" s="393">
        <f t="shared" si="88"/>
        <v>0</v>
      </c>
      <c r="AM238" s="393">
        <f t="shared" si="89"/>
        <v>0</v>
      </c>
      <c r="AN238" s="393">
        <f t="shared" si="90"/>
        <v>0</v>
      </c>
      <c r="AO238" s="393">
        <f t="shared" si="91"/>
        <v>0</v>
      </c>
    </row>
    <row r="239" spans="1:41" s="393" customFormat="1" ht="28.5">
      <c r="A239" s="397" t="s">
        <v>1825</v>
      </c>
      <c r="B239" s="394" t="s">
        <v>1826</v>
      </c>
      <c r="C239" s="937" t="s">
        <v>393</v>
      </c>
      <c r="D239" s="396">
        <v>4</v>
      </c>
      <c r="E239" s="385">
        <f t="shared" si="84"/>
        <v>747</v>
      </c>
      <c r="F239" s="104">
        <v>747</v>
      </c>
      <c r="G239" s="104"/>
      <c r="H239" s="926">
        <f t="shared" si="92"/>
        <v>195</v>
      </c>
      <c r="I239" s="927">
        <v>0</v>
      </c>
      <c r="J239" s="927">
        <v>3</v>
      </c>
      <c r="K239" s="927">
        <v>44</v>
      </c>
      <c r="L239" s="927">
        <v>87</v>
      </c>
      <c r="M239" s="927">
        <v>0</v>
      </c>
      <c r="N239" s="927">
        <v>61</v>
      </c>
      <c r="O239" s="927">
        <v>0</v>
      </c>
      <c r="P239" s="928">
        <f t="shared" si="93"/>
        <v>550</v>
      </c>
      <c r="Q239" s="927">
        <v>11</v>
      </c>
      <c r="R239" s="927">
        <v>14</v>
      </c>
      <c r="S239" s="927">
        <v>44</v>
      </c>
      <c r="T239" s="927">
        <v>131</v>
      </c>
      <c r="U239" s="927">
        <v>58</v>
      </c>
      <c r="V239" s="927">
        <v>61</v>
      </c>
      <c r="W239" s="927">
        <v>87</v>
      </c>
      <c r="X239" s="927">
        <v>107</v>
      </c>
      <c r="Y239" s="927">
        <v>13</v>
      </c>
      <c r="Z239" s="927">
        <v>17</v>
      </c>
      <c r="AA239" s="927">
        <v>0</v>
      </c>
      <c r="AB239" s="927">
        <v>0</v>
      </c>
      <c r="AC239" s="927">
        <v>4</v>
      </c>
      <c r="AD239" s="927">
        <v>3</v>
      </c>
      <c r="AE239" s="927">
        <v>0</v>
      </c>
      <c r="AF239" s="926">
        <f t="shared" si="85"/>
        <v>2</v>
      </c>
      <c r="AG239" s="927">
        <v>2</v>
      </c>
      <c r="AH239" s="927">
        <v>0</v>
      </c>
      <c r="AI239" s="387">
        <f t="shared" si="74"/>
        <v>0</v>
      </c>
      <c r="AJ239" s="496">
        <f t="shared" si="86"/>
        <v>0</v>
      </c>
      <c r="AK239" s="393">
        <f t="shared" si="87"/>
        <v>747</v>
      </c>
      <c r="AL239" s="393">
        <f t="shared" si="88"/>
        <v>0</v>
      </c>
      <c r="AM239" s="393">
        <f t="shared" si="89"/>
        <v>0</v>
      </c>
      <c r="AN239" s="393">
        <f t="shared" si="90"/>
        <v>0</v>
      </c>
      <c r="AO239" s="393">
        <f t="shared" si="91"/>
        <v>0</v>
      </c>
    </row>
    <row r="240" spans="1:41" s="393" customFormat="1" ht="14.25">
      <c r="A240" s="397" t="s">
        <v>1825</v>
      </c>
      <c r="B240" s="394" t="s">
        <v>1826</v>
      </c>
      <c r="C240" s="938" t="s">
        <v>532</v>
      </c>
      <c r="D240" s="396">
        <v>4</v>
      </c>
      <c r="E240" s="385">
        <f t="shared" si="84"/>
        <v>23279</v>
      </c>
      <c r="F240" s="939">
        <v>23279</v>
      </c>
      <c r="G240" s="940">
        <v>0</v>
      </c>
      <c r="H240" s="926">
        <f t="shared" si="92"/>
        <v>8439</v>
      </c>
      <c r="I240" s="929">
        <v>970</v>
      </c>
      <c r="J240" s="929">
        <v>0</v>
      </c>
      <c r="K240" s="929">
        <v>970</v>
      </c>
      <c r="L240" s="929">
        <v>2328</v>
      </c>
      <c r="M240" s="929">
        <v>1940</v>
      </c>
      <c r="N240" s="929">
        <v>2231</v>
      </c>
      <c r="O240" s="929">
        <v>0</v>
      </c>
      <c r="P240" s="928">
        <f t="shared" si="93"/>
        <v>14840</v>
      </c>
      <c r="Q240" s="929">
        <v>1455</v>
      </c>
      <c r="R240" s="929">
        <v>1455</v>
      </c>
      <c r="S240" s="929">
        <v>1455</v>
      </c>
      <c r="T240" s="929">
        <v>1455</v>
      </c>
      <c r="U240" s="929">
        <v>1552</v>
      </c>
      <c r="V240" s="929">
        <v>2424</v>
      </c>
      <c r="W240" s="929">
        <v>1552</v>
      </c>
      <c r="X240" s="929">
        <v>1164</v>
      </c>
      <c r="Y240" s="929">
        <v>1164</v>
      </c>
      <c r="Z240" s="929">
        <v>1164</v>
      </c>
      <c r="AA240" s="929">
        <v>0</v>
      </c>
      <c r="AB240" s="929">
        <v>0</v>
      </c>
      <c r="AC240" s="929">
        <v>0</v>
      </c>
      <c r="AD240" s="929">
        <v>0</v>
      </c>
      <c r="AE240" s="929">
        <v>0</v>
      </c>
      <c r="AF240" s="926">
        <f t="shared" si="85"/>
        <v>0</v>
      </c>
      <c r="AG240" s="929">
        <v>0</v>
      </c>
      <c r="AH240" s="929">
        <v>0</v>
      </c>
      <c r="AI240" s="387">
        <f t="shared" si="74"/>
        <v>0</v>
      </c>
      <c r="AJ240" s="496">
        <f t="shared" si="86"/>
        <v>0</v>
      </c>
      <c r="AK240" s="393">
        <f t="shared" si="87"/>
        <v>23279</v>
      </c>
      <c r="AL240" s="393">
        <f t="shared" si="88"/>
        <v>0</v>
      </c>
      <c r="AM240" s="393">
        <f t="shared" si="89"/>
        <v>0</v>
      </c>
      <c r="AN240" s="393">
        <f t="shared" si="90"/>
        <v>0</v>
      </c>
      <c r="AO240" s="393">
        <f t="shared" si="91"/>
        <v>0</v>
      </c>
    </row>
    <row r="241" spans="1:41" s="393" customFormat="1" ht="14.25">
      <c r="A241" s="397" t="s">
        <v>1825</v>
      </c>
      <c r="B241" s="394" t="s">
        <v>1826</v>
      </c>
      <c r="C241" s="941" t="s">
        <v>382</v>
      </c>
      <c r="D241" s="396">
        <v>4</v>
      </c>
      <c r="E241" s="385">
        <f t="shared" si="84"/>
        <v>11640</v>
      </c>
      <c r="F241" s="864">
        <v>11640</v>
      </c>
      <c r="G241" s="942">
        <v>0</v>
      </c>
      <c r="H241" s="926">
        <f t="shared" si="92"/>
        <v>3628</v>
      </c>
      <c r="I241" s="929">
        <v>0</v>
      </c>
      <c r="J241" s="929">
        <v>0</v>
      </c>
      <c r="K241" s="929">
        <v>0</v>
      </c>
      <c r="L241" s="929">
        <v>0</v>
      </c>
      <c r="M241" s="929">
        <v>0</v>
      </c>
      <c r="N241" s="929">
        <v>0</v>
      </c>
      <c r="O241" s="930">
        <v>3628</v>
      </c>
      <c r="P241" s="928">
        <f t="shared" si="93"/>
        <v>7896</v>
      </c>
      <c r="Q241" s="929">
        <v>0</v>
      </c>
      <c r="R241" s="929">
        <v>0</v>
      </c>
      <c r="S241" s="929">
        <v>0</v>
      </c>
      <c r="T241" s="929">
        <v>0</v>
      </c>
      <c r="U241" s="929">
        <v>0</v>
      </c>
      <c r="V241" s="929">
        <v>0</v>
      </c>
      <c r="W241" s="929">
        <v>0</v>
      </c>
      <c r="X241" s="929">
        <v>0</v>
      </c>
      <c r="Y241" s="929">
        <v>0</v>
      </c>
      <c r="Z241" s="929">
        <v>0</v>
      </c>
      <c r="AA241" s="929">
        <v>0</v>
      </c>
      <c r="AB241" s="929">
        <v>0</v>
      </c>
      <c r="AC241" s="929">
        <v>0</v>
      </c>
      <c r="AD241" s="929">
        <v>0</v>
      </c>
      <c r="AE241" s="930">
        <v>7896</v>
      </c>
      <c r="AF241" s="926">
        <f t="shared" si="85"/>
        <v>116</v>
      </c>
      <c r="AG241" s="929">
        <v>116</v>
      </c>
      <c r="AH241" s="929">
        <v>0</v>
      </c>
      <c r="AI241" s="387">
        <f t="shared" si="74"/>
        <v>0</v>
      </c>
      <c r="AJ241" s="496">
        <f t="shared" si="86"/>
        <v>11524</v>
      </c>
      <c r="AK241" s="393">
        <f t="shared" si="87"/>
        <v>116</v>
      </c>
      <c r="AL241" s="393">
        <f t="shared" si="88"/>
        <v>0</v>
      </c>
      <c r="AM241" s="393">
        <f t="shared" si="89"/>
        <v>0</v>
      </c>
      <c r="AN241" s="393">
        <f t="shared" si="90"/>
        <v>0</v>
      </c>
      <c r="AO241" s="393">
        <f t="shared" si="91"/>
        <v>0</v>
      </c>
    </row>
    <row r="242" spans="1:41" s="410" customFormat="1" ht="21.6" customHeight="1">
      <c r="A242" s="405" t="s">
        <v>1258</v>
      </c>
      <c r="B242" s="406"/>
      <c r="C242" s="407"/>
      <c r="D242" s="408"/>
      <c r="E242" s="409">
        <f t="shared" ref="E242:AH242" si="94">SUM(E243:E259)</f>
        <v>344460</v>
      </c>
      <c r="F242" s="409">
        <f t="shared" si="94"/>
        <v>259433</v>
      </c>
      <c r="G242" s="409">
        <f t="shared" si="94"/>
        <v>85027</v>
      </c>
      <c r="H242" s="409">
        <f t="shared" si="94"/>
        <v>68990</v>
      </c>
      <c r="I242" s="409">
        <f t="shared" si="94"/>
        <v>5762</v>
      </c>
      <c r="J242" s="409">
        <f t="shared" si="94"/>
        <v>1915</v>
      </c>
      <c r="K242" s="409">
        <f t="shared" si="94"/>
        <v>7131</v>
      </c>
      <c r="L242" s="409">
        <f t="shared" si="94"/>
        <v>8911</v>
      </c>
      <c r="M242" s="409">
        <f t="shared" si="94"/>
        <v>11611</v>
      </c>
      <c r="N242" s="409">
        <f t="shared" si="94"/>
        <v>20561</v>
      </c>
      <c r="O242" s="409">
        <f t="shared" si="94"/>
        <v>13099</v>
      </c>
      <c r="P242" s="409">
        <f t="shared" si="94"/>
        <v>216435</v>
      </c>
      <c r="Q242" s="409">
        <f t="shared" si="94"/>
        <v>12698</v>
      </c>
      <c r="R242" s="409">
        <f t="shared" si="94"/>
        <v>6755</v>
      </c>
      <c r="S242" s="409">
        <f t="shared" si="94"/>
        <v>14605</v>
      </c>
      <c r="T242" s="409">
        <f t="shared" si="94"/>
        <v>6245</v>
      </c>
      <c r="U242" s="409">
        <f t="shared" si="94"/>
        <v>6955</v>
      </c>
      <c r="V242" s="409">
        <f t="shared" si="94"/>
        <v>11615</v>
      </c>
      <c r="W242" s="409">
        <f t="shared" si="94"/>
        <v>6395</v>
      </c>
      <c r="X242" s="409">
        <f t="shared" si="94"/>
        <v>37439</v>
      </c>
      <c r="Y242" s="409">
        <f t="shared" si="94"/>
        <v>11065</v>
      </c>
      <c r="Z242" s="409">
        <f t="shared" si="94"/>
        <v>4995</v>
      </c>
      <c r="AA242" s="409">
        <f t="shared" si="94"/>
        <v>21815</v>
      </c>
      <c r="AB242" s="409">
        <f t="shared" si="94"/>
        <v>5095</v>
      </c>
      <c r="AC242" s="409">
        <f t="shared" si="94"/>
        <v>6078</v>
      </c>
      <c r="AD242" s="409">
        <f t="shared" si="94"/>
        <v>4108</v>
      </c>
      <c r="AE242" s="409">
        <f t="shared" si="94"/>
        <v>60572</v>
      </c>
      <c r="AF242" s="409">
        <f t="shared" si="94"/>
        <v>59035</v>
      </c>
      <c r="AG242" s="409">
        <f t="shared" si="94"/>
        <v>40355</v>
      </c>
      <c r="AH242" s="409">
        <f t="shared" si="94"/>
        <v>18680</v>
      </c>
      <c r="AI242" s="387">
        <f t="shared" si="74"/>
        <v>0</v>
      </c>
      <c r="AJ242" s="496"/>
    </row>
    <row r="243" spans="1:41" s="393" customFormat="1" ht="14.25">
      <c r="A243" s="397" t="s">
        <v>1825</v>
      </c>
      <c r="B243" s="394" t="s">
        <v>1832</v>
      </c>
      <c r="C243" s="943" t="s">
        <v>1833</v>
      </c>
      <c r="D243" s="396">
        <v>4</v>
      </c>
      <c r="E243" s="385">
        <f t="shared" ref="E243:E253" si="95">SUM(F243:G243)</f>
        <v>6860</v>
      </c>
      <c r="F243" s="371"/>
      <c r="G243" s="371">
        <v>6860</v>
      </c>
      <c r="H243" s="926">
        <f>SUM(I243:O243)</f>
        <v>0</v>
      </c>
      <c r="I243" s="371"/>
      <c r="J243" s="371"/>
      <c r="K243" s="371"/>
      <c r="L243" s="371"/>
      <c r="M243" s="371"/>
      <c r="N243" s="371"/>
      <c r="O243" s="370"/>
      <c r="P243" s="928">
        <f>SUM(Q243:AE243)</f>
        <v>0</v>
      </c>
      <c r="Q243" s="371"/>
      <c r="R243" s="371"/>
      <c r="S243" s="371"/>
      <c r="T243" s="371"/>
      <c r="U243" s="371"/>
      <c r="V243" s="371"/>
      <c r="W243" s="371"/>
      <c r="X243" s="371"/>
      <c r="Y243" s="371"/>
      <c r="Z243" s="371"/>
      <c r="AA243" s="371"/>
      <c r="AB243" s="371"/>
      <c r="AC243" s="371"/>
      <c r="AD243" s="371"/>
      <c r="AE243" s="371"/>
      <c r="AF243" s="926">
        <f t="shared" ref="AF243:AF259" si="96">SUM(AG243:AH243)</f>
        <v>6860</v>
      </c>
      <c r="AG243" s="371">
        <v>6860</v>
      </c>
      <c r="AH243" s="371">
        <v>0</v>
      </c>
      <c r="AI243" s="387">
        <f t="shared" si="74"/>
        <v>0</v>
      </c>
      <c r="AJ243" s="496">
        <f t="shared" ref="AJ243:AJ259" si="97">+O243+AE243</f>
        <v>0</v>
      </c>
      <c r="AK243" s="393">
        <f t="shared" ref="AK243:AK259" si="98">SUM(AG243:AH243)+SUM(Q243:AD243)+SUM(I243:N243)</f>
        <v>6860</v>
      </c>
      <c r="AL243" s="393">
        <f t="shared" ref="AL243:AL259" si="99">SUM(I243:O243)-H243</f>
        <v>0</v>
      </c>
      <c r="AM243" s="393">
        <f t="shared" ref="AM243:AM259" si="100">SUM(Q243:AE243)-P243</f>
        <v>0</v>
      </c>
      <c r="AN243" s="393">
        <f t="shared" ref="AN243:AN259" si="101">SUM(AG243:AH243)-AF243</f>
        <v>0</v>
      </c>
      <c r="AO243" s="393">
        <f t="shared" ref="AO243:AO259" si="102">IF(+AJ243+AK243=E243,0,FALSE)</f>
        <v>0</v>
      </c>
    </row>
    <row r="244" spans="1:41" s="393" customFormat="1" ht="14.25">
      <c r="A244" s="397" t="s">
        <v>1825</v>
      </c>
      <c r="B244" s="394" t="s">
        <v>1832</v>
      </c>
      <c r="C244" s="944" t="s">
        <v>1834</v>
      </c>
      <c r="D244" s="396">
        <v>4</v>
      </c>
      <c r="E244" s="385">
        <f t="shared" si="95"/>
        <v>27642</v>
      </c>
      <c r="F244" s="371">
        <f>SUM(H244,P244,AF244)</f>
        <v>27642</v>
      </c>
      <c r="G244" s="371">
        <v>0</v>
      </c>
      <c r="H244" s="926">
        <f>SUM(I244:O244)</f>
        <v>9700</v>
      </c>
      <c r="I244" s="371">
        <v>1500</v>
      </c>
      <c r="J244" s="371">
        <v>0</v>
      </c>
      <c r="K244" s="371">
        <v>1500</v>
      </c>
      <c r="L244" s="371">
        <v>1500</v>
      </c>
      <c r="M244" s="371">
        <v>1500</v>
      </c>
      <c r="N244" s="371">
        <v>1500</v>
      </c>
      <c r="O244" s="370">
        <v>2200</v>
      </c>
      <c r="P244" s="928">
        <f>SUM(Q244:AE244)</f>
        <v>16487</v>
      </c>
      <c r="Q244" s="371">
        <v>500</v>
      </c>
      <c r="R244" s="371">
        <v>1500</v>
      </c>
      <c r="S244" s="371">
        <v>1500</v>
      </c>
      <c r="T244" s="371">
        <v>0</v>
      </c>
      <c r="U244" s="371">
        <v>1500</v>
      </c>
      <c r="V244" s="371">
        <v>500</v>
      </c>
      <c r="W244" s="371">
        <v>500</v>
      </c>
      <c r="X244" s="371">
        <v>2500</v>
      </c>
      <c r="Y244" s="371">
        <v>500</v>
      </c>
      <c r="Z244" s="371">
        <v>500</v>
      </c>
      <c r="AA244" s="371">
        <v>0</v>
      </c>
      <c r="AB244" s="371">
        <v>0</v>
      </c>
      <c r="AC244" s="371">
        <v>0</v>
      </c>
      <c r="AD244" s="371">
        <v>0</v>
      </c>
      <c r="AE244" s="371">
        <v>6987</v>
      </c>
      <c r="AF244" s="926">
        <f t="shared" si="96"/>
        <v>1455</v>
      </c>
      <c r="AG244" s="371">
        <v>1455</v>
      </c>
      <c r="AH244" s="371">
        <v>0</v>
      </c>
      <c r="AI244" s="387">
        <f t="shared" si="74"/>
        <v>0</v>
      </c>
      <c r="AJ244" s="496">
        <f t="shared" si="97"/>
        <v>9187</v>
      </c>
      <c r="AK244" s="393">
        <f t="shared" si="98"/>
        <v>18455</v>
      </c>
      <c r="AL244" s="393">
        <f t="shared" si="99"/>
        <v>0</v>
      </c>
      <c r="AM244" s="393">
        <f t="shared" si="100"/>
        <v>0</v>
      </c>
      <c r="AN244" s="393">
        <f t="shared" si="101"/>
        <v>0</v>
      </c>
      <c r="AO244" s="393">
        <f t="shared" si="102"/>
        <v>0</v>
      </c>
    </row>
    <row r="245" spans="1:41" s="393" customFormat="1" ht="14.25">
      <c r="A245" s="397" t="s">
        <v>1825</v>
      </c>
      <c r="B245" s="394" t="s">
        <v>1832</v>
      </c>
      <c r="C245" s="944" t="s">
        <v>1835</v>
      </c>
      <c r="D245" s="396">
        <v>4</v>
      </c>
      <c r="E245" s="385">
        <f t="shared" si="95"/>
        <v>11913</v>
      </c>
      <c r="F245" s="371">
        <v>11913</v>
      </c>
      <c r="G245" s="371">
        <v>0</v>
      </c>
      <c r="H245" s="926">
        <f>SUM(I245:O245)</f>
        <v>2328</v>
      </c>
      <c r="I245" s="371"/>
      <c r="J245" s="371">
        <v>0</v>
      </c>
      <c r="K245" s="371">
        <v>0</v>
      </c>
      <c r="L245" s="371">
        <v>600</v>
      </c>
      <c r="M245" s="371">
        <v>600</v>
      </c>
      <c r="N245" s="371">
        <v>600</v>
      </c>
      <c r="O245" s="370">
        <v>528</v>
      </c>
      <c r="P245" s="928">
        <f>SUM(Q245:AE245)</f>
        <v>9585</v>
      </c>
      <c r="Q245" s="371">
        <v>600</v>
      </c>
      <c r="R245" s="371">
        <v>600</v>
      </c>
      <c r="S245" s="371">
        <v>600</v>
      </c>
      <c r="T245" s="371">
        <v>600</v>
      </c>
      <c r="U245" s="371">
        <v>600</v>
      </c>
      <c r="V245" s="371">
        <v>600</v>
      </c>
      <c r="W245" s="371">
        <v>600</v>
      </c>
      <c r="X245" s="371">
        <v>600</v>
      </c>
      <c r="Y245" s="371">
        <v>600</v>
      </c>
      <c r="Z245" s="371">
        <v>600</v>
      </c>
      <c r="AA245" s="371">
        <v>600</v>
      </c>
      <c r="AB245" s="371">
        <v>600</v>
      </c>
      <c r="AC245" s="371">
        <v>600</v>
      </c>
      <c r="AD245" s="371">
        <v>600</v>
      </c>
      <c r="AE245" s="371">
        <v>1185</v>
      </c>
      <c r="AF245" s="926">
        <f t="shared" si="96"/>
        <v>0</v>
      </c>
      <c r="AG245" s="371">
        <v>0</v>
      </c>
      <c r="AH245" s="371">
        <v>0</v>
      </c>
      <c r="AI245" s="387">
        <f t="shared" si="74"/>
        <v>0</v>
      </c>
      <c r="AJ245" s="496">
        <f t="shared" si="97"/>
        <v>1713</v>
      </c>
      <c r="AK245" s="393">
        <f t="shared" si="98"/>
        <v>10200</v>
      </c>
      <c r="AL245" s="393">
        <f t="shared" si="99"/>
        <v>0</v>
      </c>
      <c r="AM245" s="393">
        <f t="shared" si="100"/>
        <v>0</v>
      </c>
      <c r="AN245" s="393">
        <f t="shared" si="101"/>
        <v>0</v>
      </c>
      <c r="AO245" s="393">
        <f t="shared" si="102"/>
        <v>0</v>
      </c>
    </row>
    <row r="246" spans="1:41" s="393" customFormat="1" ht="14.25">
      <c r="A246" s="397" t="s">
        <v>1825</v>
      </c>
      <c r="B246" s="394" t="s">
        <v>1832</v>
      </c>
      <c r="C246" s="943" t="s">
        <v>1836</v>
      </c>
      <c r="D246" s="396">
        <v>4</v>
      </c>
      <c r="E246" s="385">
        <f t="shared" si="95"/>
        <v>9950</v>
      </c>
      <c r="F246" s="371">
        <v>5387</v>
      </c>
      <c r="G246" s="371">
        <v>4563</v>
      </c>
      <c r="H246" s="926">
        <f>SUM(I246:O246)</f>
        <v>1900</v>
      </c>
      <c r="I246" s="371">
        <v>200</v>
      </c>
      <c r="J246" s="371"/>
      <c r="K246" s="371">
        <v>200</v>
      </c>
      <c r="L246" s="371">
        <v>200</v>
      </c>
      <c r="M246" s="371">
        <v>200</v>
      </c>
      <c r="N246" s="371">
        <v>400</v>
      </c>
      <c r="O246" s="370">
        <v>700</v>
      </c>
      <c r="P246" s="928">
        <f>SUM(Q246:AE246)</f>
        <v>8050</v>
      </c>
      <c r="Q246" s="371">
        <v>4763</v>
      </c>
      <c r="R246" s="371">
        <v>200</v>
      </c>
      <c r="S246" s="371">
        <v>200</v>
      </c>
      <c r="T246" s="371">
        <v>200</v>
      </c>
      <c r="U246" s="371">
        <v>200</v>
      </c>
      <c r="V246" s="371">
        <v>200</v>
      </c>
      <c r="W246" s="371">
        <v>200</v>
      </c>
      <c r="X246" s="371">
        <v>300</v>
      </c>
      <c r="Y246" s="371">
        <v>200</v>
      </c>
      <c r="Z246" s="371">
        <v>200</v>
      </c>
      <c r="AA246" s="371"/>
      <c r="AB246" s="371">
        <v>200</v>
      </c>
      <c r="AC246" s="371">
        <v>200</v>
      </c>
      <c r="AD246" s="371">
        <v>200</v>
      </c>
      <c r="AE246" s="371">
        <v>787</v>
      </c>
      <c r="AF246" s="926">
        <f t="shared" si="96"/>
        <v>0</v>
      </c>
      <c r="AG246" s="371"/>
      <c r="AH246" s="371"/>
      <c r="AI246" s="387">
        <f t="shared" si="74"/>
        <v>0</v>
      </c>
      <c r="AJ246" s="496">
        <f t="shared" si="97"/>
        <v>1487</v>
      </c>
      <c r="AK246" s="393">
        <f t="shared" si="98"/>
        <v>8463</v>
      </c>
      <c r="AL246" s="393">
        <f t="shared" si="99"/>
        <v>0</v>
      </c>
      <c r="AM246" s="393">
        <f t="shared" si="100"/>
        <v>0</v>
      </c>
      <c r="AN246" s="393">
        <f t="shared" si="101"/>
        <v>0</v>
      </c>
      <c r="AO246" s="393">
        <f t="shared" si="102"/>
        <v>0</v>
      </c>
    </row>
    <row r="247" spans="1:41" s="393" customFormat="1" ht="14.25">
      <c r="A247" s="397" t="s">
        <v>1825</v>
      </c>
      <c r="B247" s="394" t="s">
        <v>1832</v>
      </c>
      <c r="C247" s="944" t="s">
        <v>1837</v>
      </c>
      <c r="D247" s="396">
        <v>4</v>
      </c>
      <c r="E247" s="385">
        <f t="shared" si="95"/>
        <v>1711</v>
      </c>
      <c r="F247" s="371">
        <v>0</v>
      </c>
      <c r="G247" s="371">
        <v>1711</v>
      </c>
      <c r="H247" s="926">
        <f t="shared" ref="H247:H259" si="103">SUM(I247:O247)</f>
        <v>485</v>
      </c>
      <c r="I247" s="371">
        <v>97</v>
      </c>
      <c r="J247" s="371">
        <v>0</v>
      </c>
      <c r="K247" s="371">
        <v>97</v>
      </c>
      <c r="L247" s="371">
        <v>97</v>
      </c>
      <c r="M247" s="371">
        <v>97</v>
      </c>
      <c r="N247" s="371">
        <v>97</v>
      </c>
      <c r="O247" s="370">
        <v>0</v>
      </c>
      <c r="P247" s="928">
        <f t="shared" ref="P247:P259" si="104">SUM(Q247:AE247)</f>
        <v>1226</v>
      </c>
      <c r="Q247" s="371">
        <v>81</v>
      </c>
      <c r="R247" s="371">
        <v>95</v>
      </c>
      <c r="S247" s="371">
        <v>95</v>
      </c>
      <c r="T247" s="371">
        <v>85</v>
      </c>
      <c r="U247" s="371">
        <v>95</v>
      </c>
      <c r="V247" s="371">
        <v>85</v>
      </c>
      <c r="W247" s="371">
        <v>85</v>
      </c>
      <c r="X247" s="371">
        <v>95</v>
      </c>
      <c r="Y247" s="371">
        <v>85</v>
      </c>
      <c r="Z247" s="371">
        <v>85</v>
      </c>
      <c r="AA247" s="371">
        <v>85</v>
      </c>
      <c r="AB247" s="371">
        <v>85</v>
      </c>
      <c r="AC247" s="371">
        <v>85</v>
      </c>
      <c r="AD247" s="371">
        <v>85</v>
      </c>
      <c r="AE247" s="371">
        <v>0</v>
      </c>
      <c r="AF247" s="926">
        <f t="shared" si="96"/>
        <v>0</v>
      </c>
      <c r="AG247" s="371">
        <v>0</v>
      </c>
      <c r="AH247" s="371">
        <v>0</v>
      </c>
      <c r="AI247" s="387">
        <f t="shared" si="74"/>
        <v>0</v>
      </c>
      <c r="AJ247" s="496">
        <f t="shared" si="97"/>
        <v>0</v>
      </c>
      <c r="AK247" s="393">
        <f t="shared" si="98"/>
        <v>1711</v>
      </c>
      <c r="AL247" s="393">
        <f t="shared" si="99"/>
        <v>0</v>
      </c>
      <c r="AM247" s="393">
        <f t="shared" si="100"/>
        <v>0</v>
      </c>
      <c r="AN247" s="393">
        <f t="shared" si="101"/>
        <v>0</v>
      </c>
      <c r="AO247" s="393">
        <f t="shared" si="102"/>
        <v>0</v>
      </c>
    </row>
    <row r="248" spans="1:41" s="393" customFormat="1" ht="15.75">
      <c r="A248" s="397" t="s">
        <v>1825</v>
      </c>
      <c r="B248" s="394" t="s">
        <v>1832</v>
      </c>
      <c r="C248" s="945" t="s">
        <v>1838</v>
      </c>
      <c r="D248" s="396">
        <v>4</v>
      </c>
      <c r="E248" s="385">
        <f t="shared" si="95"/>
        <v>18690</v>
      </c>
      <c r="F248" s="371">
        <f>SUM(H248,P248,AF248)</f>
        <v>18690</v>
      </c>
      <c r="G248" s="371">
        <v>0</v>
      </c>
      <c r="H248" s="926">
        <f t="shared" si="103"/>
        <v>4060</v>
      </c>
      <c r="I248" s="371">
        <v>500</v>
      </c>
      <c r="J248" s="371">
        <v>0</v>
      </c>
      <c r="K248" s="371">
        <v>500</v>
      </c>
      <c r="L248" s="371">
        <v>500</v>
      </c>
      <c r="M248" s="371">
        <v>500</v>
      </c>
      <c r="N248" s="371">
        <v>500</v>
      </c>
      <c r="O248" s="370">
        <v>1560</v>
      </c>
      <c r="P248" s="928">
        <f t="shared" si="104"/>
        <v>13175</v>
      </c>
      <c r="Q248" s="371">
        <v>500</v>
      </c>
      <c r="R248" s="371">
        <v>500</v>
      </c>
      <c r="S248" s="371">
        <v>500</v>
      </c>
      <c r="T248" s="371">
        <v>500</v>
      </c>
      <c r="U248" s="371">
        <v>500</v>
      </c>
      <c r="V248" s="371">
        <v>500</v>
      </c>
      <c r="W248" s="371">
        <v>500</v>
      </c>
      <c r="X248" s="371">
        <v>500</v>
      </c>
      <c r="Y248" s="371">
        <v>500</v>
      </c>
      <c r="Z248" s="371">
        <v>500</v>
      </c>
      <c r="AA248" s="371">
        <v>500</v>
      </c>
      <c r="AB248" s="371">
        <v>500</v>
      </c>
      <c r="AC248" s="371">
        <v>500</v>
      </c>
      <c r="AD248" s="371">
        <v>500</v>
      </c>
      <c r="AE248" s="371">
        <v>6175</v>
      </c>
      <c r="AF248" s="926">
        <f t="shared" si="96"/>
        <v>1455</v>
      </c>
      <c r="AG248" s="371">
        <v>970</v>
      </c>
      <c r="AH248" s="371">
        <v>485</v>
      </c>
      <c r="AI248" s="387">
        <f t="shared" si="74"/>
        <v>0</v>
      </c>
      <c r="AJ248" s="496">
        <f t="shared" si="97"/>
        <v>7735</v>
      </c>
      <c r="AK248" s="393">
        <f t="shared" si="98"/>
        <v>10955</v>
      </c>
      <c r="AL248" s="393">
        <f t="shared" si="99"/>
        <v>0</v>
      </c>
      <c r="AM248" s="393">
        <f t="shared" si="100"/>
        <v>0</v>
      </c>
      <c r="AN248" s="393">
        <f t="shared" si="101"/>
        <v>0</v>
      </c>
      <c r="AO248" s="393">
        <f t="shared" si="102"/>
        <v>0</v>
      </c>
    </row>
    <row r="249" spans="1:41" s="393" customFormat="1" ht="15.75">
      <c r="A249" s="397" t="s">
        <v>1825</v>
      </c>
      <c r="B249" s="394" t="s">
        <v>1832</v>
      </c>
      <c r="C249" s="945" t="s">
        <v>1839</v>
      </c>
      <c r="D249" s="396">
        <v>4</v>
      </c>
      <c r="E249" s="385">
        <f t="shared" si="95"/>
        <v>18765</v>
      </c>
      <c r="F249" s="371">
        <f>SUM(H249,P249,AF249)</f>
        <v>18765</v>
      </c>
      <c r="G249" s="371"/>
      <c r="H249" s="926">
        <f t="shared" si="103"/>
        <v>3705</v>
      </c>
      <c r="I249" s="371">
        <v>500</v>
      </c>
      <c r="J249" s="371">
        <v>0</v>
      </c>
      <c r="K249" s="371">
        <v>500</v>
      </c>
      <c r="L249" s="371">
        <v>500</v>
      </c>
      <c r="M249" s="371">
        <v>500</v>
      </c>
      <c r="N249" s="371">
        <v>500</v>
      </c>
      <c r="O249" s="370">
        <v>1205</v>
      </c>
      <c r="P249" s="928">
        <f t="shared" si="104"/>
        <v>13120</v>
      </c>
      <c r="Q249" s="371">
        <v>500</v>
      </c>
      <c r="R249" s="371">
        <v>500</v>
      </c>
      <c r="S249" s="371">
        <v>500</v>
      </c>
      <c r="T249" s="371">
        <v>500</v>
      </c>
      <c r="U249" s="371">
        <v>500</v>
      </c>
      <c r="V249" s="371">
        <v>500</v>
      </c>
      <c r="W249" s="371">
        <v>500</v>
      </c>
      <c r="X249" s="371">
        <v>500</v>
      </c>
      <c r="Y249" s="371">
        <v>500</v>
      </c>
      <c r="Z249" s="371">
        <v>500</v>
      </c>
      <c r="AA249" s="371">
        <v>500</v>
      </c>
      <c r="AB249" s="371">
        <v>500</v>
      </c>
      <c r="AC249" s="371">
        <v>500</v>
      </c>
      <c r="AD249" s="371">
        <v>500</v>
      </c>
      <c r="AE249" s="371">
        <v>6120</v>
      </c>
      <c r="AF249" s="926">
        <f t="shared" si="96"/>
        <v>1940</v>
      </c>
      <c r="AG249" s="371">
        <v>1455</v>
      </c>
      <c r="AH249" s="371">
        <v>485</v>
      </c>
      <c r="AI249" s="387">
        <f t="shared" si="74"/>
        <v>0</v>
      </c>
      <c r="AJ249" s="496">
        <f t="shared" si="97"/>
        <v>7325</v>
      </c>
      <c r="AK249" s="393">
        <f t="shared" si="98"/>
        <v>11440</v>
      </c>
      <c r="AL249" s="393">
        <f t="shared" si="99"/>
        <v>0</v>
      </c>
      <c r="AM249" s="393">
        <f t="shared" si="100"/>
        <v>0</v>
      </c>
      <c r="AN249" s="393">
        <f t="shared" si="101"/>
        <v>0</v>
      </c>
      <c r="AO249" s="393">
        <f t="shared" si="102"/>
        <v>0</v>
      </c>
    </row>
    <row r="250" spans="1:41" s="393" customFormat="1" ht="15.75">
      <c r="A250" s="397" t="s">
        <v>1825</v>
      </c>
      <c r="B250" s="394" t="s">
        <v>1832</v>
      </c>
      <c r="C250" s="945" t="s">
        <v>1840</v>
      </c>
      <c r="D250" s="396">
        <v>4</v>
      </c>
      <c r="E250" s="385">
        <f t="shared" si="95"/>
        <v>18721</v>
      </c>
      <c r="F250" s="371">
        <v>18721</v>
      </c>
      <c r="G250" s="371">
        <v>0</v>
      </c>
      <c r="H250" s="926">
        <f t="shared" si="103"/>
        <v>3880</v>
      </c>
      <c r="I250" s="371">
        <v>0</v>
      </c>
      <c r="J250" s="371">
        <v>0</v>
      </c>
      <c r="K250" s="371">
        <v>970</v>
      </c>
      <c r="L250" s="371">
        <v>970</v>
      </c>
      <c r="M250" s="371">
        <v>970</v>
      </c>
      <c r="N250" s="371">
        <v>970</v>
      </c>
      <c r="O250" s="370"/>
      <c r="P250" s="928">
        <f t="shared" si="104"/>
        <v>13386</v>
      </c>
      <c r="Q250" s="371">
        <v>970</v>
      </c>
      <c r="R250" s="371">
        <v>970</v>
      </c>
      <c r="S250" s="371">
        <v>970</v>
      </c>
      <c r="T250" s="371">
        <v>970</v>
      </c>
      <c r="U250" s="371">
        <v>970</v>
      </c>
      <c r="V250" s="371">
        <v>970</v>
      </c>
      <c r="W250" s="371">
        <v>970</v>
      </c>
      <c r="X250" s="371">
        <v>970</v>
      </c>
      <c r="Y250" s="371">
        <v>970</v>
      </c>
      <c r="Z250" s="371">
        <v>970</v>
      </c>
      <c r="AA250" s="371">
        <v>970</v>
      </c>
      <c r="AB250" s="371">
        <v>970</v>
      </c>
      <c r="AC250" s="371">
        <v>873</v>
      </c>
      <c r="AD250" s="371">
        <v>873</v>
      </c>
      <c r="AE250" s="371">
        <v>0</v>
      </c>
      <c r="AF250" s="926">
        <f t="shared" si="96"/>
        <v>1455</v>
      </c>
      <c r="AG250" s="371">
        <v>955</v>
      </c>
      <c r="AH250" s="371">
        <v>500</v>
      </c>
      <c r="AI250" s="387">
        <f t="shared" si="74"/>
        <v>0</v>
      </c>
      <c r="AJ250" s="496">
        <f t="shared" si="97"/>
        <v>0</v>
      </c>
      <c r="AK250" s="393">
        <f t="shared" si="98"/>
        <v>18721</v>
      </c>
      <c r="AL250" s="393">
        <f t="shared" si="99"/>
        <v>0</v>
      </c>
      <c r="AM250" s="393">
        <f t="shared" si="100"/>
        <v>0</v>
      </c>
      <c r="AN250" s="393">
        <f t="shared" si="101"/>
        <v>0</v>
      </c>
      <c r="AO250" s="393">
        <f t="shared" si="102"/>
        <v>0</v>
      </c>
    </row>
    <row r="251" spans="1:41" s="393" customFormat="1" ht="15.75">
      <c r="A251" s="397" t="s">
        <v>1825</v>
      </c>
      <c r="B251" s="394" t="s">
        <v>1832</v>
      </c>
      <c r="C251" s="945" t="s">
        <v>1841</v>
      </c>
      <c r="D251" s="396">
        <v>4</v>
      </c>
      <c r="E251" s="385">
        <f t="shared" si="95"/>
        <v>5296</v>
      </c>
      <c r="F251" s="371">
        <v>5296</v>
      </c>
      <c r="G251" s="371">
        <v>0</v>
      </c>
      <c r="H251" s="926">
        <f t="shared" si="103"/>
        <v>3986</v>
      </c>
      <c r="I251" s="371">
        <v>665</v>
      </c>
      <c r="J251" s="371">
        <v>665</v>
      </c>
      <c r="K251" s="371">
        <v>664</v>
      </c>
      <c r="L251" s="371">
        <v>664</v>
      </c>
      <c r="M251" s="371">
        <v>664</v>
      </c>
      <c r="N251" s="371">
        <v>664</v>
      </c>
      <c r="O251" s="370">
        <v>0</v>
      </c>
      <c r="P251" s="928">
        <f t="shared" si="104"/>
        <v>1310</v>
      </c>
      <c r="Q251" s="371">
        <v>90</v>
      </c>
      <c r="R251" s="371">
        <v>90</v>
      </c>
      <c r="S251" s="371">
        <v>90</v>
      </c>
      <c r="T251" s="371">
        <v>90</v>
      </c>
      <c r="U251" s="371">
        <v>90</v>
      </c>
      <c r="V251" s="371">
        <v>90</v>
      </c>
      <c r="W251" s="371">
        <v>90</v>
      </c>
      <c r="X251" s="371">
        <v>90</v>
      </c>
      <c r="Y251" s="371">
        <v>90</v>
      </c>
      <c r="Z251" s="371">
        <v>90</v>
      </c>
      <c r="AA251" s="371">
        <v>90</v>
      </c>
      <c r="AB251" s="371">
        <v>90</v>
      </c>
      <c r="AC251" s="371">
        <v>90</v>
      </c>
      <c r="AD251" s="371">
        <v>90</v>
      </c>
      <c r="AE251" s="371">
        <v>50</v>
      </c>
      <c r="AF251" s="926">
        <f t="shared" si="96"/>
        <v>0</v>
      </c>
      <c r="AG251" s="371">
        <v>0</v>
      </c>
      <c r="AH251" s="371">
        <v>0</v>
      </c>
      <c r="AI251" s="387">
        <f t="shared" si="74"/>
        <v>0</v>
      </c>
      <c r="AJ251" s="496">
        <f t="shared" si="97"/>
        <v>50</v>
      </c>
      <c r="AK251" s="393">
        <f t="shared" si="98"/>
        <v>5246</v>
      </c>
      <c r="AL251" s="393">
        <f t="shared" si="99"/>
        <v>0</v>
      </c>
      <c r="AM251" s="393">
        <f t="shared" si="100"/>
        <v>0</v>
      </c>
      <c r="AN251" s="393">
        <f t="shared" si="101"/>
        <v>0</v>
      </c>
      <c r="AO251" s="393">
        <f t="shared" si="102"/>
        <v>0</v>
      </c>
    </row>
    <row r="252" spans="1:41" s="393" customFormat="1" ht="14.25">
      <c r="A252" s="397" t="s">
        <v>1825</v>
      </c>
      <c r="B252" s="394" t="s">
        <v>1832</v>
      </c>
      <c r="C252" s="945" t="s">
        <v>1842</v>
      </c>
      <c r="D252" s="396">
        <v>4</v>
      </c>
      <c r="E252" s="385">
        <f t="shared" si="95"/>
        <v>31370</v>
      </c>
      <c r="F252" s="371">
        <v>0</v>
      </c>
      <c r="G252" s="371">
        <f>SUM(H252,P252,AF252)</f>
        <v>31370</v>
      </c>
      <c r="H252" s="926">
        <f t="shared" si="103"/>
        <v>0</v>
      </c>
      <c r="I252" s="371">
        <v>0</v>
      </c>
      <c r="J252" s="371">
        <v>0</v>
      </c>
      <c r="K252" s="371">
        <v>0</v>
      </c>
      <c r="L252" s="371">
        <v>0</v>
      </c>
      <c r="M252" s="371">
        <v>0</v>
      </c>
      <c r="N252" s="371">
        <v>0</v>
      </c>
      <c r="O252" s="370">
        <v>0</v>
      </c>
      <c r="P252" s="928">
        <f t="shared" si="104"/>
        <v>11000</v>
      </c>
      <c r="Q252" s="371">
        <v>0</v>
      </c>
      <c r="R252" s="371">
        <v>0</v>
      </c>
      <c r="S252" s="371">
        <v>0</v>
      </c>
      <c r="T252" s="371">
        <v>0</v>
      </c>
      <c r="U252" s="371">
        <v>0</v>
      </c>
      <c r="V252" s="371">
        <v>0</v>
      </c>
      <c r="W252" s="371">
        <v>0</v>
      </c>
      <c r="X252" s="371">
        <v>0</v>
      </c>
      <c r="Y252" s="371">
        <v>0</v>
      </c>
      <c r="Z252" s="371">
        <v>0</v>
      </c>
      <c r="AA252" s="371">
        <v>11000</v>
      </c>
      <c r="AB252" s="371">
        <v>0</v>
      </c>
      <c r="AC252" s="371">
        <v>0</v>
      </c>
      <c r="AD252" s="371">
        <v>0</v>
      </c>
      <c r="AE252" s="371">
        <v>0</v>
      </c>
      <c r="AF252" s="926">
        <f t="shared" si="96"/>
        <v>20370</v>
      </c>
      <c r="AG252" s="371">
        <v>9860</v>
      </c>
      <c r="AH252" s="371">
        <v>10510</v>
      </c>
      <c r="AI252" s="387">
        <f t="shared" si="74"/>
        <v>0</v>
      </c>
      <c r="AJ252" s="496">
        <f t="shared" si="97"/>
        <v>0</v>
      </c>
      <c r="AK252" s="393">
        <f t="shared" si="98"/>
        <v>31370</v>
      </c>
      <c r="AL252" s="393">
        <f t="shared" si="99"/>
        <v>0</v>
      </c>
      <c r="AM252" s="393">
        <f t="shared" si="100"/>
        <v>0</v>
      </c>
      <c r="AN252" s="393">
        <f t="shared" si="101"/>
        <v>0</v>
      </c>
      <c r="AO252" s="393">
        <f t="shared" si="102"/>
        <v>0</v>
      </c>
    </row>
    <row r="253" spans="1:41" s="393" customFormat="1" ht="14.25">
      <c r="A253" s="397" t="s">
        <v>1825</v>
      </c>
      <c r="B253" s="394" t="s">
        <v>1832</v>
      </c>
      <c r="C253" s="943" t="s">
        <v>1843</v>
      </c>
      <c r="D253" s="396">
        <v>4</v>
      </c>
      <c r="E253" s="385">
        <f t="shared" si="95"/>
        <v>31674</v>
      </c>
      <c r="F253" s="371">
        <v>17415</v>
      </c>
      <c r="G253" s="371">
        <v>14259</v>
      </c>
      <c r="H253" s="926">
        <f t="shared" si="103"/>
        <v>0</v>
      </c>
      <c r="I253" s="371"/>
      <c r="J253" s="371"/>
      <c r="K253" s="371"/>
      <c r="L253" s="371"/>
      <c r="M253" s="371"/>
      <c r="N253" s="371"/>
      <c r="O253" s="370"/>
      <c r="P253" s="928">
        <f t="shared" si="104"/>
        <v>31674</v>
      </c>
      <c r="Q253" s="371"/>
      <c r="R253" s="371"/>
      <c r="S253" s="371"/>
      <c r="T253" s="371"/>
      <c r="U253" s="371"/>
      <c r="V253" s="371"/>
      <c r="W253" s="371"/>
      <c r="X253" s="371">
        <v>26674</v>
      </c>
      <c r="Y253" s="371"/>
      <c r="Z253" s="371"/>
      <c r="AA253" s="371"/>
      <c r="AB253" s="371"/>
      <c r="AC253" s="371"/>
      <c r="AD253" s="371"/>
      <c r="AE253" s="371">
        <v>5000</v>
      </c>
      <c r="AF253" s="926">
        <f t="shared" si="96"/>
        <v>0</v>
      </c>
      <c r="AG253" s="371"/>
      <c r="AH253" s="371"/>
      <c r="AI253" s="387">
        <f t="shared" ref="AI253:AI259" si="105">IF(AND(+F253+G253=E253,AF253+P253+H253=E253,SUM(I253:O253,Q253:AE253,AG253:AH253)=E253),0,FALSE)</f>
        <v>0</v>
      </c>
      <c r="AJ253" s="496">
        <f t="shared" si="97"/>
        <v>5000</v>
      </c>
      <c r="AK253" s="393">
        <f t="shared" si="98"/>
        <v>26674</v>
      </c>
      <c r="AL253" s="393">
        <f t="shared" si="99"/>
        <v>0</v>
      </c>
      <c r="AM253" s="393">
        <f t="shared" si="100"/>
        <v>0</v>
      </c>
      <c r="AN253" s="393">
        <f t="shared" si="101"/>
        <v>0</v>
      </c>
      <c r="AO253" s="393">
        <f t="shared" si="102"/>
        <v>0</v>
      </c>
    </row>
    <row r="254" spans="1:41" s="393" customFormat="1" ht="14.25">
      <c r="A254" s="397" t="s">
        <v>1825</v>
      </c>
      <c r="B254" s="394" t="s">
        <v>1832</v>
      </c>
      <c r="C254" s="943" t="s">
        <v>1844</v>
      </c>
      <c r="D254" s="396">
        <v>4</v>
      </c>
      <c r="E254" s="385">
        <f>SUM(F254:G254)</f>
        <v>21491</v>
      </c>
      <c r="F254" s="371">
        <v>21091</v>
      </c>
      <c r="G254" s="371">
        <v>400</v>
      </c>
      <c r="H254" s="926">
        <f t="shared" si="103"/>
        <v>6420</v>
      </c>
      <c r="I254" s="104">
        <v>0</v>
      </c>
      <c r="J254" s="104">
        <v>1250</v>
      </c>
      <c r="K254" s="371">
        <v>900</v>
      </c>
      <c r="L254" s="371">
        <v>1100</v>
      </c>
      <c r="M254" s="371">
        <v>1330</v>
      </c>
      <c r="N254" s="371">
        <v>1840</v>
      </c>
      <c r="O254" s="370"/>
      <c r="P254" s="928">
        <f t="shared" si="104"/>
        <v>13471</v>
      </c>
      <c r="Q254" s="371">
        <v>1450</v>
      </c>
      <c r="R254" s="371">
        <v>1000</v>
      </c>
      <c r="S254" s="371">
        <v>1000</v>
      </c>
      <c r="T254" s="371">
        <v>950</v>
      </c>
      <c r="U254" s="371">
        <v>1080</v>
      </c>
      <c r="V254" s="371">
        <v>900</v>
      </c>
      <c r="W254" s="371">
        <v>800</v>
      </c>
      <c r="X254" s="371">
        <v>850</v>
      </c>
      <c r="Y254" s="371">
        <v>1200</v>
      </c>
      <c r="Z254" s="371">
        <v>750</v>
      </c>
      <c r="AA254" s="371">
        <v>570</v>
      </c>
      <c r="AB254" s="371">
        <v>750</v>
      </c>
      <c r="AC254" s="371">
        <v>930</v>
      </c>
      <c r="AD254" s="371">
        <v>700</v>
      </c>
      <c r="AE254" s="371">
        <v>541</v>
      </c>
      <c r="AF254" s="926">
        <f t="shared" si="96"/>
        <v>1600</v>
      </c>
      <c r="AG254" s="371">
        <v>900</v>
      </c>
      <c r="AH254" s="371">
        <v>700</v>
      </c>
      <c r="AI254" s="387">
        <f t="shared" si="105"/>
        <v>0</v>
      </c>
      <c r="AJ254" s="496">
        <f t="shared" si="97"/>
        <v>541</v>
      </c>
      <c r="AK254" s="393">
        <f t="shared" si="98"/>
        <v>20950</v>
      </c>
      <c r="AL254" s="393">
        <f t="shared" si="99"/>
        <v>0</v>
      </c>
      <c r="AM254" s="393">
        <f t="shared" si="100"/>
        <v>0</v>
      </c>
      <c r="AN254" s="393">
        <f t="shared" si="101"/>
        <v>0</v>
      </c>
      <c r="AO254" s="393">
        <f t="shared" si="102"/>
        <v>0</v>
      </c>
    </row>
    <row r="255" spans="1:41" s="393" customFormat="1" ht="14.25">
      <c r="A255" s="397" t="s">
        <v>1825</v>
      </c>
      <c r="B255" s="394" t="s">
        <v>1832</v>
      </c>
      <c r="C255" s="946" t="s">
        <v>1845</v>
      </c>
      <c r="D255" s="396">
        <v>4</v>
      </c>
      <c r="E255" s="385">
        <f>SUM(F255:G255)</f>
        <v>17400</v>
      </c>
      <c r="F255" s="371">
        <v>17400</v>
      </c>
      <c r="G255" s="371">
        <v>0</v>
      </c>
      <c r="H255" s="926">
        <f t="shared" si="103"/>
        <v>3700</v>
      </c>
      <c r="I255" s="104">
        <v>800</v>
      </c>
      <c r="J255" s="104">
        <v>0</v>
      </c>
      <c r="K255" s="371">
        <v>300</v>
      </c>
      <c r="L255" s="371">
        <v>800</v>
      </c>
      <c r="M255" s="371">
        <v>800</v>
      </c>
      <c r="N255" s="371">
        <v>1000</v>
      </c>
      <c r="O255" s="370">
        <f>500-500</f>
        <v>0</v>
      </c>
      <c r="P255" s="928">
        <f t="shared" si="104"/>
        <v>10500</v>
      </c>
      <c r="Q255" s="371">
        <v>700</v>
      </c>
      <c r="R255" s="371">
        <v>800</v>
      </c>
      <c r="S255" s="371">
        <v>700</v>
      </c>
      <c r="T255" s="371">
        <v>1000</v>
      </c>
      <c r="U255" s="371">
        <v>600</v>
      </c>
      <c r="V255" s="371">
        <v>700</v>
      </c>
      <c r="W255" s="371">
        <v>1300</v>
      </c>
      <c r="X255" s="371">
        <v>1000</v>
      </c>
      <c r="Y255" s="371">
        <v>600</v>
      </c>
      <c r="Z255" s="371">
        <v>800</v>
      </c>
      <c r="AA255" s="371">
        <v>700</v>
      </c>
      <c r="AB255" s="371">
        <v>600</v>
      </c>
      <c r="AC255" s="371">
        <v>500</v>
      </c>
      <c r="AD255" s="371">
        <v>500</v>
      </c>
      <c r="AE255" s="371">
        <v>0</v>
      </c>
      <c r="AF255" s="926">
        <f t="shared" si="96"/>
        <v>3200</v>
      </c>
      <c r="AG255" s="371">
        <v>2200</v>
      </c>
      <c r="AH255" s="371">
        <v>1000</v>
      </c>
      <c r="AI255" s="387">
        <f t="shared" si="105"/>
        <v>0</v>
      </c>
      <c r="AJ255" s="496">
        <f t="shared" si="97"/>
        <v>0</v>
      </c>
      <c r="AK255" s="393">
        <f t="shared" si="98"/>
        <v>17400</v>
      </c>
      <c r="AL255" s="393">
        <f t="shared" si="99"/>
        <v>0</v>
      </c>
      <c r="AM255" s="393">
        <f t="shared" si="100"/>
        <v>0</v>
      </c>
      <c r="AN255" s="393">
        <f t="shared" si="101"/>
        <v>0</v>
      </c>
      <c r="AO255" s="393">
        <f t="shared" si="102"/>
        <v>0</v>
      </c>
    </row>
    <row r="256" spans="1:41" s="393" customFormat="1" ht="14.25">
      <c r="A256" s="397" t="s">
        <v>1825</v>
      </c>
      <c r="B256" s="394" t="s">
        <v>1832</v>
      </c>
      <c r="C256" s="946" t="s">
        <v>1846</v>
      </c>
      <c r="D256" s="396">
        <v>4</v>
      </c>
      <c r="E256" s="385">
        <f>SUM(F256:G256)</f>
        <v>13450</v>
      </c>
      <c r="F256" s="371">
        <v>13250</v>
      </c>
      <c r="G256" s="371">
        <v>200</v>
      </c>
      <c r="H256" s="926">
        <f t="shared" si="103"/>
        <v>3000</v>
      </c>
      <c r="I256" s="371">
        <v>0</v>
      </c>
      <c r="J256" s="371">
        <v>0</v>
      </c>
      <c r="K256" s="371">
        <v>1500</v>
      </c>
      <c r="L256" s="371">
        <v>0</v>
      </c>
      <c r="M256" s="371">
        <v>0</v>
      </c>
      <c r="N256" s="371">
        <v>1500</v>
      </c>
      <c r="O256" s="370"/>
      <c r="P256" s="928">
        <f t="shared" si="104"/>
        <v>8550</v>
      </c>
      <c r="Q256" s="371">
        <v>0</v>
      </c>
      <c r="R256" s="371">
        <v>500</v>
      </c>
      <c r="S256" s="371">
        <v>550</v>
      </c>
      <c r="T256" s="371">
        <v>0</v>
      </c>
      <c r="U256" s="371">
        <v>500</v>
      </c>
      <c r="V256" s="371">
        <v>1200</v>
      </c>
      <c r="W256" s="371">
        <v>0</v>
      </c>
      <c r="X256" s="371">
        <v>2000</v>
      </c>
      <c r="Y256" s="371">
        <v>700</v>
      </c>
      <c r="Z256" s="371">
        <v>0</v>
      </c>
      <c r="AA256" s="371">
        <v>2300</v>
      </c>
      <c r="AB256" s="371">
        <v>800</v>
      </c>
      <c r="AC256" s="371">
        <v>0</v>
      </c>
      <c r="AD256" s="371">
        <v>0</v>
      </c>
      <c r="AE256" s="371">
        <v>0</v>
      </c>
      <c r="AF256" s="926">
        <f t="shared" si="96"/>
        <v>1900</v>
      </c>
      <c r="AG256" s="371">
        <v>0</v>
      </c>
      <c r="AH256" s="371">
        <v>1900</v>
      </c>
      <c r="AI256" s="387">
        <f t="shared" si="105"/>
        <v>0</v>
      </c>
      <c r="AJ256" s="496">
        <f t="shared" si="97"/>
        <v>0</v>
      </c>
      <c r="AK256" s="393">
        <f t="shared" si="98"/>
        <v>13450</v>
      </c>
      <c r="AL256" s="393">
        <f t="shared" si="99"/>
        <v>0</v>
      </c>
      <c r="AM256" s="393">
        <f t="shared" si="100"/>
        <v>0</v>
      </c>
      <c r="AN256" s="393">
        <f t="shared" si="101"/>
        <v>0</v>
      </c>
      <c r="AO256" s="393">
        <f t="shared" si="102"/>
        <v>0</v>
      </c>
    </row>
    <row r="257" spans="1:41" s="393" customFormat="1" ht="14.25">
      <c r="A257" s="397" t="s">
        <v>1825</v>
      </c>
      <c r="B257" s="394" t="s">
        <v>1832</v>
      </c>
      <c r="C257" s="943" t="s">
        <v>1847</v>
      </c>
      <c r="D257" s="396">
        <v>4</v>
      </c>
      <c r="E257" s="385">
        <f>SUM(F257:G257)</f>
        <v>20450</v>
      </c>
      <c r="F257" s="371">
        <v>20350</v>
      </c>
      <c r="G257" s="371">
        <v>100</v>
      </c>
      <c r="H257" s="926">
        <f t="shared" si="103"/>
        <v>9400</v>
      </c>
      <c r="I257" s="104">
        <v>1500</v>
      </c>
      <c r="J257" s="104">
        <v>0</v>
      </c>
      <c r="K257" s="371">
        <v>0</v>
      </c>
      <c r="L257" s="371">
        <v>1500</v>
      </c>
      <c r="M257" s="371">
        <v>4450</v>
      </c>
      <c r="N257" s="371">
        <v>850</v>
      </c>
      <c r="O257" s="370">
        <v>1100</v>
      </c>
      <c r="P257" s="928">
        <f t="shared" si="104"/>
        <v>11050</v>
      </c>
      <c r="Q257" s="371">
        <v>2324</v>
      </c>
      <c r="R257" s="371">
        <v>0</v>
      </c>
      <c r="S257" s="371">
        <v>0</v>
      </c>
      <c r="T257" s="371">
        <v>1350</v>
      </c>
      <c r="U257" s="371">
        <v>0</v>
      </c>
      <c r="V257" s="371">
        <v>2350</v>
      </c>
      <c r="W257" s="371">
        <v>850</v>
      </c>
      <c r="X257" s="371">
        <v>0</v>
      </c>
      <c r="Y257" s="371">
        <v>800</v>
      </c>
      <c r="Z257" s="371">
        <v>0</v>
      </c>
      <c r="AA257" s="371">
        <v>0</v>
      </c>
      <c r="AB257" s="371">
        <v>0</v>
      </c>
      <c r="AC257" s="371">
        <v>1800</v>
      </c>
      <c r="AD257" s="371">
        <v>0</v>
      </c>
      <c r="AE257" s="371">
        <v>1576</v>
      </c>
      <c r="AF257" s="926">
        <f t="shared" si="96"/>
        <v>0</v>
      </c>
      <c r="AG257" s="371">
        <v>0</v>
      </c>
      <c r="AH257" s="371">
        <v>0</v>
      </c>
      <c r="AI257" s="387">
        <f t="shared" si="105"/>
        <v>0</v>
      </c>
      <c r="AJ257" s="496">
        <f t="shared" si="97"/>
        <v>2676</v>
      </c>
      <c r="AK257" s="393">
        <f t="shared" si="98"/>
        <v>17774</v>
      </c>
      <c r="AL257" s="393">
        <f t="shared" si="99"/>
        <v>0</v>
      </c>
      <c r="AM257" s="393">
        <f t="shared" si="100"/>
        <v>0</v>
      </c>
      <c r="AN257" s="393">
        <f t="shared" si="101"/>
        <v>0</v>
      </c>
      <c r="AO257" s="393">
        <f t="shared" si="102"/>
        <v>0</v>
      </c>
    </row>
    <row r="258" spans="1:41" s="393" customFormat="1" ht="14.25">
      <c r="A258" s="397" t="s">
        <v>1825</v>
      </c>
      <c r="B258" s="394" t="s">
        <v>1832</v>
      </c>
      <c r="C258" s="943" t="s">
        <v>1848</v>
      </c>
      <c r="D258" s="396">
        <v>4</v>
      </c>
      <c r="E258" s="385">
        <f>SUM(H258,P258,AF258)</f>
        <v>33756</v>
      </c>
      <c r="F258" s="371">
        <v>33756</v>
      </c>
      <c r="G258" s="371">
        <v>0</v>
      </c>
      <c r="H258" s="926">
        <f t="shared" si="103"/>
        <v>5420</v>
      </c>
      <c r="I258" s="371"/>
      <c r="J258" s="371"/>
      <c r="K258" s="371"/>
      <c r="L258" s="371">
        <v>480</v>
      </c>
      <c r="M258" s="371"/>
      <c r="N258" s="371">
        <v>140</v>
      </c>
      <c r="O258" s="370">
        <v>4800</v>
      </c>
      <c r="P258" s="928">
        <f t="shared" si="104"/>
        <v>27936</v>
      </c>
      <c r="Q258" s="371">
        <v>220</v>
      </c>
      <c r="R258" s="371"/>
      <c r="S258" s="371">
        <v>400</v>
      </c>
      <c r="T258" s="371"/>
      <c r="U258" s="371">
        <v>320</v>
      </c>
      <c r="V258" s="371">
        <v>20</v>
      </c>
      <c r="W258" s="371"/>
      <c r="X258" s="371">
        <v>1360</v>
      </c>
      <c r="Y258" s="371">
        <v>1320</v>
      </c>
      <c r="Z258" s="371"/>
      <c r="AA258" s="371"/>
      <c r="AB258" s="371"/>
      <c r="AC258" s="371"/>
      <c r="AD258" s="371">
        <v>60</v>
      </c>
      <c r="AE258" s="371">
        <v>24236</v>
      </c>
      <c r="AF258" s="926">
        <f t="shared" si="96"/>
        <v>400</v>
      </c>
      <c r="AG258" s="371">
        <v>300</v>
      </c>
      <c r="AH258" s="371">
        <v>100</v>
      </c>
      <c r="AI258" s="387">
        <f t="shared" si="105"/>
        <v>0</v>
      </c>
      <c r="AJ258" s="496">
        <f t="shared" si="97"/>
        <v>29036</v>
      </c>
      <c r="AK258" s="393">
        <f t="shared" si="98"/>
        <v>4720</v>
      </c>
      <c r="AL258" s="393">
        <f t="shared" si="99"/>
        <v>0</v>
      </c>
      <c r="AM258" s="393">
        <f t="shared" si="100"/>
        <v>0</v>
      </c>
      <c r="AN258" s="393">
        <f t="shared" si="101"/>
        <v>0</v>
      </c>
      <c r="AO258" s="393">
        <f t="shared" si="102"/>
        <v>0</v>
      </c>
    </row>
    <row r="259" spans="1:41" s="393" customFormat="1" ht="14.25">
      <c r="A259" s="397" t="s">
        <v>1825</v>
      </c>
      <c r="B259" s="394" t="s">
        <v>1832</v>
      </c>
      <c r="C259" s="943" t="s">
        <v>1849</v>
      </c>
      <c r="D259" s="396">
        <v>4</v>
      </c>
      <c r="E259" s="385">
        <f>SUM(H259,P259,AF259)</f>
        <v>55321</v>
      </c>
      <c r="F259" s="371">
        <v>29757</v>
      </c>
      <c r="G259" s="371">
        <v>25564</v>
      </c>
      <c r="H259" s="926">
        <f t="shared" si="103"/>
        <v>11006</v>
      </c>
      <c r="I259" s="371"/>
      <c r="J259" s="371"/>
      <c r="K259" s="371"/>
      <c r="L259" s="371"/>
      <c r="M259" s="371"/>
      <c r="N259" s="371">
        <v>10000</v>
      </c>
      <c r="O259" s="370">
        <v>1006</v>
      </c>
      <c r="P259" s="928">
        <f t="shared" si="104"/>
        <v>25915</v>
      </c>
      <c r="Q259" s="371"/>
      <c r="R259" s="371"/>
      <c r="S259" s="371">
        <v>7500</v>
      </c>
      <c r="T259" s="371"/>
      <c r="U259" s="371"/>
      <c r="V259" s="371">
        <v>3000</v>
      </c>
      <c r="W259" s="371"/>
      <c r="X259" s="371"/>
      <c r="Y259" s="371">
        <v>3000</v>
      </c>
      <c r="Z259" s="371"/>
      <c r="AA259" s="371">
        <v>4500</v>
      </c>
      <c r="AB259" s="371"/>
      <c r="AC259" s="371"/>
      <c r="AD259" s="371"/>
      <c r="AE259" s="371">
        <v>7915</v>
      </c>
      <c r="AF259" s="926">
        <f t="shared" si="96"/>
        <v>18400</v>
      </c>
      <c r="AG259" s="371">
        <v>15400</v>
      </c>
      <c r="AH259" s="371">
        <v>3000</v>
      </c>
      <c r="AI259" s="387">
        <f t="shared" si="105"/>
        <v>0</v>
      </c>
      <c r="AJ259" s="496">
        <f t="shared" si="97"/>
        <v>8921</v>
      </c>
      <c r="AK259" s="393">
        <f t="shared" si="98"/>
        <v>46400</v>
      </c>
      <c r="AL259" s="393">
        <f t="shared" si="99"/>
        <v>0</v>
      </c>
      <c r="AM259" s="393">
        <f t="shared" si="100"/>
        <v>0</v>
      </c>
      <c r="AN259" s="393">
        <f t="shared" si="101"/>
        <v>0</v>
      </c>
      <c r="AO259" s="393">
        <f t="shared" si="102"/>
        <v>0</v>
      </c>
    </row>
    <row r="260" spans="1:41" s="410" customFormat="1" ht="21.6" customHeight="1">
      <c r="A260" s="405" t="s">
        <v>1259</v>
      </c>
      <c r="B260" s="406"/>
      <c r="C260" s="407" t="s">
        <v>1169</v>
      </c>
      <c r="D260" s="408"/>
      <c r="E260" s="409">
        <f t="shared" ref="E260:AH260" si="106">SUM(E261:E265)</f>
        <v>80918</v>
      </c>
      <c r="F260" s="409">
        <f t="shared" si="106"/>
        <v>79366</v>
      </c>
      <c r="G260" s="409">
        <f t="shared" si="106"/>
        <v>1552</v>
      </c>
      <c r="H260" s="409">
        <f t="shared" si="106"/>
        <v>26155</v>
      </c>
      <c r="I260" s="409">
        <f t="shared" si="106"/>
        <v>9065</v>
      </c>
      <c r="J260" s="409">
        <f t="shared" si="106"/>
        <v>0</v>
      </c>
      <c r="K260" s="409">
        <f t="shared" si="106"/>
        <v>2100</v>
      </c>
      <c r="L260" s="409">
        <f t="shared" si="106"/>
        <v>3270</v>
      </c>
      <c r="M260" s="409">
        <f t="shared" si="106"/>
        <v>3096</v>
      </c>
      <c r="N260" s="409">
        <f t="shared" si="106"/>
        <v>5336</v>
      </c>
      <c r="O260" s="409">
        <f t="shared" si="106"/>
        <v>3288</v>
      </c>
      <c r="P260" s="409">
        <f t="shared" si="106"/>
        <v>54472</v>
      </c>
      <c r="Q260" s="409">
        <f t="shared" si="106"/>
        <v>3322</v>
      </c>
      <c r="R260" s="409">
        <f t="shared" si="106"/>
        <v>3316</v>
      </c>
      <c r="S260" s="409">
        <f t="shared" si="106"/>
        <v>2023</v>
      </c>
      <c r="T260" s="409">
        <f t="shared" si="106"/>
        <v>1980</v>
      </c>
      <c r="U260" s="409">
        <f t="shared" si="106"/>
        <v>4933</v>
      </c>
      <c r="V260" s="409">
        <f t="shared" si="106"/>
        <v>1190</v>
      </c>
      <c r="W260" s="409">
        <f t="shared" si="106"/>
        <v>4159</v>
      </c>
      <c r="X260" s="409">
        <f t="shared" si="106"/>
        <v>4192</v>
      </c>
      <c r="Y260" s="409">
        <f t="shared" si="106"/>
        <v>4385</v>
      </c>
      <c r="Z260" s="409">
        <f t="shared" si="106"/>
        <v>6038</v>
      </c>
      <c r="AA260" s="409">
        <f t="shared" si="106"/>
        <v>800</v>
      </c>
      <c r="AB260" s="409">
        <f t="shared" si="106"/>
        <v>1529</v>
      </c>
      <c r="AC260" s="409">
        <f t="shared" si="106"/>
        <v>400</v>
      </c>
      <c r="AD260" s="409">
        <f t="shared" si="106"/>
        <v>470</v>
      </c>
      <c r="AE260" s="409">
        <f t="shared" si="106"/>
        <v>15735</v>
      </c>
      <c r="AF260" s="409">
        <f t="shared" si="106"/>
        <v>291</v>
      </c>
      <c r="AG260" s="409">
        <f t="shared" si="106"/>
        <v>0</v>
      </c>
      <c r="AH260" s="409">
        <f t="shared" si="106"/>
        <v>291</v>
      </c>
      <c r="AI260" s="387">
        <f t="shared" ref="AI260:AI316" si="107">IF(AND(+F260+G260=E260,AF260+P260+H260=E260,SUM(I260:O260,Q260:AE260,AG260:AH260)=E260),0,FALSE)</f>
        <v>0</v>
      </c>
      <c r="AJ260" s="496"/>
    </row>
    <row r="261" spans="1:41" s="393" customFormat="1" ht="14.25">
      <c r="A261" s="397" t="s">
        <v>1825</v>
      </c>
      <c r="B261" s="394" t="s">
        <v>1850</v>
      </c>
      <c r="C261" s="497" t="s">
        <v>1851</v>
      </c>
      <c r="D261" s="396">
        <v>4</v>
      </c>
      <c r="E261" s="385">
        <f>SUM(H261,P261,AF261)</f>
        <v>13580</v>
      </c>
      <c r="F261" s="368">
        <v>13580</v>
      </c>
      <c r="G261" s="368"/>
      <c r="H261" s="385">
        <v>2425</v>
      </c>
      <c r="I261" s="371">
        <v>2425</v>
      </c>
      <c r="J261" s="371"/>
      <c r="K261" s="371"/>
      <c r="L261" s="371"/>
      <c r="M261" s="371"/>
      <c r="N261" s="371"/>
      <c r="O261" s="370"/>
      <c r="P261" s="386">
        <v>11155</v>
      </c>
      <c r="Q261" s="371">
        <v>1552</v>
      </c>
      <c r="R261" s="371">
        <v>1746</v>
      </c>
      <c r="S261" s="371">
        <v>873</v>
      </c>
      <c r="T261" s="371"/>
      <c r="U261" s="371">
        <v>873</v>
      </c>
      <c r="V261" s="371"/>
      <c r="W261" s="371">
        <v>1649</v>
      </c>
      <c r="X261" s="371"/>
      <c r="Y261" s="371">
        <v>1455</v>
      </c>
      <c r="Z261" s="371">
        <v>2328</v>
      </c>
      <c r="AA261" s="371"/>
      <c r="AB261" s="371">
        <v>679</v>
      </c>
      <c r="AC261" s="371"/>
      <c r="AD261" s="371"/>
      <c r="AE261" s="371"/>
      <c r="AF261" s="385">
        <v>0</v>
      </c>
      <c r="AG261" s="371"/>
      <c r="AH261" s="371"/>
      <c r="AI261" s="387">
        <f t="shared" si="107"/>
        <v>0</v>
      </c>
      <c r="AJ261" s="496">
        <f>AE261+O261</f>
        <v>0</v>
      </c>
    </row>
    <row r="262" spans="1:41" s="393" customFormat="1" ht="14.25">
      <c r="A262" s="397" t="s">
        <v>1825</v>
      </c>
      <c r="B262" s="394" t="s">
        <v>1850</v>
      </c>
      <c r="C262" s="497" t="s">
        <v>1852</v>
      </c>
      <c r="D262" s="396">
        <v>4</v>
      </c>
      <c r="E262" s="385">
        <f>SUM(H262,P262,AF262)</f>
        <v>9118</v>
      </c>
      <c r="F262" s="368">
        <v>9118</v>
      </c>
      <c r="G262" s="368"/>
      <c r="H262" s="385">
        <v>3007</v>
      </c>
      <c r="I262" s="371"/>
      <c r="J262" s="371"/>
      <c r="K262" s="371"/>
      <c r="L262" s="371"/>
      <c r="M262" s="371"/>
      <c r="N262" s="371"/>
      <c r="O262" s="370">
        <v>3007</v>
      </c>
      <c r="P262" s="386">
        <v>6111</v>
      </c>
      <c r="Q262" s="371"/>
      <c r="R262" s="371"/>
      <c r="S262" s="371"/>
      <c r="T262" s="371"/>
      <c r="U262" s="371"/>
      <c r="V262" s="371"/>
      <c r="W262" s="371"/>
      <c r="X262" s="371"/>
      <c r="Y262" s="371"/>
      <c r="Z262" s="371"/>
      <c r="AA262" s="371"/>
      <c r="AB262" s="371"/>
      <c r="AC262" s="371"/>
      <c r="AD262" s="371"/>
      <c r="AE262" s="371">
        <v>6111</v>
      </c>
      <c r="AF262" s="385">
        <v>0</v>
      </c>
      <c r="AG262" s="371"/>
      <c r="AH262" s="371"/>
      <c r="AI262" s="387">
        <f t="shared" si="107"/>
        <v>0</v>
      </c>
      <c r="AJ262" s="496">
        <f>AE262+O262</f>
        <v>9118</v>
      </c>
    </row>
    <row r="263" spans="1:41" s="393" customFormat="1" ht="14.25">
      <c r="A263" s="397" t="s">
        <v>1825</v>
      </c>
      <c r="B263" s="394" t="s">
        <v>1850</v>
      </c>
      <c r="C263" s="497" t="s">
        <v>1853</v>
      </c>
      <c r="D263" s="396">
        <v>4</v>
      </c>
      <c r="E263" s="385">
        <f>SUM(H263,P263,AF263)</f>
        <v>9390</v>
      </c>
      <c r="F263" s="368">
        <v>9390</v>
      </c>
      <c r="G263" s="368"/>
      <c r="H263" s="385">
        <v>2134</v>
      </c>
      <c r="I263" s="371">
        <v>400</v>
      </c>
      <c r="J263" s="371">
        <v>0</v>
      </c>
      <c r="K263" s="371">
        <v>400</v>
      </c>
      <c r="L263" s="371">
        <v>400</v>
      </c>
      <c r="M263" s="371">
        <v>396</v>
      </c>
      <c r="N263" s="371">
        <v>396</v>
      </c>
      <c r="O263" s="370">
        <v>142</v>
      </c>
      <c r="P263" s="386">
        <v>6965</v>
      </c>
      <c r="Q263" s="371">
        <v>600</v>
      </c>
      <c r="R263" s="371">
        <v>400</v>
      </c>
      <c r="S263" s="371">
        <v>400</v>
      </c>
      <c r="T263" s="371">
        <v>800</v>
      </c>
      <c r="U263" s="371">
        <v>400</v>
      </c>
      <c r="V263" s="371">
        <v>800</v>
      </c>
      <c r="W263" s="371">
        <v>400</v>
      </c>
      <c r="X263" s="371">
        <v>400</v>
      </c>
      <c r="Y263" s="371">
        <v>400</v>
      </c>
      <c r="Z263" s="371">
        <v>0</v>
      </c>
      <c r="AA263" s="371">
        <v>800</v>
      </c>
      <c r="AB263" s="371">
        <v>400</v>
      </c>
      <c r="AC263" s="371">
        <v>400</v>
      </c>
      <c r="AD263" s="371">
        <v>400</v>
      </c>
      <c r="AE263" s="371">
        <v>365</v>
      </c>
      <c r="AF263" s="385">
        <v>291</v>
      </c>
      <c r="AG263" s="371"/>
      <c r="AH263" s="371">
        <v>291</v>
      </c>
      <c r="AI263" s="387">
        <f t="shared" si="107"/>
        <v>0</v>
      </c>
      <c r="AJ263" s="496">
        <f>AE263+O263</f>
        <v>507</v>
      </c>
    </row>
    <row r="264" spans="1:41" s="393" customFormat="1" ht="14.25">
      <c r="A264" s="397" t="s">
        <v>1825</v>
      </c>
      <c r="B264" s="394" t="s">
        <v>1850</v>
      </c>
      <c r="C264" s="497" t="s">
        <v>1854</v>
      </c>
      <c r="D264" s="396">
        <v>4</v>
      </c>
      <c r="E264" s="385">
        <f>SUM(H264,P264,AF264)</f>
        <v>9159</v>
      </c>
      <c r="F264" s="368">
        <v>9159</v>
      </c>
      <c r="G264" s="368"/>
      <c r="H264" s="385">
        <v>5979</v>
      </c>
      <c r="I264" s="371">
        <v>1150</v>
      </c>
      <c r="J264" s="371">
        <v>0</v>
      </c>
      <c r="K264" s="371">
        <v>1100</v>
      </c>
      <c r="L264" s="371">
        <v>1150</v>
      </c>
      <c r="M264" s="371">
        <v>1100</v>
      </c>
      <c r="N264" s="371">
        <v>1340</v>
      </c>
      <c r="O264" s="370">
        <v>139</v>
      </c>
      <c r="P264" s="386">
        <v>3180</v>
      </c>
      <c r="Q264" s="371">
        <v>30</v>
      </c>
      <c r="R264" s="371">
        <v>100</v>
      </c>
      <c r="S264" s="371">
        <v>90</v>
      </c>
      <c r="T264" s="371">
        <v>0</v>
      </c>
      <c r="U264" s="371">
        <v>550</v>
      </c>
      <c r="V264" s="371">
        <v>0</v>
      </c>
      <c r="W264" s="371">
        <v>70</v>
      </c>
      <c r="X264" s="371">
        <v>92</v>
      </c>
      <c r="Y264" s="371">
        <v>70</v>
      </c>
      <c r="Z264" s="371">
        <v>100</v>
      </c>
      <c r="AA264" s="371">
        <v>0</v>
      </c>
      <c r="AB264" s="371">
        <v>0</v>
      </c>
      <c r="AC264" s="371"/>
      <c r="AD264" s="371">
        <v>70</v>
      </c>
      <c r="AE264" s="371">
        <v>2008</v>
      </c>
      <c r="AF264" s="385">
        <v>0</v>
      </c>
      <c r="AG264" s="371"/>
      <c r="AH264" s="371"/>
      <c r="AI264" s="387">
        <f t="shared" si="107"/>
        <v>0</v>
      </c>
      <c r="AJ264" s="496">
        <f>+O264+AE264</f>
        <v>2147</v>
      </c>
      <c r="AK264" s="393">
        <f>SUM(AG264:AH264)+SUM(Q264:AD264)+SUM(I264:N264)</f>
        <v>7012</v>
      </c>
      <c r="AL264" s="393">
        <f>SUM(I264:O264)-H264</f>
        <v>0</v>
      </c>
      <c r="AM264" s="393">
        <f>SUM(Q264:AE264)-P264</f>
        <v>0</v>
      </c>
      <c r="AN264" s="393">
        <f>SUM(AG264:AH264)-AF264</f>
        <v>0</v>
      </c>
      <c r="AO264" s="393">
        <f>IF(+AJ264+AK264=E264,0,FALSE)</f>
        <v>0</v>
      </c>
    </row>
    <row r="265" spans="1:41" s="393" customFormat="1" ht="14.25">
      <c r="A265" s="397" t="s">
        <v>1825</v>
      </c>
      <c r="B265" s="394" t="s">
        <v>1850</v>
      </c>
      <c r="C265" s="497" t="s">
        <v>1855</v>
      </c>
      <c r="D265" s="396">
        <v>4</v>
      </c>
      <c r="E265" s="385">
        <f>SUM(H265,P265,AF265)</f>
        <v>39671</v>
      </c>
      <c r="F265" s="368">
        <v>38119</v>
      </c>
      <c r="G265" s="368">
        <v>1552</v>
      </c>
      <c r="H265" s="385">
        <v>12610</v>
      </c>
      <c r="I265" s="371">
        <v>5090</v>
      </c>
      <c r="J265" s="371">
        <v>0</v>
      </c>
      <c r="K265" s="371">
        <v>600</v>
      </c>
      <c r="L265" s="371">
        <v>1720</v>
      </c>
      <c r="M265" s="371">
        <v>1600</v>
      </c>
      <c r="N265" s="371">
        <v>3600</v>
      </c>
      <c r="O265" s="370">
        <v>0</v>
      </c>
      <c r="P265" s="386">
        <v>27061</v>
      </c>
      <c r="Q265" s="371">
        <v>1140</v>
      </c>
      <c r="R265" s="371">
        <v>1070</v>
      </c>
      <c r="S265" s="371">
        <v>660</v>
      </c>
      <c r="T265" s="371">
        <v>1180</v>
      </c>
      <c r="U265" s="371">
        <v>3110</v>
      </c>
      <c r="V265" s="371">
        <v>390</v>
      </c>
      <c r="W265" s="371">
        <v>2040</v>
      </c>
      <c r="X265" s="371">
        <v>3700</v>
      </c>
      <c r="Y265" s="371">
        <v>2460</v>
      </c>
      <c r="Z265" s="371">
        <v>3610</v>
      </c>
      <c r="AA265" s="371">
        <v>0</v>
      </c>
      <c r="AB265" s="371">
        <v>450</v>
      </c>
      <c r="AC265" s="371">
        <v>0</v>
      </c>
      <c r="AD265" s="371">
        <v>0</v>
      </c>
      <c r="AE265" s="371">
        <v>7251</v>
      </c>
      <c r="AF265" s="385">
        <v>0</v>
      </c>
      <c r="AG265" s="371">
        <v>0</v>
      </c>
      <c r="AH265" s="371">
        <v>0</v>
      </c>
      <c r="AI265" s="387">
        <f t="shared" si="107"/>
        <v>0</v>
      </c>
      <c r="AJ265" s="496">
        <f>+O265+AE265</f>
        <v>7251</v>
      </c>
      <c r="AK265" s="393">
        <f>SUM(AG265:AH265)+SUM(Q265:AD265)+SUM(I265:N265)</f>
        <v>32420</v>
      </c>
      <c r="AL265" s="393">
        <f>SUM(I265:O265)-H265</f>
        <v>0</v>
      </c>
      <c r="AM265" s="393">
        <f>SUM(Q265:AE265)-P265</f>
        <v>0</v>
      </c>
      <c r="AN265" s="393">
        <f>SUM(AG265:AH265)-AF265</f>
        <v>0</v>
      </c>
      <c r="AO265" s="393">
        <f>IF(+AJ265+AK265=E265,0,FALSE)</f>
        <v>0</v>
      </c>
    </row>
    <row r="266" spans="1:41" s="410" customFormat="1" ht="21.6" customHeight="1">
      <c r="A266" s="405" t="s">
        <v>1260</v>
      </c>
      <c r="B266" s="406"/>
      <c r="C266" s="407" t="s">
        <v>1169</v>
      </c>
      <c r="D266" s="408"/>
      <c r="E266" s="409">
        <f t="shared" ref="E266:AH266" si="108">SUM(E267:E277)</f>
        <v>656520</v>
      </c>
      <c r="F266" s="409">
        <f t="shared" si="108"/>
        <v>185840</v>
      </c>
      <c r="G266" s="409">
        <f t="shared" si="108"/>
        <v>470680</v>
      </c>
      <c r="H266" s="409">
        <f t="shared" si="108"/>
        <v>131875</v>
      </c>
      <c r="I266" s="409">
        <f t="shared" si="108"/>
        <v>6311</v>
      </c>
      <c r="J266" s="409">
        <f t="shared" si="108"/>
        <v>0</v>
      </c>
      <c r="K266" s="409">
        <f t="shared" si="108"/>
        <v>15318</v>
      </c>
      <c r="L266" s="409">
        <f t="shared" si="108"/>
        <v>26269</v>
      </c>
      <c r="M266" s="409">
        <f t="shared" si="108"/>
        <v>22591</v>
      </c>
      <c r="N266" s="409">
        <f t="shared" si="108"/>
        <v>58586</v>
      </c>
      <c r="O266" s="409">
        <f t="shared" si="108"/>
        <v>2800</v>
      </c>
      <c r="P266" s="409">
        <f t="shared" si="108"/>
        <v>510800</v>
      </c>
      <c r="Q266" s="409">
        <f t="shared" si="108"/>
        <v>18190</v>
      </c>
      <c r="R266" s="409">
        <f t="shared" si="108"/>
        <v>1264</v>
      </c>
      <c r="S266" s="409">
        <f t="shared" si="108"/>
        <v>25264</v>
      </c>
      <c r="T266" s="409">
        <f t="shared" si="108"/>
        <v>129747</v>
      </c>
      <c r="U266" s="409">
        <f t="shared" si="108"/>
        <v>264</v>
      </c>
      <c r="V266" s="409">
        <f t="shared" si="108"/>
        <v>57600</v>
      </c>
      <c r="W266" s="409">
        <f t="shared" si="108"/>
        <v>22164</v>
      </c>
      <c r="X266" s="409">
        <f t="shared" si="108"/>
        <v>41919</v>
      </c>
      <c r="Y266" s="409">
        <f t="shared" si="108"/>
        <v>14007</v>
      </c>
      <c r="Z266" s="409">
        <f t="shared" si="108"/>
        <v>4527</v>
      </c>
      <c r="AA266" s="409">
        <f t="shared" si="108"/>
        <v>156936</v>
      </c>
      <c r="AB266" s="409">
        <f t="shared" si="108"/>
        <v>6263</v>
      </c>
      <c r="AC266" s="409">
        <f t="shared" si="108"/>
        <v>22000</v>
      </c>
      <c r="AD266" s="409">
        <f t="shared" si="108"/>
        <v>0</v>
      </c>
      <c r="AE266" s="409">
        <f t="shared" si="108"/>
        <v>10655</v>
      </c>
      <c r="AF266" s="409">
        <f t="shared" si="108"/>
        <v>13845</v>
      </c>
      <c r="AG266" s="409">
        <f t="shared" si="108"/>
        <v>10470</v>
      </c>
      <c r="AH266" s="409">
        <f t="shared" si="108"/>
        <v>3375</v>
      </c>
      <c r="AI266" s="387">
        <f t="shared" si="107"/>
        <v>0</v>
      </c>
      <c r="AJ266" s="496"/>
    </row>
    <row r="267" spans="1:41" s="393" customFormat="1" ht="14.25">
      <c r="A267" s="397" t="s">
        <v>1825</v>
      </c>
      <c r="B267" s="394" t="s">
        <v>1856</v>
      </c>
      <c r="C267" s="497" t="s">
        <v>1857</v>
      </c>
      <c r="D267" s="396">
        <v>4</v>
      </c>
      <c r="E267" s="385">
        <f t="shared" ref="E267:E277" si="109">SUM(H267,P267,AF267)</f>
        <v>3630</v>
      </c>
      <c r="F267" s="368">
        <v>3630</v>
      </c>
      <c r="G267" s="368"/>
      <c r="H267" s="385">
        <v>0</v>
      </c>
      <c r="I267" s="371"/>
      <c r="J267" s="371"/>
      <c r="K267" s="371"/>
      <c r="L267" s="371"/>
      <c r="M267" s="371"/>
      <c r="N267" s="371"/>
      <c r="O267" s="370"/>
      <c r="P267" s="386">
        <v>3630</v>
      </c>
      <c r="Q267" s="371">
        <v>1000</v>
      </c>
      <c r="R267" s="371"/>
      <c r="S267" s="371"/>
      <c r="T267" s="371"/>
      <c r="U267" s="371"/>
      <c r="V267" s="371"/>
      <c r="W267" s="371"/>
      <c r="X267" s="371">
        <v>500</v>
      </c>
      <c r="Y267" s="371"/>
      <c r="Z267" s="371"/>
      <c r="AA267" s="371"/>
      <c r="AB267" s="371">
        <v>1000</v>
      </c>
      <c r="AC267" s="371"/>
      <c r="AD267" s="371"/>
      <c r="AE267" s="371">
        <v>1130</v>
      </c>
      <c r="AF267" s="385">
        <v>0</v>
      </c>
      <c r="AG267" s="371"/>
      <c r="AH267" s="371"/>
      <c r="AI267" s="387">
        <f t="shared" si="107"/>
        <v>0</v>
      </c>
      <c r="AJ267" s="496">
        <f t="shared" ref="AJ267:AJ277" si="110">+O267+AE267</f>
        <v>1130</v>
      </c>
      <c r="AK267" s="393">
        <f t="shared" ref="AK267:AK277" si="111">SUM(AG267:AH267)+SUM(Q267:AD267)+SUM(I267:N267)</f>
        <v>2500</v>
      </c>
      <c r="AL267" s="393">
        <f t="shared" ref="AL267:AL277" si="112">SUM(I267:O267)-H267</f>
        <v>0</v>
      </c>
      <c r="AM267" s="393">
        <f t="shared" ref="AM267:AM277" si="113">SUM(Q267:AE267)-P267</f>
        <v>0</v>
      </c>
      <c r="AN267" s="393">
        <f t="shared" ref="AN267:AN277" si="114">SUM(AG267:AH267)-AF267</f>
        <v>0</v>
      </c>
      <c r="AO267" s="393">
        <f t="shared" ref="AO267:AO277" si="115">IF(+AJ267+AK267=E267,0,FALSE)</f>
        <v>0</v>
      </c>
    </row>
    <row r="268" spans="1:41" s="393" customFormat="1" ht="14.25">
      <c r="A268" s="397" t="s">
        <v>1825</v>
      </c>
      <c r="B268" s="394" t="s">
        <v>1856</v>
      </c>
      <c r="C268" s="497" t="s">
        <v>1858</v>
      </c>
      <c r="D268" s="396">
        <v>4</v>
      </c>
      <c r="E268" s="385">
        <f t="shared" si="109"/>
        <v>1054</v>
      </c>
      <c r="F268" s="368">
        <v>1054</v>
      </c>
      <c r="G268" s="368"/>
      <c r="H268" s="385">
        <v>641</v>
      </c>
      <c r="I268" s="371"/>
      <c r="J268" s="371"/>
      <c r="K268" s="371">
        <v>7</v>
      </c>
      <c r="L268" s="371">
        <v>78</v>
      </c>
      <c r="M268" s="371">
        <v>270</v>
      </c>
      <c r="N268" s="371">
        <v>286</v>
      </c>
      <c r="O268" s="370"/>
      <c r="P268" s="386">
        <v>413</v>
      </c>
      <c r="Q268" s="371">
        <v>16</v>
      </c>
      <c r="R268" s="371"/>
      <c r="S268" s="371"/>
      <c r="T268" s="371">
        <v>47</v>
      </c>
      <c r="U268" s="371"/>
      <c r="V268" s="371">
        <v>30</v>
      </c>
      <c r="W268" s="371">
        <v>30</v>
      </c>
      <c r="X268" s="371">
        <v>276</v>
      </c>
      <c r="Y268" s="371">
        <v>7</v>
      </c>
      <c r="Z268" s="371">
        <v>7</v>
      </c>
      <c r="AA268" s="371"/>
      <c r="AB268" s="371"/>
      <c r="AC268" s="371"/>
      <c r="AD268" s="371"/>
      <c r="AE268" s="371"/>
      <c r="AF268" s="385">
        <v>0</v>
      </c>
      <c r="AG268" s="371"/>
      <c r="AH268" s="371"/>
      <c r="AI268" s="387">
        <f t="shared" si="107"/>
        <v>0</v>
      </c>
      <c r="AJ268" s="496">
        <f t="shared" si="110"/>
        <v>0</v>
      </c>
      <c r="AK268" s="393">
        <f t="shared" si="111"/>
        <v>1054</v>
      </c>
      <c r="AL268" s="393">
        <f t="shared" si="112"/>
        <v>0</v>
      </c>
      <c r="AM268" s="393">
        <f t="shared" si="113"/>
        <v>0</v>
      </c>
      <c r="AN268" s="393">
        <f t="shared" si="114"/>
        <v>0</v>
      </c>
      <c r="AO268" s="393">
        <f t="shared" si="115"/>
        <v>0</v>
      </c>
    </row>
    <row r="269" spans="1:41" s="393" customFormat="1" ht="14.25">
      <c r="A269" s="397" t="s">
        <v>1825</v>
      </c>
      <c r="B269" s="394" t="s">
        <v>1856</v>
      </c>
      <c r="C269" s="497" t="s">
        <v>1859</v>
      </c>
      <c r="D269" s="396">
        <v>4</v>
      </c>
      <c r="E269" s="385">
        <f t="shared" si="109"/>
        <v>5000</v>
      </c>
      <c r="F269" s="368">
        <v>5000</v>
      </c>
      <c r="G269" s="368"/>
      <c r="H269" s="385">
        <v>2700</v>
      </c>
      <c r="I269" s="371"/>
      <c r="J269" s="371"/>
      <c r="K269" s="371"/>
      <c r="L269" s="371"/>
      <c r="M269" s="371">
        <v>1500</v>
      </c>
      <c r="N269" s="371">
        <v>1200</v>
      </c>
      <c r="O269" s="370"/>
      <c r="P269" s="386">
        <v>2300</v>
      </c>
      <c r="Q269" s="371"/>
      <c r="R269" s="371"/>
      <c r="S269" s="371"/>
      <c r="T269" s="371"/>
      <c r="U269" s="371"/>
      <c r="V269" s="371"/>
      <c r="W269" s="371">
        <v>500</v>
      </c>
      <c r="X269" s="371">
        <v>1300</v>
      </c>
      <c r="Y269" s="371"/>
      <c r="Z269" s="371"/>
      <c r="AA269" s="371"/>
      <c r="AB269" s="371"/>
      <c r="AC269" s="371"/>
      <c r="AD269" s="371"/>
      <c r="AE269" s="371">
        <v>500</v>
      </c>
      <c r="AF269" s="385">
        <v>0</v>
      </c>
      <c r="AG269" s="371"/>
      <c r="AH269" s="371"/>
      <c r="AI269" s="387">
        <f t="shared" si="107"/>
        <v>0</v>
      </c>
      <c r="AJ269" s="496">
        <f t="shared" si="110"/>
        <v>500</v>
      </c>
      <c r="AK269" s="393">
        <f t="shared" si="111"/>
        <v>4500</v>
      </c>
      <c r="AL269" s="393">
        <f t="shared" si="112"/>
        <v>0</v>
      </c>
      <c r="AM269" s="393">
        <f t="shared" si="113"/>
        <v>0</v>
      </c>
      <c r="AN269" s="393">
        <f t="shared" si="114"/>
        <v>0</v>
      </c>
      <c r="AO269" s="393">
        <f t="shared" si="115"/>
        <v>0</v>
      </c>
    </row>
    <row r="270" spans="1:41" s="393" customFormat="1" ht="14.25">
      <c r="A270" s="397" t="s">
        <v>1825</v>
      </c>
      <c r="B270" s="394" t="s">
        <v>1856</v>
      </c>
      <c r="C270" s="497" t="s">
        <v>1860</v>
      </c>
      <c r="D270" s="396">
        <v>4</v>
      </c>
      <c r="E270" s="385">
        <f t="shared" si="109"/>
        <v>2000</v>
      </c>
      <c r="F270" s="368">
        <v>2000</v>
      </c>
      <c r="G270" s="368"/>
      <c r="H270" s="385">
        <v>800</v>
      </c>
      <c r="I270" s="371"/>
      <c r="J270" s="371"/>
      <c r="K270" s="371"/>
      <c r="L270" s="371"/>
      <c r="M270" s="371"/>
      <c r="N270" s="371"/>
      <c r="O270" s="370">
        <v>800</v>
      </c>
      <c r="P270" s="386">
        <v>1200</v>
      </c>
      <c r="Q270" s="371"/>
      <c r="R270" s="371"/>
      <c r="S270" s="371"/>
      <c r="T270" s="371"/>
      <c r="U270" s="371"/>
      <c r="V270" s="371"/>
      <c r="W270" s="371"/>
      <c r="X270" s="371"/>
      <c r="Y270" s="371"/>
      <c r="Z270" s="371"/>
      <c r="AA270" s="371"/>
      <c r="AB270" s="371"/>
      <c r="AC270" s="371"/>
      <c r="AD270" s="371"/>
      <c r="AE270" s="371">
        <v>1200</v>
      </c>
      <c r="AF270" s="385">
        <v>0</v>
      </c>
      <c r="AG270" s="371"/>
      <c r="AH270" s="371"/>
      <c r="AI270" s="387">
        <f t="shared" si="107"/>
        <v>0</v>
      </c>
      <c r="AJ270" s="496">
        <f t="shared" si="110"/>
        <v>2000</v>
      </c>
      <c r="AK270" s="393">
        <f t="shared" si="111"/>
        <v>0</v>
      </c>
      <c r="AL270" s="393">
        <f t="shared" si="112"/>
        <v>0</v>
      </c>
      <c r="AM270" s="393">
        <f t="shared" si="113"/>
        <v>0</v>
      </c>
      <c r="AN270" s="393">
        <f t="shared" si="114"/>
        <v>0</v>
      </c>
      <c r="AO270" s="393">
        <f t="shared" si="115"/>
        <v>0</v>
      </c>
    </row>
    <row r="271" spans="1:41" s="393" customFormat="1" ht="14.25">
      <c r="A271" s="397" t="s">
        <v>1825</v>
      </c>
      <c r="B271" s="394" t="s">
        <v>1856</v>
      </c>
      <c r="C271" s="497" t="s">
        <v>1861</v>
      </c>
      <c r="D271" s="396">
        <v>4</v>
      </c>
      <c r="E271" s="385">
        <f t="shared" si="109"/>
        <v>149356</v>
      </c>
      <c r="F271" s="368">
        <v>149356</v>
      </c>
      <c r="G271" s="368"/>
      <c r="H271" s="385">
        <v>0</v>
      </c>
      <c r="I271" s="371"/>
      <c r="J271" s="371"/>
      <c r="K271" s="371"/>
      <c r="L271" s="371"/>
      <c r="M271" s="371"/>
      <c r="N271" s="371"/>
      <c r="O271" s="370"/>
      <c r="P271" s="386">
        <v>148511</v>
      </c>
      <c r="Q271" s="371"/>
      <c r="R271" s="371"/>
      <c r="S271" s="371"/>
      <c r="T271" s="371"/>
      <c r="U271" s="371"/>
      <c r="V271" s="371"/>
      <c r="W271" s="371"/>
      <c r="X271" s="371"/>
      <c r="Y271" s="371"/>
      <c r="Z271" s="371"/>
      <c r="AA271" s="371">
        <v>147786</v>
      </c>
      <c r="AB271" s="371"/>
      <c r="AC271" s="371"/>
      <c r="AD271" s="371"/>
      <c r="AE271" s="371">
        <v>725</v>
      </c>
      <c r="AF271" s="385">
        <v>845</v>
      </c>
      <c r="AG271" s="371">
        <v>470</v>
      </c>
      <c r="AH271" s="371">
        <v>375</v>
      </c>
      <c r="AI271" s="387">
        <f t="shared" si="107"/>
        <v>0</v>
      </c>
      <c r="AJ271" s="496">
        <f t="shared" si="110"/>
        <v>725</v>
      </c>
      <c r="AK271" s="393">
        <f t="shared" si="111"/>
        <v>148631</v>
      </c>
      <c r="AL271" s="393">
        <f t="shared" si="112"/>
        <v>0</v>
      </c>
      <c r="AM271" s="393">
        <f t="shared" si="113"/>
        <v>0</v>
      </c>
      <c r="AN271" s="393">
        <f t="shared" si="114"/>
        <v>0</v>
      </c>
      <c r="AO271" s="393">
        <f t="shared" si="115"/>
        <v>0</v>
      </c>
    </row>
    <row r="272" spans="1:41" s="393" customFormat="1" ht="14.25">
      <c r="A272" s="397" t="s">
        <v>1825</v>
      </c>
      <c r="B272" s="394" t="s">
        <v>1856</v>
      </c>
      <c r="C272" s="497" t="s">
        <v>1862</v>
      </c>
      <c r="D272" s="396">
        <v>4</v>
      </c>
      <c r="E272" s="385">
        <f t="shared" si="109"/>
        <v>137200</v>
      </c>
      <c r="F272" s="368"/>
      <c r="G272" s="368">
        <v>137200</v>
      </c>
      <c r="H272" s="385">
        <v>30000</v>
      </c>
      <c r="I272" s="371"/>
      <c r="J272" s="371"/>
      <c r="K272" s="371"/>
      <c r="L272" s="371"/>
      <c r="M272" s="371">
        <v>15000</v>
      </c>
      <c r="N272" s="371">
        <v>15000</v>
      </c>
      <c r="O272" s="370"/>
      <c r="P272" s="386">
        <v>100200</v>
      </c>
      <c r="Q272" s="371">
        <v>7000</v>
      </c>
      <c r="R272" s="371"/>
      <c r="S272" s="371"/>
      <c r="T272" s="371">
        <v>15000</v>
      </c>
      <c r="U272" s="371"/>
      <c r="V272" s="371">
        <v>48200</v>
      </c>
      <c r="W272" s="371">
        <v>15000</v>
      </c>
      <c r="X272" s="371">
        <v>15000</v>
      </c>
      <c r="Y272" s="371"/>
      <c r="Z272" s="371"/>
      <c r="AA272" s="371"/>
      <c r="AB272" s="371"/>
      <c r="AC272" s="371"/>
      <c r="AD272" s="371"/>
      <c r="AE272" s="371"/>
      <c r="AF272" s="385">
        <v>7000</v>
      </c>
      <c r="AG272" s="371">
        <v>7000</v>
      </c>
      <c r="AH272" s="371"/>
      <c r="AI272" s="387">
        <f t="shared" si="107"/>
        <v>0</v>
      </c>
      <c r="AJ272" s="496">
        <f t="shared" si="110"/>
        <v>0</v>
      </c>
      <c r="AK272" s="393">
        <f t="shared" si="111"/>
        <v>137200</v>
      </c>
      <c r="AL272" s="393">
        <f t="shared" si="112"/>
        <v>0</v>
      </c>
      <c r="AM272" s="393">
        <f t="shared" si="113"/>
        <v>0</v>
      </c>
      <c r="AN272" s="393">
        <f t="shared" si="114"/>
        <v>0</v>
      </c>
      <c r="AO272" s="393">
        <f t="shared" si="115"/>
        <v>0</v>
      </c>
    </row>
    <row r="273" spans="1:41" s="393" customFormat="1" ht="14.25">
      <c r="A273" s="397" t="s">
        <v>1825</v>
      </c>
      <c r="B273" s="394" t="s">
        <v>1856</v>
      </c>
      <c r="C273" s="497" t="s">
        <v>1863</v>
      </c>
      <c r="D273" s="396">
        <v>4</v>
      </c>
      <c r="E273" s="385">
        <f t="shared" si="109"/>
        <v>195000</v>
      </c>
      <c r="F273" s="368">
        <v>5000</v>
      </c>
      <c r="G273" s="368">
        <v>190000</v>
      </c>
      <c r="H273" s="385">
        <v>76000</v>
      </c>
      <c r="I273" s="371">
        <v>6000</v>
      </c>
      <c r="J273" s="371"/>
      <c r="K273" s="371">
        <v>15000</v>
      </c>
      <c r="L273" s="371">
        <v>10000</v>
      </c>
      <c r="M273" s="371">
        <v>3000</v>
      </c>
      <c r="N273" s="371">
        <v>40000</v>
      </c>
      <c r="O273" s="370">
        <v>2000</v>
      </c>
      <c r="P273" s="386">
        <v>113000</v>
      </c>
      <c r="Q273" s="371">
        <v>9600</v>
      </c>
      <c r="R273" s="371">
        <v>1000</v>
      </c>
      <c r="S273" s="371">
        <v>25000</v>
      </c>
      <c r="T273" s="371">
        <v>3000</v>
      </c>
      <c r="U273" s="371" t="s">
        <v>145</v>
      </c>
      <c r="V273" s="371">
        <v>8000</v>
      </c>
      <c r="W273" s="371">
        <v>5000</v>
      </c>
      <c r="X273" s="371">
        <v>22300</v>
      </c>
      <c r="Y273" s="371">
        <v>14000</v>
      </c>
      <c r="Z273" s="371">
        <v>2000</v>
      </c>
      <c r="AA273" s="371">
        <v>9000</v>
      </c>
      <c r="AB273" s="371">
        <v>5000</v>
      </c>
      <c r="AC273" s="371">
        <v>2000</v>
      </c>
      <c r="AD273" s="371"/>
      <c r="AE273" s="371">
        <v>7100</v>
      </c>
      <c r="AF273" s="385">
        <v>6000</v>
      </c>
      <c r="AG273" s="371">
        <v>3000</v>
      </c>
      <c r="AH273" s="371">
        <v>3000</v>
      </c>
      <c r="AI273" s="387">
        <f t="shared" si="107"/>
        <v>0</v>
      </c>
      <c r="AJ273" s="496">
        <f t="shared" si="110"/>
        <v>9100</v>
      </c>
      <c r="AK273" s="393">
        <f t="shared" si="111"/>
        <v>185900</v>
      </c>
      <c r="AL273" s="393">
        <f t="shared" si="112"/>
        <v>0</v>
      </c>
      <c r="AM273" s="393">
        <f t="shared" si="113"/>
        <v>0</v>
      </c>
      <c r="AN273" s="393">
        <f t="shared" si="114"/>
        <v>0</v>
      </c>
      <c r="AO273" s="393">
        <f t="shared" si="115"/>
        <v>0</v>
      </c>
    </row>
    <row r="274" spans="1:41" s="393" customFormat="1" ht="28.5">
      <c r="A274" s="397" t="s">
        <v>1825</v>
      </c>
      <c r="B274" s="394" t="s">
        <v>1856</v>
      </c>
      <c r="C274" s="497" t="s">
        <v>1864</v>
      </c>
      <c r="D274" s="396">
        <v>4</v>
      </c>
      <c r="E274" s="385">
        <f t="shared" si="109"/>
        <v>38400</v>
      </c>
      <c r="F274" s="368">
        <v>6400</v>
      </c>
      <c r="G274" s="368">
        <v>32000</v>
      </c>
      <c r="H274" s="385">
        <v>15880</v>
      </c>
      <c r="I274" s="371"/>
      <c r="J274" s="371"/>
      <c r="K274" s="371"/>
      <c r="L274" s="371">
        <v>15880</v>
      </c>
      <c r="M274" s="371"/>
      <c r="N274" s="371"/>
      <c r="O274" s="370"/>
      <c r="P274" s="386">
        <v>22520</v>
      </c>
      <c r="Q274" s="371"/>
      <c r="R274" s="371"/>
      <c r="S274" s="371"/>
      <c r="T274" s="371"/>
      <c r="U274" s="371"/>
      <c r="V274" s="371"/>
      <c r="W274" s="371"/>
      <c r="X274" s="371"/>
      <c r="Y274" s="371"/>
      <c r="Z274" s="371">
        <v>2520</v>
      </c>
      <c r="AA274" s="371"/>
      <c r="AB274" s="371"/>
      <c r="AC274" s="371">
        <v>20000</v>
      </c>
      <c r="AD274" s="371"/>
      <c r="AE274" s="371"/>
      <c r="AF274" s="385">
        <v>0</v>
      </c>
      <c r="AG274" s="371"/>
      <c r="AH274" s="371"/>
      <c r="AI274" s="387">
        <f t="shared" si="107"/>
        <v>0</v>
      </c>
      <c r="AJ274" s="496">
        <f t="shared" si="110"/>
        <v>0</v>
      </c>
      <c r="AK274" s="393">
        <f t="shared" si="111"/>
        <v>38400</v>
      </c>
      <c r="AL274" s="393">
        <f t="shared" si="112"/>
        <v>0</v>
      </c>
      <c r="AM274" s="393">
        <f t="shared" si="113"/>
        <v>0</v>
      </c>
      <c r="AN274" s="393">
        <f t="shared" si="114"/>
        <v>0</v>
      </c>
      <c r="AO274" s="393">
        <f t="shared" si="115"/>
        <v>0</v>
      </c>
    </row>
    <row r="275" spans="1:41" s="393" customFormat="1" ht="14.25">
      <c r="A275" s="397" t="s">
        <v>1825</v>
      </c>
      <c r="B275" s="394" t="s">
        <v>1856</v>
      </c>
      <c r="C275" s="497" t="s">
        <v>1865</v>
      </c>
      <c r="D275" s="396">
        <v>4</v>
      </c>
      <c r="E275" s="385">
        <f t="shared" si="109"/>
        <v>10900</v>
      </c>
      <c r="F275" s="368">
        <v>10900</v>
      </c>
      <c r="G275" s="368"/>
      <c r="H275" s="385">
        <v>4300</v>
      </c>
      <c r="I275" s="371"/>
      <c r="J275" s="371"/>
      <c r="K275" s="371"/>
      <c r="L275" s="371"/>
      <c r="M275" s="371">
        <v>2510</v>
      </c>
      <c r="N275" s="371">
        <v>1790</v>
      </c>
      <c r="O275" s="370"/>
      <c r="P275" s="386">
        <v>6600</v>
      </c>
      <c r="Q275" s="371">
        <v>310</v>
      </c>
      <c r="R275" s="371"/>
      <c r="S275" s="371"/>
      <c r="T275" s="371">
        <v>1120</v>
      </c>
      <c r="U275" s="371"/>
      <c r="V275" s="371">
        <v>1370</v>
      </c>
      <c r="W275" s="371">
        <v>1370</v>
      </c>
      <c r="X275" s="371">
        <v>2280</v>
      </c>
      <c r="Y275" s="371"/>
      <c r="Z275" s="371"/>
      <c r="AA275" s="371">
        <v>150</v>
      </c>
      <c r="AB275" s="371"/>
      <c r="AC275" s="371"/>
      <c r="AD275" s="371"/>
      <c r="AE275" s="371"/>
      <c r="AF275" s="385">
        <v>0</v>
      </c>
      <c r="AG275" s="371"/>
      <c r="AH275" s="371"/>
      <c r="AI275" s="387">
        <f t="shared" si="107"/>
        <v>0</v>
      </c>
      <c r="AJ275" s="496">
        <f t="shared" si="110"/>
        <v>0</v>
      </c>
      <c r="AK275" s="393">
        <f t="shared" si="111"/>
        <v>10900</v>
      </c>
      <c r="AL275" s="393">
        <f t="shared" si="112"/>
        <v>0</v>
      </c>
      <c r="AM275" s="393">
        <f t="shared" si="113"/>
        <v>0</v>
      </c>
      <c r="AN275" s="393">
        <f t="shared" si="114"/>
        <v>0</v>
      </c>
      <c r="AO275" s="393">
        <f t="shared" si="115"/>
        <v>0</v>
      </c>
    </row>
    <row r="276" spans="1:41" s="393" customFormat="1" ht="14.25">
      <c r="A276" s="397" t="s">
        <v>1825</v>
      </c>
      <c r="B276" s="394" t="s">
        <v>1856</v>
      </c>
      <c r="C276" s="497" t="s">
        <v>1866</v>
      </c>
      <c r="D276" s="396">
        <v>4</v>
      </c>
      <c r="E276" s="385">
        <f t="shared" si="109"/>
        <v>110580</v>
      </c>
      <c r="F276" s="368"/>
      <c r="G276" s="368">
        <v>110580</v>
      </c>
      <c r="H276" s="385">
        <v>0</v>
      </c>
      <c r="I276" s="371"/>
      <c r="J276" s="371"/>
      <c r="K276" s="371"/>
      <c r="L276" s="371"/>
      <c r="M276" s="371"/>
      <c r="N276" s="371"/>
      <c r="O276" s="370"/>
      <c r="P276" s="386">
        <v>110580</v>
      </c>
      <c r="Q276" s="371"/>
      <c r="R276" s="371"/>
      <c r="S276" s="371"/>
      <c r="T276" s="371">
        <v>110580</v>
      </c>
      <c r="U276" s="371"/>
      <c r="V276" s="371"/>
      <c r="W276" s="371"/>
      <c r="X276" s="371"/>
      <c r="Y276" s="371"/>
      <c r="Z276" s="371"/>
      <c r="AA276" s="371"/>
      <c r="AB276" s="371"/>
      <c r="AC276" s="371"/>
      <c r="AD276" s="371"/>
      <c r="AE276" s="371"/>
      <c r="AF276" s="385">
        <v>0</v>
      </c>
      <c r="AG276" s="371"/>
      <c r="AH276" s="371"/>
      <c r="AI276" s="387">
        <f t="shared" si="107"/>
        <v>0</v>
      </c>
      <c r="AJ276" s="496">
        <f t="shared" si="110"/>
        <v>0</v>
      </c>
      <c r="AK276" s="393">
        <f t="shared" si="111"/>
        <v>110580</v>
      </c>
      <c r="AL276" s="393">
        <f t="shared" si="112"/>
        <v>0</v>
      </c>
      <c r="AM276" s="393">
        <f t="shared" si="113"/>
        <v>0</v>
      </c>
      <c r="AN276" s="393">
        <f t="shared" si="114"/>
        <v>0</v>
      </c>
      <c r="AO276" s="393">
        <f t="shared" si="115"/>
        <v>0</v>
      </c>
    </row>
    <row r="277" spans="1:41" s="393" customFormat="1" ht="14.25">
      <c r="A277" s="397" t="s">
        <v>1825</v>
      </c>
      <c r="B277" s="394" t="s">
        <v>1856</v>
      </c>
      <c r="C277" s="497" t="s">
        <v>1867</v>
      </c>
      <c r="D277" s="396">
        <v>4</v>
      </c>
      <c r="E277" s="385">
        <f t="shared" si="109"/>
        <v>3400</v>
      </c>
      <c r="F277" s="368">
        <v>2500</v>
      </c>
      <c r="G277" s="368">
        <v>900</v>
      </c>
      <c r="H277" s="385">
        <v>1554</v>
      </c>
      <c r="I277" s="371">
        <v>311</v>
      </c>
      <c r="J277" s="371"/>
      <c r="K277" s="371">
        <v>311</v>
      </c>
      <c r="L277" s="371">
        <v>311</v>
      </c>
      <c r="M277" s="371">
        <v>311</v>
      </c>
      <c r="N277" s="371">
        <v>310</v>
      </c>
      <c r="O277" s="370"/>
      <c r="P277" s="386">
        <v>1846</v>
      </c>
      <c r="Q277" s="371">
        <v>264</v>
      </c>
      <c r="R277" s="371">
        <v>264</v>
      </c>
      <c r="S277" s="371">
        <v>264</v>
      </c>
      <c r="T277" s="371"/>
      <c r="U277" s="371">
        <v>264</v>
      </c>
      <c r="V277" s="371"/>
      <c r="W277" s="371">
        <v>264</v>
      </c>
      <c r="X277" s="371">
        <v>263</v>
      </c>
      <c r="Y277" s="371"/>
      <c r="Z277" s="371"/>
      <c r="AA277" s="371"/>
      <c r="AB277" s="371">
        <v>263</v>
      </c>
      <c r="AC277" s="371"/>
      <c r="AD277" s="371"/>
      <c r="AE277" s="371"/>
      <c r="AF277" s="385">
        <v>0</v>
      </c>
      <c r="AG277" s="371"/>
      <c r="AH277" s="371"/>
      <c r="AI277" s="387">
        <f t="shared" si="107"/>
        <v>0</v>
      </c>
      <c r="AJ277" s="496">
        <f t="shared" si="110"/>
        <v>0</v>
      </c>
      <c r="AK277" s="393">
        <f t="shared" si="111"/>
        <v>3400</v>
      </c>
      <c r="AL277" s="393">
        <f t="shared" si="112"/>
        <v>0</v>
      </c>
      <c r="AM277" s="393">
        <f t="shared" si="113"/>
        <v>0</v>
      </c>
      <c r="AN277" s="393">
        <f t="shared" si="114"/>
        <v>0</v>
      </c>
      <c r="AO277" s="393">
        <f t="shared" si="115"/>
        <v>0</v>
      </c>
    </row>
    <row r="278" spans="1:41" s="410" customFormat="1" ht="21.6" customHeight="1">
      <c r="A278" s="405" t="s">
        <v>1261</v>
      </c>
      <c r="B278" s="406"/>
      <c r="C278" s="407" t="s">
        <v>1169</v>
      </c>
      <c r="D278" s="408"/>
      <c r="E278" s="409">
        <f t="shared" ref="E278:AH278" si="116">SUM(E279:E289)</f>
        <v>128487</v>
      </c>
      <c r="F278" s="409">
        <f t="shared" si="116"/>
        <v>127075</v>
      </c>
      <c r="G278" s="409">
        <f t="shared" si="116"/>
        <v>1412</v>
      </c>
      <c r="H278" s="409">
        <f t="shared" si="116"/>
        <v>36953</v>
      </c>
      <c r="I278" s="409">
        <f t="shared" si="116"/>
        <v>4555</v>
      </c>
      <c r="J278" s="409">
        <f t="shared" si="116"/>
        <v>0</v>
      </c>
      <c r="K278" s="409">
        <f t="shared" si="116"/>
        <v>6810</v>
      </c>
      <c r="L278" s="409">
        <f t="shared" si="116"/>
        <v>6636</v>
      </c>
      <c r="M278" s="409">
        <f t="shared" si="116"/>
        <v>8271</v>
      </c>
      <c r="N278" s="409">
        <f t="shared" si="116"/>
        <v>10681</v>
      </c>
      <c r="O278" s="409">
        <f t="shared" si="116"/>
        <v>0</v>
      </c>
      <c r="P278" s="409">
        <f t="shared" si="116"/>
        <v>87353</v>
      </c>
      <c r="Q278" s="409">
        <f t="shared" si="116"/>
        <v>4113</v>
      </c>
      <c r="R278" s="409">
        <f t="shared" si="116"/>
        <v>4297</v>
      </c>
      <c r="S278" s="409">
        <f t="shared" si="116"/>
        <v>4287</v>
      </c>
      <c r="T278" s="409">
        <f t="shared" si="116"/>
        <v>8785</v>
      </c>
      <c r="U278" s="409">
        <f t="shared" si="116"/>
        <v>4655</v>
      </c>
      <c r="V278" s="409">
        <f t="shared" si="116"/>
        <v>8425</v>
      </c>
      <c r="W278" s="409">
        <f t="shared" si="116"/>
        <v>5040</v>
      </c>
      <c r="X278" s="409">
        <f t="shared" si="116"/>
        <v>7141</v>
      </c>
      <c r="Y278" s="409">
        <f t="shared" si="116"/>
        <v>3954</v>
      </c>
      <c r="Z278" s="409">
        <f t="shared" si="116"/>
        <v>4268</v>
      </c>
      <c r="AA278" s="409">
        <f t="shared" si="116"/>
        <v>2641</v>
      </c>
      <c r="AB278" s="409">
        <f t="shared" si="116"/>
        <v>1129</v>
      </c>
      <c r="AC278" s="409">
        <f t="shared" si="116"/>
        <v>1478</v>
      </c>
      <c r="AD278" s="409">
        <f t="shared" si="116"/>
        <v>2712</v>
      </c>
      <c r="AE278" s="409">
        <f t="shared" si="116"/>
        <v>24428</v>
      </c>
      <c r="AF278" s="409">
        <f t="shared" si="116"/>
        <v>4181</v>
      </c>
      <c r="AG278" s="409">
        <f t="shared" si="116"/>
        <v>3666</v>
      </c>
      <c r="AH278" s="409">
        <f t="shared" si="116"/>
        <v>515</v>
      </c>
      <c r="AI278" s="387">
        <f t="shared" si="107"/>
        <v>0</v>
      </c>
      <c r="AJ278" s="496"/>
    </row>
    <row r="279" spans="1:41" s="393" customFormat="1" ht="14.25">
      <c r="A279" s="397" t="s">
        <v>1825</v>
      </c>
      <c r="B279" s="394" t="s">
        <v>1868</v>
      </c>
      <c r="C279" s="497" t="s">
        <v>1869</v>
      </c>
      <c r="D279" s="396">
        <v>4</v>
      </c>
      <c r="E279" s="385">
        <f t="shared" ref="E279:E289" si="117">SUM(H279,P279,AF279)</f>
        <v>6541</v>
      </c>
      <c r="F279" s="368">
        <v>6241</v>
      </c>
      <c r="G279" s="368">
        <v>300</v>
      </c>
      <c r="H279" s="385">
        <f t="shared" ref="H279:H289" si="118">SUM(I279:O279)</f>
        <v>1724</v>
      </c>
      <c r="I279" s="371">
        <v>245</v>
      </c>
      <c r="J279" s="371">
        <v>0</v>
      </c>
      <c r="K279" s="371">
        <v>271</v>
      </c>
      <c r="L279" s="371">
        <v>347</v>
      </c>
      <c r="M279" s="371">
        <v>450</v>
      </c>
      <c r="N279" s="371">
        <v>411</v>
      </c>
      <c r="O279" s="370">
        <v>0</v>
      </c>
      <c r="P279" s="386">
        <f t="shared" ref="P279:P289" si="119">SUM(Q279:AE279)</f>
        <v>4548</v>
      </c>
      <c r="Q279" s="371">
        <v>280</v>
      </c>
      <c r="R279" s="371">
        <v>400</v>
      </c>
      <c r="S279" s="371">
        <v>290</v>
      </c>
      <c r="T279" s="371">
        <v>448</v>
      </c>
      <c r="U279" s="371">
        <v>465</v>
      </c>
      <c r="V279" s="371">
        <v>520</v>
      </c>
      <c r="W279" s="371">
        <v>503</v>
      </c>
      <c r="X279" s="371">
        <v>523</v>
      </c>
      <c r="Y279" s="371">
        <v>323</v>
      </c>
      <c r="Z279" s="371">
        <v>323</v>
      </c>
      <c r="AA279" s="371">
        <v>263</v>
      </c>
      <c r="AB279" s="371">
        <v>68</v>
      </c>
      <c r="AC279" s="371">
        <v>101</v>
      </c>
      <c r="AD279" s="371">
        <v>41</v>
      </c>
      <c r="AE279" s="371">
        <v>0</v>
      </c>
      <c r="AF279" s="385">
        <f t="shared" ref="AF279:AF289" si="120">SUM(AG279:AH279)</f>
        <v>269</v>
      </c>
      <c r="AG279" s="371">
        <v>245</v>
      </c>
      <c r="AH279" s="371">
        <v>24</v>
      </c>
      <c r="AI279" s="387">
        <f t="shared" si="107"/>
        <v>0</v>
      </c>
      <c r="AJ279" s="496">
        <f t="shared" ref="AJ279:AJ289" si="121">+O279+AE279</f>
        <v>0</v>
      </c>
      <c r="AK279" s="393">
        <f t="shared" ref="AK279:AK289" si="122">SUM(AG279:AH279)+SUM(Q279:AD279)+SUM(I279:N279)</f>
        <v>6541</v>
      </c>
      <c r="AL279" s="393">
        <f t="shared" ref="AL279:AL289" si="123">SUM(I279:O279)-H279</f>
        <v>0</v>
      </c>
      <c r="AM279" s="393">
        <f t="shared" ref="AM279:AM289" si="124">SUM(Q279:AE279)-P279</f>
        <v>0</v>
      </c>
      <c r="AN279" s="393">
        <f t="shared" ref="AN279:AN289" si="125">SUM(AG279:AH279)-AF279</f>
        <v>0</v>
      </c>
      <c r="AO279" s="393">
        <f t="shared" ref="AO279:AO289" si="126">IF(+AJ279+AK279=E279,0,FALSE)</f>
        <v>0</v>
      </c>
    </row>
    <row r="280" spans="1:41" s="393" customFormat="1" ht="14.25">
      <c r="A280" s="397" t="s">
        <v>1825</v>
      </c>
      <c r="B280" s="394" t="s">
        <v>1868</v>
      </c>
      <c r="C280" s="497" t="s">
        <v>1870</v>
      </c>
      <c r="D280" s="396">
        <v>4</v>
      </c>
      <c r="E280" s="385">
        <f t="shared" si="117"/>
        <v>3321</v>
      </c>
      <c r="F280" s="368">
        <v>3321</v>
      </c>
      <c r="G280" s="368">
        <v>0</v>
      </c>
      <c r="H280" s="385">
        <f t="shared" si="118"/>
        <v>831</v>
      </c>
      <c r="I280" s="371">
        <v>103</v>
      </c>
      <c r="J280" s="371">
        <v>0</v>
      </c>
      <c r="K280" s="371">
        <v>151</v>
      </c>
      <c r="L280" s="371">
        <v>193</v>
      </c>
      <c r="M280" s="371">
        <v>193</v>
      </c>
      <c r="N280" s="371">
        <v>191</v>
      </c>
      <c r="O280" s="370">
        <v>0</v>
      </c>
      <c r="P280" s="386">
        <f t="shared" si="119"/>
        <v>2273</v>
      </c>
      <c r="Q280" s="371">
        <v>181</v>
      </c>
      <c r="R280" s="371">
        <v>181</v>
      </c>
      <c r="S280" s="371">
        <v>170</v>
      </c>
      <c r="T280" s="371">
        <v>170</v>
      </c>
      <c r="U280" s="371">
        <v>176</v>
      </c>
      <c r="V280" s="371">
        <v>170</v>
      </c>
      <c r="W280" s="371">
        <v>181</v>
      </c>
      <c r="X280" s="371">
        <v>170</v>
      </c>
      <c r="Y280" s="371">
        <v>153</v>
      </c>
      <c r="Z280" s="371">
        <v>181</v>
      </c>
      <c r="AA280" s="371">
        <v>135</v>
      </c>
      <c r="AB280" s="371">
        <v>135</v>
      </c>
      <c r="AC280" s="371">
        <v>135</v>
      </c>
      <c r="AD280" s="371">
        <v>135</v>
      </c>
      <c r="AE280" s="371">
        <v>0</v>
      </c>
      <c r="AF280" s="385">
        <f t="shared" si="120"/>
        <v>217</v>
      </c>
      <c r="AG280" s="371">
        <v>153</v>
      </c>
      <c r="AH280" s="371">
        <v>64</v>
      </c>
      <c r="AI280" s="387">
        <f t="shared" si="107"/>
        <v>0</v>
      </c>
      <c r="AJ280" s="496">
        <f t="shared" si="121"/>
        <v>0</v>
      </c>
      <c r="AK280" s="393">
        <f t="shared" si="122"/>
        <v>3321</v>
      </c>
      <c r="AL280" s="393">
        <f t="shared" si="123"/>
        <v>0</v>
      </c>
      <c r="AM280" s="393">
        <f t="shared" si="124"/>
        <v>0</v>
      </c>
      <c r="AN280" s="393">
        <f t="shared" si="125"/>
        <v>0</v>
      </c>
      <c r="AO280" s="393">
        <f t="shared" si="126"/>
        <v>0</v>
      </c>
    </row>
    <row r="281" spans="1:41" s="393" customFormat="1" ht="14.25">
      <c r="A281" s="397" t="s">
        <v>1825</v>
      </c>
      <c r="B281" s="394" t="s">
        <v>1868</v>
      </c>
      <c r="C281" s="497" t="s">
        <v>1871</v>
      </c>
      <c r="D281" s="396">
        <v>4</v>
      </c>
      <c r="E281" s="385">
        <f t="shared" si="117"/>
        <v>116</v>
      </c>
      <c r="F281" s="368">
        <v>116</v>
      </c>
      <c r="G281" s="368">
        <v>0</v>
      </c>
      <c r="H281" s="385">
        <f t="shared" si="118"/>
        <v>78</v>
      </c>
      <c r="I281" s="371">
        <v>0</v>
      </c>
      <c r="J281" s="371">
        <v>0</v>
      </c>
      <c r="K281" s="371">
        <v>0</v>
      </c>
      <c r="L281" s="371">
        <v>39</v>
      </c>
      <c r="M281" s="371">
        <v>0</v>
      </c>
      <c r="N281" s="371">
        <v>39</v>
      </c>
      <c r="O281" s="370">
        <v>0</v>
      </c>
      <c r="P281" s="386">
        <f t="shared" si="119"/>
        <v>38</v>
      </c>
      <c r="Q281" s="371">
        <v>0</v>
      </c>
      <c r="R281" s="371">
        <v>0</v>
      </c>
      <c r="S281" s="371">
        <v>0</v>
      </c>
      <c r="T281" s="371">
        <v>0</v>
      </c>
      <c r="U281" s="371">
        <v>0</v>
      </c>
      <c r="V281" s="371">
        <v>0</v>
      </c>
      <c r="W281" s="371">
        <v>0</v>
      </c>
      <c r="X281" s="371">
        <v>0</v>
      </c>
      <c r="Y281" s="371">
        <v>0</v>
      </c>
      <c r="Z281" s="371">
        <v>38</v>
      </c>
      <c r="AA281" s="371">
        <v>0</v>
      </c>
      <c r="AB281" s="371">
        <v>0</v>
      </c>
      <c r="AC281" s="371">
        <v>0</v>
      </c>
      <c r="AD281" s="371">
        <v>0</v>
      </c>
      <c r="AE281" s="371">
        <v>0</v>
      </c>
      <c r="AF281" s="385">
        <f t="shared" si="120"/>
        <v>0</v>
      </c>
      <c r="AG281" s="371">
        <v>0</v>
      </c>
      <c r="AH281" s="371">
        <v>0</v>
      </c>
      <c r="AI281" s="387">
        <f t="shared" si="107"/>
        <v>0</v>
      </c>
      <c r="AJ281" s="496">
        <f t="shared" si="121"/>
        <v>0</v>
      </c>
      <c r="AK281" s="393">
        <f t="shared" si="122"/>
        <v>116</v>
      </c>
      <c r="AL281" s="393">
        <f t="shared" si="123"/>
        <v>0</v>
      </c>
      <c r="AM281" s="393">
        <f t="shared" si="124"/>
        <v>0</v>
      </c>
      <c r="AN281" s="393">
        <f t="shared" si="125"/>
        <v>0</v>
      </c>
      <c r="AO281" s="393">
        <f t="shared" si="126"/>
        <v>0</v>
      </c>
    </row>
    <row r="282" spans="1:41" s="393" customFormat="1" ht="14.25">
      <c r="A282" s="397" t="s">
        <v>1825</v>
      </c>
      <c r="B282" s="394" t="s">
        <v>1868</v>
      </c>
      <c r="C282" s="497" t="s">
        <v>1872</v>
      </c>
      <c r="D282" s="396">
        <v>4</v>
      </c>
      <c r="E282" s="385">
        <f t="shared" si="117"/>
        <v>1372</v>
      </c>
      <c r="F282" s="368">
        <v>1372</v>
      </c>
      <c r="G282" s="368">
        <v>0</v>
      </c>
      <c r="H282" s="385">
        <f t="shared" si="118"/>
        <v>378</v>
      </c>
      <c r="I282" s="371">
        <v>57</v>
      </c>
      <c r="J282" s="371">
        <v>0</v>
      </c>
      <c r="K282" s="371">
        <v>57</v>
      </c>
      <c r="L282" s="371">
        <v>80</v>
      </c>
      <c r="M282" s="371">
        <v>94</v>
      </c>
      <c r="N282" s="371">
        <v>90</v>
      </c>
      <c r="O282" s="370">
        <v>0</v>
      </c>
      <c r="P282" s="386">
        <f t="shared" si="119"/>
        <v>959</v>
      </c>
      <c r="Q282" s="371">
        <v>60</v>
      </c>
      <c r="R282" s="371">
        <v>65</v>
      </c>
      <c r="S282" s="371">
        <v>62</v>
      </c>
      <c r="T282" s="371">
        <v>76</v>
      </c>
      <c r="U282" s="371">
        <v>68</v>
      </c>
      <c r="V282" s="371">
        <v>72</v>
      </c>
      <c r="W282" s="371">
        <v>76</v>
      </c>
      <c r="X282" s="371">
        <v>76</v>
      </c>
      <c r="Y282" s="371">
        <v>60</v>
      </c>
      <c r="Z282" s="371">
        <v>60</v>
      </c>
      <c r="AA282" s="371">
        <v>23</v>
      </c>
      <c r="AB282" s="371">
        <v>13</v>
      </c>
      <c r="AC282" s="371">
        <v>23</v>
      </c>
      <c r="AD282" s="371">
        <v>16</v>
      </c>
      <c r="AE282" s="371">
        <v>209</v>
      </c>
      <c r="AF282" s="385">
        <f t="shared" si="120"/>
        <v>35</v>
      </c>
      <c r="AG282" s="371">
        <v>35</v>
      </c>
      <c r="AH282" s="371">
        <v>0</v>
      </c>
      <c r="AI282" s="387">
        <f t="shared" si="107"/>
        <v>0</v>
      </c>
      <c r="AJ282" s="573">
        <f t="shared" si="121"/>
        <v>209</v>
      </c>
      <c r="AK282" s="393">
        <f t="shared" si="122"/>
        <v>1163</v>
      </c>
      <c r="AL282" s="393">
        <f t="shared" si="123"/>
        <v>0</v>
      </c>
      <c r="AM282" s="393">
        <f t="shared" si="124"/>
        <v>0</v>
      </c>
      <c r="AN282" s="393">
        <f t="shared" si="125"/>
        <v>0</v>
      </c>
      <c r="AO282" s="393">
        <f t="shared" si="126"/>
        <v>0</v>
      </c>
    </row>
    <row r="283" spans="1:41" s="393" customFormat="1" ht="14.25">
      <c r="A283" s="397" t="s">
        <v>1825</v>
      </c>
      <c r="B283" s="394" t="s">
        <v>1868</v>
      </c>
      <c r="C283" s="497" t="s">
        <v>1873</v>
      </c>
      <c r="D283" s="396">
        <v>4</v>
      </c>
      <c r="E283" s="385">
        <f t="shared" si="117"/>
        <v>29366</v>
      </c>
      <c r="F283" s="368">
        <v>28710</v>
      </c>
      <c r="G283" s="368">
        <v>656</v>
      </c>
      <c r="H283" s="385">
        <f t="shared" si="118"/>
        <v>12628</v>
      </c>
      <c r="I283" s="371">
        <v>1232</v>
      </c>
      <c r="J283" s="371">
        <v>0</v>
      </c>
      <c r="K283" s="371">
        <v>1262</v>
      </c>
      <c r="L283" s="371">
        <v>2489</v>
      </c>
      <c r="M283" s="371">
        <v>2576</v>
      </c>
      <c r="N283" s="371">
        <v>5069</v>
      </c>
      <c r="O283" s="370">
        <v>0</v>
      </c>
      <c r="P283" s="386">
        <f t="shared" si="119"/>
        <v>15675</v>
      </c>
      <c r="Q283" s="371">
        <v>1284</v>
      </c>
      <c r="R283" s="371">
        <v>1195</v>
      </c>
      <c r="S283" s="371">
        <v>1280</v>
      </c>
      <c r="T283" s="371">
        <v>1344</v>
      </c>
      <c r="U283" s="371">
        <v>1282</v>
      </c>
      <c r="V283" s="371">
        <v>1336</v>
      </c>
      <c r="W283" s="371">
        <v>1294</v>
      </c>
      <c r="X283" s="371">
        <v>1314</v>
      </c>
      <c r="Y283" s="371">
        <v>1342</v>
      </c>
      <c r="Z283" s="371">
        <v>1368</v>
      </c>
      <c r="AA283" s="371">
        <v>1353</v>
      </c>
      <c r="AB283" s="371">
        <v>16</v>
      </c>
      <c r="AC283" s="371">
        <v>20</v>
      </c>
      <c r="AD283" s="371">
        <v>1247</v>
      </c>
      <c r="AE283" s="371">
        <v>0</v>
      </c>
      <c r="AF283" s="385">
        <f t="shared" si="120"/>
        <v>1063</v>
      </c>
      <c r="AG283" s="371">
        <v>1061</v>
      </c>
      <c r="AH283" s="371">
        <v>2</v>
      </c>
      <c r="AI283" s="387">
        <f t="shared" si="107"/>
        <v>0</v>
      </c>
      <c r="AJ283" s="496">
        <f t="shared" si="121"/>
        <v>0</v>
      </c>
      <c r="AK283" s="393">
        <f t="shared" si="122"/>
        <v>29366</v>
      </c>
      <c r="AL283" s="393">
        <f t="shared" si="123"/>
        <v>0</v>
      </c>
      <c r="AM283" s="393">
        <f t="shared" si="124"/>
        <v>0</v>
      </c>
      <c r="AN283" s="393">
        <f t="shared" si="125"/>
        <v>0</v>
      </c>
      <c r="AO283" s="393">
        <f t="shared" si="126"/>
        <v>0</v>
      </c>
    </row>
    <row r="284" spans="1:41" s="393" customFormat="1" ht="14.25">
      <c r="A284" s="397" t="s">
        <v>1825</v>
      </c>
      <c r="B284" s="394" t="s">
        <v>1868</v>
      </c>
      <c r="C284" s="497" t="s">
        <v>1874</v>
      </c>
      <c r="D284" s="396">
        <v>4</v>
      </c>
      <c r="E284" s="385">
        <f t="shared" si="117"/>
        <v>3639</v>
      </c>
      <c r="F284" s="368">
        <v>3639</v>
      </c>
      <c r="G284" s="368">
        <v>0</v>
      </c>
      <c r="H284" s="385">
        <f t="shared" si="118"/>
        <v>2730</v>
      </c>
      <c r="I284" s="371">
        <v>500</v>
      </c>
      <c r="J284" s="371"/>
      <c r="K284" s="371">
        <v>2230</v>
      </c>
      <c r="L284" s="371"/>
      <c r="M284" s="371"/>
      <c r="N284" s="371"/>
      <c r="O284" s="370"/>
      <c r="P284" s="386">
        <f t="shared" si="119"/>
        <v>509</v>
      </c>
      <c r="Q284" s="371">
        <v>59</v>
      </c>
      <c r="R284" s="371">
        <v>300</v>
      </c>
      <c r="S284" s="371">
        <v>100</v>
      </c>
      <c r="T284" s="371"/>
      <c r="U284" s="371"/>
      <c r="V284" s="371"/>
      <c r="W284" s="371">
        <v>50</v>
      </c>
      <c r="X284" s="371"/>
      <c r="Y284" s="371"/>
      <c r="Z284" s="371"/>
      <c r="AA284" s="371"/>
      <c r="AB284" s="371"/>
      <c r="AC284" s="371"/>
      <c r="AD284" s="371"/>
      <c r="AE284" s="371"/>
      <c r="AF284" s="385">
        <f t="shared" si="120"/>
        <v>400</v>
      </c>
      <c r="AG284" s="371">
        <v>400</v>
      </c>
      <c r="AH284" s="371"/>
      <c r="AI284" s="387">
        <f t="shared" si="107"/>
        <v>0</v>
      </c>
      <c r="AJ284" s="496">
        <f t="shared" si="121"/>
        <v>0</v>
      </c>
      <c r="AK284" s="393">
        <f t="shared" si="122"/>
        <v>3639</v>
      </c>
      <c r="AL284" s="393">
        <f t="shared" si="123"/>
        <v>0</v>
      </c>
      <c r="AM284" s="393">
        <f t="shared" si="124"/>
        <v>0</v>
      </c>
      <c r="AN284" s="393">
        <f t="shared" si="125"/>
        <v>0</v>
      </c>
      <c r="AO284" s="393">
        <f t="shared" si="126"/>
        <v>0</v>
      </c>
    </row>
    <row r="285" spans="1:41" s="393" customFormat="1" ht="14.25">
      <c r="A285" s="397" t="s">
        <v>1825</v>
      </c>
      <c r="B285" s="394" t="s">
        <v>1868</v>
      </c>
      <c r="C285" s="497" t="s">
        <v>1875</v>
      </c>
      <c r="D285" s="396">
        <v>4</v>
      </c>
      <c r="E285" s="385">
        <f t="shared" si="117"/>
        <v>9021</v>
      </c>
      <c r="F285" s="368">
        <v>9021</v>
      </c>
      <c r="G285" s="368">
        <v>0</v>
      </c>
      <c r="H285" s="385">
        <f t="shared" si="118"/>
        <v>2750</v>
      </c>
      <c r="I285" s="371">
        <v>250</v>
      </c>
      <c r="J285" s="371"/>
      <c r="K285" s="371">
        <v>450</v>
      </c>
      <c r="L285" s="371">
        <v>500</v>
      </c>
      <c r="M285" s="371">
        <v>500</v>
      </c>
      <c r="N285" s="371">
        <v>1050</v>
      </c>
      <c r="O285" s="370"/>
      <c r="P285" s="386">
        <f t="shared" si="119"/>
        <v>6021</v>
      </c>
      <c r="Q285" s="371">
        <v>450</v>
      </c>
      <c r="R285" s="371">
        <v>220</v>
      </c>
      <c r="S285" s="371">
        <v>480</v>
      </c>
      <c r="T285" s="371">
        <v>863</v>
      </c>
      <c r="U285" s="371">
        <v>580</v>
      </c>
      <c r="V285" s="371">
        <v>908</v>
      </c>
      <c r="W285" s="371">
        <v>500</v>
      </c>
      <c r="X285" s="371">
        <v>580</v>
      </c>
      <c r="Y285" s="371">
        <v>450</v>
      </c>
      <c r="Z285" s="371">
        <v>480</v>
      </c>
      <c r="AA285" s="371">
        <v>90</v>
      </c>
      <c r="AB285" s="371">
        <v>70</v>
      </c>
      <c r="AC285" s="371">
        <v>180</v>
      </c>
      <c r="AD285" s="371">
        <v>170</v>
      </c>
      <c r="AE285" s="371"/>
      <c r="AF285" s="385">
        <f t="shared" si="120"/>
        <v>250</v>
      </c>
      <c r="AG285" s="371">
        <v>150</v>
      </c>
      <c r="AH285" s="371">
        <v>100</v>
      </c>
      <c r="AI285" s="387">
        <f t="shared" si="107"/>
        <v>0</v>
      </c>
      <c r="AJ285" s="496">
        <f t="shared" si="121"/>
        <v>0</v>
      </c>
      <c r="AK285" s="393">
        <f t="shared" si="122"/>
        <v>9021</v>
      </c>
      <c r="AL285" s="393">
        <f t="shared" si="123"/>
        <v>0</v>
      </c>
      <c r="AM285" s="393">
        <f t="shared" si="124"/>
        <v>0</v>
      </c>
      <c r="AN285" s="393">
        <f t="shared" si="125"/>
        <v>0</v>
      </c>
      <c r="AO285" s="393">
        <f t="shared" si="126"/>
        <v>0</v>
      </c>
    </row>
    <row r="286" spans="1:41" s="393" customFormat="1" ht="14.25">
      <c r="A286" s="397" t="s">
        <v>1825</v>
      </c>
      <c r="B286" s="394" t="s">
        <v>1868</v>
      </c>
      <c r="C286" s="497" t="s">
        <v>1876</v>
      </c>
      <c r="D286" s="396">
        <v>4</v>
      </c>
      <c r="E286" s="385">
        <f t="shared" si="117"/>
        <v>4076</v>
      </c>
      <c r="F286" s="368">
        <v>4076</v>
      </c>
      <c r="G286" s="368">
        <v>0</v>
      </c>
      <c r="H286" s="385">
        <f t="shared" si="118"/>
        <v>672</v>
      </c>
      <c r="I286" s="371"/>
      <c r="J286" s="371"/>
      <c r="K286" s="371"/>
      <c r="L286" s="371"/>
      <c r="M286" s="371">
        <v>647</v>
      </c>
      <c r="N286" s="371">
        <v>25</v>
      </c>
      <c r="O286" s="370"/>
      <c r="P286" s="386">
        <f t="shared" si="119"/>
        <v>3404</v>
      </c>
      <c r="Q286" s="371">
        <v>75</v>
      </c>
      <c r="R286" s="371">
        <v>80</v>
      </c>
      <c r="S286" s="371">
        <v>20</v>
      </c>
      <c r="T286" s="371">
        <v>60</v>
      </c>
      <c r="U286" s="371">
        <v>30</v>
      </c>
      <c r="V286" s="371">
        <v>1634</v>
      </c>
      <c r="W286" s="371">
        <v>30</v>
      </c>
      <c r="X286" s="371">
        <v>1435</v>
      </c>
      <c r="Y286" s="371">
        <v>30</v>
      </c>
      <c r="Z286" s="371"/>
      <c r="AA286" s="371"/>
      <c r="AB286" s="371"/>
      <c r="AC286" s="371"/>
      <c r="AD286" s="371">
        <v>10</v>
      </c>
      <c r="AE286" s="371"/>
      <c r="AF286" s="385">
        <f t="shared" si="120"/>
        <v>0</v>
      </c>
      <c r="AG286" s="371"/>
      <c r="AH286" s="371"/>
      <c r="AI286" s="387">
        <f t="shared" si="107"/>
        <v>0</v>
      </c>
      <c r="AJ286" s="496">
        <f t="shared" si="121"/>
        <v>0</v>
      </c>
      <c r="AK286" s="393">
        <f t="shared" si="122"/>
        <v>4076</v>
      </c>
      <c r="AL286" s="393">
        <f t="shared" si="123"/>
        <v>0</v>
      </c>
      <c r="AM286" s="393">
        <f t="shared" si="124"/>
        <v>0</v>
      </c>
      <c r="AN286" s="393">
        <f t="shared" si="125"/>
        <v>0</v>
      </c>
      <c r="AO286" s="393">
        <f t="shared" si="126"/>
        <v>0</v>
      </c>
    </row>
    <row r="287" spans="1:41" s="393" customFormat="1" ht="14.25">
      <c r="A287" s="397" t="s">
        <v>1825</v>
      </c>
      <c r="B287" s="394" t="s">
        <v>1868</v>
      </c>
      <c r="C287" s="497" t="s">
        <v>1877</v>
      </c>
      <c r="D287" s="396">
        <v>4</v>
      </c>
      <c r="E287" s="385">
        <f t="shared" si="117"/>
        <v>5090</v>
      </c>
      <c r="F287" s="368">
        <v>5090</v>
      </c>
      <c r="G287" s="368">
        <v>0</v>
      </c>
      <c r="H287" s="385">
        <f t="shared" si="118"/>
        <v>940</v>
      </c>
      <c r="I287" s="371">
        <v>188</v>
      </c>
      <c r="J287" s="371"/>
      <c r="K287" s="371">
        <v>188</v>
      </c>
      <c r="L287" s="371">
        <v>188</v>
      </c>
      <c r="M287" s="371">
        <v>188</v>
      </c>
      <c r="N287" s="371">
        <v>188</v>
      </c>
      <c r="O287" s="370"/>
      <c r="P287" s="386">
        <f t="shared" si="119"/>
        <v>3950</v>
      </c>
      <c r="Q287" s="371">
        <v>320</v>
      </c>
      <c r="R287" s="371">
        <v>305</v>
      </c>
      <c r="S287" s="371">
        <v>305</v>
      </c>
      <c r="T287" s="371">
        <v>355</v>
      </c>
      <c r="U287" s="371">
        <v>300</v>
      </c>
      <c r="V287" s="371">
        <v>300</v>
      </c>
      <c r="W287" s="371">
        <v>270</v>
      </c>
      <c r="X287" s="371">
        <v>305</v>
      </c>
      <c r="Y287" s="371">
        <v>270</v>
      </c>
      <c r="Z287" s="371">
        <v>270</v>
      </c>
      <c r="AA287" s="371">
        <v>200</v>
      </c>
      <c r="AB287" s="371">
        <v>250</v>
      </c>
      <c r="AC287" s="371">
        <v>300</v>
      </c>
      <c r="AD287" s="371">
        <v>200</v>
      </c>
      <c r="AE287" s="371"/>
      <c r="AF287" s="385">
        <f t="shared" si="120"/>
        <v>200</v>
      </c>
      <c r="AG287" s="371">
        <v>120</v>
      </c>
      <c r="AH287" s="371">
        <v>80</v>
      </c>
      <c r="AI287" s="387">
        <f t="shared" si="107"/>
        <v>0</v>
      </c>
      <c r="AJ287" s="496">
        <f t="shared" si="121"/>
        <v>0</v>
      </c>
      <c r="AK287" s="393">
        <f t="shared" si="122"/>
        <v>5090</v>
      </c>
      <c r="AL287" s="393">
        <f t="shared" si="123"/>
        <v>0</v>
      </c>
      <c r="AM287" s="393">
        <f t="shared" si="124"/>
        <v>0</v>
      </c>
      <c r="AN287" s="393">
        <f t="shared" si="125"/>
        <v>0</v>
      </c>
      <c r="AO287" s="393">
        <f t="shared" si="126"/>
        <v>0</v>
      </c>
    </row>
    <row r="288" spans="1:41" s="393" customFormat="1" ht="14.25">
      <c r="A288" s="397" t="s">
        <v>1825</v>
      </c>
      <c r="B288" s="394" t="s">
        <v>1868</v>
      </c>
      <c r="C288" s="497" t="s">
        <v>1878</v>
      </c>
      <c r="D288" s="396">
        <v>4</v>
      </c>
      <c r="E288" s="385">
        <f t="shared" si="117"/>
        <v>47335</v>
      </c>
      <c r="F288" s="368">
        <v>47335</v>
      </c>
      <c r="G288" s="368">
        <v>0</v>
      </c>
      <c r="H288" s="385">
        <f t="shared" si="118"/>
        <v>7834</v>
      </c>
      <c r="I288" s="371">
        <v>1054</v>
      </c>
      <c r="J288" s="371">
        <v>0</v>
      </c>
      <c r="K288" s="371">
        <v>1404</v>
      </c>
      <c r="L288" s="371">
        <v>1587</v>
      </c>
      <c r="M288" s="371">
        <v>1789</v>
      </c>
      <c r="N288" s="371">
        <v>2000</v>
      </c>
      <c r="O288" s="370">
        <v>0</v>
      </c>
      <c r="P288" s="386">
        <f t="shared" si="119"/>
        <v>38382</v>
      </c>
      <c r="Q288" s="371">
        <v>1054</v>
      </c>
      <c r="R288" s="371">
        <v>1054</v>
      </c>
      <c r="S288" s="371">
        <v>1054</v>
      </c>
      <c r="T288" s="371">
        <v>1696</v>
      </c>
      <c r="U288" s="371">
        <v>1054</v>
      </c>
      <c r="V288" s="371">
        <v>1776</v>
      </c>
      <c r="W288" s="371">
        <v>1416</v>
      </c>
      <c r="X288" s="371">
        <v>1426</v>
      </c>
      <c r="Y288" s="371">
        <v>798</v>
      </c>
      <c r="Z288" s="371">
        <v>1084</v>
      </c>
      <c r="AA288" s="371">
        <v>377</v>
      </c>
      <c r="AB288" s="371">
        <v>377</v>
      </c>
      <c r="AC288" s="371">
        <v>377</v>
      </c>
      <c r="AD288" s="371">
        <v>620</v>
      </c>
      <c r="AE288" s="371">
        <v>24219</v>
      </c>
      <c r="AF288" s="385">
        <f t="shared" si="120"/>
        <v>1119</v>
      </c>
      <c r="AG288" s="371">
        <v>1044</v>
      </c>
      <c r="AH288" s="371">
        <v>75</v>
      </c>
      <c r="AI288" s="387">
        <f t="shared" si="107"/>
        <v>0</v>
      </c>
      <c r="AJ288" s="496">
        <f t="shared" si="121"/>
        <v>24219</v>
      </c>
      <c r="AK288" s="393">
        <f t="shared" si="122"/>
        <v>23116</v>
      </c>
      <c r="AL288" s="393">
        <f t="shared" si="123"/>
        <v>0</v>
      </c>
      <c r="AM288" s="393">
        <f t="shared" si="124"/>
        <v>0</v>
      </c>
      <c r="AN288" s="393">
        <f t="shared" si="125"/>
        <v>0</v>
      </c>
      <c r="AO288" s="393">
        <f t="shared" si="126"/>
        <v>0</v>
      </c>
    </row>
    <row r="289" spans="1:41" s="393" customFormat="1" ht="14.25">
      <c r="A289" s="397" t="s">
        <v>1825</v>
      </c>
      <c r="B289" s="394" t="s">
        <v>1879</v>
      </c>
      <c r="C289" s="497" t="s">
        <v>1880</v>
      </c>
      <c r="D289" s="396">
        <v>4</v>
      </c>
      <c r="E289" s="385">
        <f t="shared" si="117"/>
        <v>18610</v>
      </c>
      <c r="F289" s="368">
        <v>18154</v>
      </c>
      <c r="G289" s="368">
        <v>456</v>
      </c>
      <c r="H289" s="385">
        <f t="shared" si="118"/>
        <v>6388</v>
      </c>
      <c r="I289" s="371">
        <v>926</v>
      </c>
      <c r="J289" s="371">
        <v>0</v>
      </c>
      <c r="K289" s="371">
        <v>797</v>
      </c>
      <c r="L289" s="371">
        <v>1213</v>
      </c>
      <c r="M289" s="371">
        <v>1834</v>
      </c>
      <c r="N289" s="371">
        <v>1618</v>
      </c>
      <c r="O289" s="370">
        <v>0</v>
      </c>
      <c r="P289" s="386">
        <f t="shared" si="119"/>
        <v>11594</v>
      </c>
      <c r="Q289" s="371">
        <v>350</v>
      </c>
      <c r="R289" s="371">
        <v>497</v>
      </c>
      <c r="S289" s="371">
        <v>526</v>
      </c>
      <c r="T289" s="371">
        <v>3773</v>
      </c>
      <c r="U289" s="371">
        <v>700</v>
      </c>
      <c r="V289" s="371">
        <v>1709</v>
      </c>
      <c r="W289" s="371">
        <v>720</v>
      </c>
      <c r="X289" s="371">
        <v>1312</v>
      </c>
      <c r="Y289" s="371">
        <v>528</v>
      </c>
      <c r="Z289" s="371">
        <v>464</v>
      </c>
      <c r="AA289" s="371">
        <v>200</v>
      </c>
      <c r="AB289" s="371">
        <v>200</v>
      </c>
      <c r="AC289" s="371">
        <v>342</v>
      </c>
      <c r="AD289" s="371">
        <v>273</v>
      </c>
      <c r="AE289" s="371">
        <v>0</v>
      </c>
      <c r="AF289" s="385">
        <f t="shared" si="120"/>
        <v>628</v>
      </c>
      <c r="AG289" s="371">
        <v>458</v>
      </c>
      <c r="AH289" s="371">
        <v>170</v>
      </c>
      <c r="AI289" s="387">
        <f t="shared" si="107"/>
        <v>0</v>
      </c>
      <c r="AJ289" s="496">
        <f t="shared" si="121"/>
        <v>0</v>
      </c>
      <c r="AK289" s="393">
        <f t="shared" si="122"/>
        <v>18610</v>
      </c>
      <c r="AL289" s="393">
        <f t="shared" si="123"/>
        <v>0</v>
      </c>
      <c r="AM289" s="393">
        <f t="shared" si="124"/>
        <v>0</v>
      </c>
      <c r="AN289" s="393">
        <f t="shared" si="125"/>
        <v>0</v>
      </c>
      <c r="AO289" s="393">
        <f t="shared" si="126"/>
        <v>0</v>
      </c>
    </row>
    <row r="290" spans="1:41" s="410" customFormat="1" ht="21.6" customHeight="1">
      <c r="A290" s="405" t="s">
        <v>1262</v>
      </c>
      <c r="B290" s="406"/>
      <c r="C290" s="407" t="s">
        <v>1169</v>
      </c>
      <c r="D290" s="408"/>
      <c r="E290" s="409">
        <f t="shared" ref="E290:AH290" si="127">SUM(E291:E303)</f>
        <v>1857633</v>
      </c>
      <c r="F290" s="409">
        <f t="shared" si="127"/>
        <v>172405</v>
      </c>
      <c r="G290" s="409">
        <f t="shared" si="127"/>
        <v>1685228</v>
      </c>
      <c r="H290" s="409">
        <f t="shared" si="127"/>
        <v>1792125</v>
      </c>
      <c r="I290" s="409">
        <f t="shared" si="127"/>
        <v>2332</v>
      </c>
      <c r="J290" s="409">
        <f t="shared" si="127"/>
        <v>0</v>
      </c>
      <c r="K290" s="409">
        <f t="shared" si="127"/>
        <v>3539</v>
      </c>
      <c r="L290" s="409">
        <f t="shared" si="127"/>
        <v>1637594</v>
      </c>
      <c r="M290" s="409">
        <f t="shared" si="127"/>
        <v>142753</v>
      </c>
      <c r="N290" s="409">
        <f t="shared" si="127"/>
        <v>4822</v>
      </c>
      <c r="O290" s="409">
        <f t="shared" si="127"/>
        <v>1085</v>
      </c>
      <c r="P290" s="409">
        <f t="shared" si="127"/>
        <v>64308</v>
      </c>
      <c r="Q290" s="409">
        <f t="shared" si="127"/>
        <v>2720</v>
      </c>
      <c r="R290" s="409">
        <f t="shared" si="127"/>
        <v>3208</v>
      </c>
      <c r="S290" s="409">
        <f t="shared" si="127"/>
        <v>3401</v>
      </c>
      <c r="T290" s="409">
        <f t="shared" si="127"/>
        <v>5124</v>
      </c>
      <c r="U290" s="409">
        <f t="shared" si="127"/>
        <v>4934</v>
      </c>
      <c r="V290" s="409">
        <f t="shared" si="127"/>
        <v>6603</v>
      </c>
      <c r="W290" s="409">
        <f t="shared" si="127"/>
        <v>5111</v>
      </c>
      <c r="X290" s="409">
        <f t="shared" si="127"/>
        <v>5546</v>
      </c>
      <c r="Y290" s="409">
        <f t="shared" si="127"/>
        <v>6467</v>
      </c>
      <c r="Z290" s="409">
        <f t="shared" si="127"/>
        <v>6349</v>
      </c>
      <c r="AA290" s="409">
        <f t="shared" si="127"/>
        <v>1115</v>
      </c>
      <c r="AB290" s="409">
        <f t="shared" si="127"/>
        <v>319</v>
      </c>
      <c r="AC290" s="409">
        <f t="shared" si="127"/>
        <v>401</v>
      </c>
      <c r="AD290" s="409">
        <f t="shared" si="127"/>
        <v>398</v>
      </c>
      <c r="AE290" s="409">
        <f t="shared" si="127"/>
        <v>12612</v>
      </c>
      <c r="AF290" s="409">
        <f t="shared" si="127"/>
        <v>1200</v>
      </c>
      <c r="AG290" s="409">
        <f t="shared" si="127"/>
        <v>1068</v>
      </c>
      <c r="AH290" s="409">
        <f t="shared" si="127"/>
        <v>132</v>
      </c>
      <c r="AI290" s="387">
        <f t="shared" si="107"/>
        <v>0</v>
      </c>
      <c r="AJ290" s="496"/>
    </row>
    <row r="291" spans="1:41" s="393" customFormat="1" ht="14.25">
      <c r="A291" s="397" t="s">
        <v>1825</v>
      </c>
      <c r="B291" s="394" t="s">
        <v>1881</v>
      </c>
      <c r="C291" s="946" t="s">
        <v>1882</v>
      </c>
      <c r="D291" s="396">
        <v>4</v>
      </c>
      <c r="E291" s="385">
        <f t="shared" ref="E291:E303" si="128">SUM(H291,P291,AF291)</f>
        <v>3392</v>
      </c>
      <c r="F291" s="371">
        <v>3392</v>
      </c>
      <c r="G291" s="371"/>
      <c r="H291" s="926">
        <f>SUM(I291:O291)</f>
        <v>1596</v>
      </c>
      <c r="I291" s="371"/>
      <c r="J291" s="371"/>
      <c r="K291" s="371">
        <v>399</v>
      </c>
      <c r="L291" s="371">
        <v>399</v>
      </c>
      <c r="M291" s="371">
        <v>399</v>
      </c>
      <c r="N291" s="371">
        <v>399</v>
      </c>
      <c r="O291" s="370"/>
      <c r="P291" s="928">
        <f>SUM(Q291:AE291)</f>
        <v>1796</v>
      </c>
      <c r="Q291" s="371">
        <v>100</v>
      </c>
      <c r="R291" s="371">
        <v>90</v>
      </c>
      <c r="S291" s="371">
        <v>111</v>
      </c>
      <c r="T291" s="371">
        <v>249</v>
      </c>
      <c r="U291" s="371">
        <v>249</v>
      </c>
      <c r="V291" s="371">
        <v>249</v>
      </c>
      <c r="W291" s="371">
        <v>249</v>
      </c>
      <c r="X291" s="371">
        <v>349</v>
      </c>
      <c r="Y291" s="371">
        <v>150</v>
      </c>
      <c r="Z291" s="371"/>
      <c r="AA291" s="371"/>
      <c r="AB291" s="371"/>
      <c r="AC291" s="371"/>
      <c r="AD291" s="371"/>
      <c r="AE291" s="371"/>
      <c r="AF291" s="926">
        <f>SUM(AG291:AH291)</f>
        <v>0</v>
      </c>
      <c r="AG291" s="371"/>
      <c r="AH291" s="371"/>
      <c r="AI291" s="387">
        <f t="shared" si="107"/>
        <v>0</v>
      </c>
      <c r="AJ291" s="496">
        <f t="shared" ref="AJ291:AJ303" si="129">+O291+AE291</f>
        <v>0</v>
      </c>
      <c r="AK291" s="393">
        <f t="shared" ref="AK291:AK303" si="130">SUM(AG291:AH291)+SUM(Q291:AD291)+SUM(I291:N291)</f>
        <v>3392</v>
      </c>
      <c r="AL291" s="393">
        <f t="shared" ref="AL291:AL303" si="131">SUM(I291:O291)-H291</f>
        <v>0</v>
      </c>
      <c r="AM291" s="393">
        <f t="shared" ref="AM291:AM303" si="132">SUM(Q291:AE291)-P291</f>
        <v>0</v>
      </c>
      <c r="AN291" s="393">
        <f t="shared" ref="AN291:AN303" si="133">SUM(AG291:AH291)-AF291</f>
        <v>0</v>
      </c>
      <c r="AO291" s="393">
        <f t="shared" ref="AO291:AO303" si="134">IF(+AJ291+AK291=E291,0,FALSE)</f>
        <v>0</v>
      </c>
    </row>
    <row r="292" spans="1:41" s="393" customFormat="1" ht="28.5">
      <c r="A292" s="397" t="s">
        <v>1825</v>
      </c>
      <c r="B292" s="394" t="s">
        <v>1881</v>
      </c>
      <c r="C292" s="946" t="s">
        <v>1883</v>
      </c>
      <c r="D292" s="396">
        <v>4</v>
      </c>
      <c r="E292" s="385">
        <f t="shared" si="128"/>
        <v>45255</v>
      </c>
      <c r="F292" s="371">
        <v>45255</v>
      </c>
      <c r="G292" s="371"/>
      <c r="H292" s="926">
        <f t="shared" ref="H292:H303" si="135">SUM(I292:O292)</f>
        <v>13500</v>
      </c>
      <c r="I292" s="371">
        <v>1700</v>
      </c>
      <c r="J292" s="371"/>
      <c r="K292" s="371">
        <v>2100</v>
      </c>
      <c r="L292" s="371">
        <v>2700</v>
      </c>
      <c r="M292" s="371">
        <v>4400</v>
      </c>
      <c r="N292" s="371">
        <v>2600</v>
      </c>
      <c r="O292" s="370"/>
      <c r="P292" s="928">
        <f t="shared" ref="P292:P303" si="136">SUM(Q292:AE292)</f>
        <v>31055</v>
      </c>
      <c r="Q292" s="371">
        <v>2100</v>
      </c>
      <c r="R292" s="371">
        <v>2100</v>
      </c>
      <c r="S292" s="371">
        <v>2100</v>
      </c>
      <c r="T292" s="371">
        <v>3200</v>
      </c>
      <c r="U292" s="371">
        <v>3300</v>
      </c>
      <c r="V292" s="371">
        <v>4600</v>
      </c>
      <c r="W292" s="371">
        <v>3700</v>
      </c>
      <c r="X292" s="371">
        <v>3600</v>
      </c>
      <c r="Y292" s="371">
        <v>2600</v>
      </c>
      <c r="Z292" s="371">
        <v>2537</v>
      </c>
      <c r="AA292" s="371">
        <v>818</v>
      </c>
      <c r="AB292" s="371">
        <v>100</v>
      </c>
      <c r="AC292" s="371">
        <v>150</v>
      </c>
      <c r="AD292" s="371">
        <v>150</v>
      </c>
      <c r="AE292" s="371"/>
      <c r="AF292" s="926">
        <f t="shared" ref="AF292:AF303" si="137">SUM(AG292:AH292)</f>
        <v>700</v>
      </c>
      <c r="AG292" s="371">
        <v>700</v>
      </c>
      <c r="AH292" s="371"/>
      <c r="AI292" s="387">
        <f t="shared" si="107"/>
        <v>0</v>
      </c>
      <c r="AJ292" s="496">
        <f t="shared" si="129"/>
        <v>0</v>
      </c>
      <c r="AK292" s="393">
        <f t="shared" si="130"/>
        <v>45255</v>
      </c>
      <c r="AL292" s="393">
        <f t="shared" si="131"/>
        <v>0</v>
      </c>
      <c r="AM292" s="393">
        <f t="shared" si="132"/>
        <v>0</v>
      </c>
      <c r="AN292" s="393">
        <f t="shared" si="133"/>
        <v>0</v>
      </c>
      <c r="AO292" s="393">
        <f t="shared" si="134"/>
        <v>0</v>
      </c>
    </row>
    <row r="293" spans="1:41" s="393" customFormat="1" ht="14.25">
      <c r="A293" s="397" t="s">
        <v>1825</v>
      </c>
      <c r="B293" s="394" t="s">
        <v>1881</v>
      </c>
      <c r="C293" s="946" t="s">
        <v>1884</v>
      </c>
      <c r="D293" s="396">
        <v>4</v>
      </c>
      <c r="E293" s="385">
        <f t="shared" si="128"/>
        <v>10210</v>
      </c>
      <c r="F293" s="371">
        <v>10210</v>
      </c>
      <c r="G293" s="371"/>
      <c r="H293" s="926">
        <f t="shared" si="135"/>
        <v>3011</v>
      </c>
      <c r="I293" s="371">
        <v>120</v>
      </c>
      <c r="J293" s="371"/>
      <c r="K293" s="371">
        <v>430</v>
      </c>
      <c r="L293" s="371">
        <v>750</v>
      </c>
      <c r="M293" s="371">
        <v>750</v>
      </c>
      <c r="N293" s="371">
        <v>961</v>
      </c>
      <c r="O293" s="370"/>
      <c r="P293" s="928">
        <f t="shared" si="136"/>
        <v>7119</v>
      </c>
      <c r="Q293" s="371">
        <v>200</v>
      </c>
      <c r="R293" s="371">
        <v>720</v>
      </c>
      <c r="S293" s="371">
        <v>850</v>
      </c>
      <c r="T293" s="371">
        <v>920</v>
      </c>
      <c r="U293" s="371">
        <v>720</v>
      </c>
      <c r="V293" s="371">
        <v>959</v>
      </c>
      <c r="W293" s="371">
        <v>740</v>
      </c>
      <c r="X293" s="371">
        <v>880</v>
      </c>
      <c r="Y293" s="371">
        <v>580</v>
      </c>
      <c r="Z293" s="371">
        <v>200</v>
      </c>
      <c r="AA293" s="371">
        <v>100</v>
      </c>
      <c r="AB293" s="371">
        <v>50</v>
      </c>
      <c r="AC293" s="371">
        <v>100</v>
      </c>
      <c r="AD293" s="371">
        <v>100</v>
      </c>
      <c r="AE293" s="371"/>
      <c r="AF293" s="926">
        <f t="shared" si="137"/>
        <v>80</v>
      </c>
      <c r="AG293" s="371">
        <v>80</v>
      </c>
      <c r="AH293" s="371"/>
      <c r="AI293" s="387">
        <f t="shared" si="107"/>
        <v>0</v>
      </c>
      <c r="AJ293" s="496">
        <f t="shared" si="129"/>
        <v>0</v>
      </c>
      <c r="AK293" s="393">
        <f t="shared" si="130"/>
        <v>10210</v>
      </c>
      <c r="AL293" s="393">
        <f t="shared" si="131"/>
        <v>0</v>
      </c>
      <c r="AM293" s="393">
        <f t="shared" si="132"/>
        <v>0</v>
      </c>
      <c r="AN293" s="393">
        <f t="shared" si="133"/>
        <v>0</v>
      </c>
      <c r="AO293" s="393">
        <f t="shared" si="134"/>
        <v>0</v>
      </c>
    </row>
    <row r="294" spans="1:41" s="393" customFormat="1" ht="14.25">
      <c r="A294" s="397" t="s">
        <v>1825</v>
      </c>
      <c r="B294" s="394" t="s">
        <v>1881</v>
      </c>
      <c r="C294" s="943" t="s">
        <v>1885</v>
      </c>
      <c r="D294" s="396">
        <v>4</v>
      </c>
      <c r="E294" s="385">
        <f t="shared" si="128"/>
        <v>644</v>
      </c>
      <c r="F294" s="371">
        <v>644</v>
      </c>
      <c r="G294" s="371"/>
      <c r="H294" s="926">
        <f t="shared" si="135"/>
        <v>213</v>
      </c>
      <c r="I294" s="371">
        <v>38</v>
      </c>
      <c r="J294" s="371"/>
      <c r="K294" s="371">
        <v>41</v>
      </c>
      <c r="L294" s="371">
        <v>44</v>
      </c>
      <c r="M294" s="371">
        <v>51</v>
      </c>
      <c r="N294" s="371">
        <v>39</v>
      </c>
      <c r="O294" s="370"/>
      <c r="P294" s="928">
        <f t="shared" si="136"/>
        <v>406</v>
      </c>
      <c r="Q294" s="371">
        <v>22</v>
      </c>
      <c r="R294" s="371">
        <v>22</v>
      </c>
      <c r="S294" s="371">
        <v>26</v>
      </c>
      <c r="T294" s="371">
        <v>46</v>
      </c>
      <c r="U294" s="371">
        <v>41</v>
      </c>
      <c r="V294" s="371">
        <v>37</v>
      </c>
      <c r="W294" s="371">
        <v>33</v>
      </c>
      <c r="X294" s="371">
        <v>38</v>
      </c>
      <c r="Y294" s="371">
        <v>31</v>
      </c>
      <c r="Z294" s="371">
        <v>27</v>
      </c>
      <c r="AA294" s="371">
        <v>20</v>
      </c>
      <c r="AB294" s="371">
        <v>20</v>
      </c>
      <c r="AC294" s="371">
        <v>23</v>
      </c>
      <c r="AD294" s="371">
        <v>20</v>
      </c>
      <c r="AE294" s="371"/>
      <c r="AF294" s="926">
        <f t="shared" si="137"/>
        <v>25</v>
      </c>
      <c r="AG294" s="371">
        <v>25</v>
      </c>
      <c r="AH294" s="371"/>
      <c r="AI294" s="387">
        <f t="shared" si="107"/>
        <v>0</v>
      </c>
      <c r="AJ294" s="496">
        <f t="shared" si="129"/>
        <v>0</v>
      </c>
      <c r="AK294" s="393">
        <f t="shared" si="130"/>
        <v>644</v>
      </c>
      <c r="AL294" s="393">
        <f t="shared" si="131"/>
        <v>0</v>
      </c>
      <c r="AM294" s="393">
        <f t="shared" si="132"/>
        <v>0</v>
      </c>
      <c r="AN294" s="393">
        <f t="shared" si="133"/>
        <v>0</v>
      </c>
      <c r="AO294" s="393">
        <f t="shared" si="134"/>
        <v>0</v>
      </c>
    </row>
    <row r="295" spans="1:41" s="393" customFormat="1" ht="14.25">
      <c r="A295" s="397" t="s">
        <v>1825</v>
      </c>
      <c r="B295" s="394" t="s">
        <v>1881</v>
      </c>
      <c r="C295" s="943" t="s">
        <v>1886</v>
      </c>
      <c r="D295" s="396">
        <v>4</v>
      </c>
      <c r="E295" s="385">
        <f t="shared" si="128"/>
        <v>3000</v>
      </c>
      <c r="F295" s="371">
        <v>3000</v>
      </c>
      <c r="G295" s="371"/>
      <c r="H295" s="926">
        <f t="shared" si="135"/>
        <v>3000</v>
      </c>
      <c r="I295" s="371"/>
      <c r="J295" s="371"/>
      <c r="K295" s="371"/>
      <c r="L295" s="371"/>
      <c r="M295" s="371">
        <v>3000</v>
      </c>
      <c r="N295" s="371"/>
      <c r="O295" s="370"/>
      <c r="P295" s="928">
        <f t="shared" si="136"/>
        <v>0</v>
      </c>
      <c r="Q295" s="371"/>
      <c r="R295" s="371"/>
      <c r="S295" s="371"/>
      <c r="T295" s="371"/>
      <c r="U295" s="371"/>
      <c r="V295" s="371"/>
      <c r="W295" s="371"/>
      <c r="X295" s="371"/>
      <c r="Y295" s="371"/>
      <c r="Z295" s="371"/>
      <c r="AA295" s="371"/>
      <c r="AB295" s="371"/>
      <c r="AC295" s="371"/>
      <c r="AD295" s="371"/>
      <c r="AE295" s="371"/>
      <c r="AF295" s="926">
        <f t="shared" si="137"/>
        <v>0</v>
      </c>
      <c r="AG295" s="371"/>
      <c r="AH295" s="371"/>
      <c r="AI295" s="387">
        <f t="shared" si="107"/>
        <v>0</v>
      </c>
      <c r="AJ295" s="496">
        <f t="shared" si="129"/>
        <v>0</v>
      </c>
      <c r="AK295" s="393">
        <f t="shared" si="130"/>
        <v>3000</v>
      </c>
      <c r="AL295" s="393">
        <f t="shared" si="131"/>
        <v>0</v>
      </c>
      <c r="AM295" s="393">
        <f t="shared" si="132"/>
        <v>0</v>
      </c>
      <c r="AN295" s="393">
        <f t="shared" si="133"/>
        <v>0</v>
      </c>
      <c r="AO295" s="393">
        <f t="shared" si="134"/>
        <v>0</v>
      </c>
    </row>
    <row r="296" spans="1:41" s="393" customFormat="1" ht="14.25">
      <c r="A296" s="397" t="s">
        <v>1825</v>
      </c>
      <c r="B296" s="394" t="s">
        <v>1881</v>
      </c>
      <c r="C296" s="497" t="s">
        <v>1887</v>
      </c>
      <c r="D296" s="396">
        <v>4</v>
      </c>
      <c r="E296" s="385">
        <f t="shared" si="128"/>
        <v>1700</v>
      </c>
      <c r="F296" s="371">
        <v>1700</v>
      </c>
      <c r="G296" s="371"/>
      <c r="H296" s="926">
        <f t="shared" si="135"/>
        <v>500</v>
      </c>
      <c r="I296" s="371">
        <v>40</v>
      </c>
      <c r="J296" s="371" t="s">
        <v>145</v>
      </c>
      <c r="K296" s="371">
        <v>130</v>
      </c>
      <c r="L296" s="371">
        <v>100</v>
      </c>
      <c r="M296" s="371">
        <v>150</v>
      </c>
      <c r="N296" s="371">
        <v>80</v>
      </c>
      <c r="O296" s="370"/>
      <c r="P296" s="928">
        <f t="shared" si="136"/>
        <v>1150</v>
      </c>
      <c r="Q296" s="371">
        <v>80</v>
      </c>
      <c r="R296" s="371">
        <v>80</v>
      </c>
      <c r="S296" s="371">
        <v>90</v>
      </c>
      <c r="T296" s="371">
        <v>120</v>
      </c>
      <c r="U296" s="371">
        <v>100</v>
      </c>
      <c r="V296" s="371">
        <v>144</v>
      </c>
      <c r="W296" s="371">
        <v>130</v>
      </c>
      <c r="X296" s="371">
        <v>140</v>
      </c>
      <c r="Y296" s="371">
        <v>86</v>
      </c>
      <c r="Z296" s="371">
        <v>70</v>
      </c>
      <c r="AA296" s="371">
        <v>48</v>
      </c>
      <c r="AB296" s="371">
        <v>38</v>
      </c>
      <c r="AC296" s="371">
        <v>12</v>
      </c>
      <c r="AD296" s="371">
        <v>12</v>
      </c>
      <c r="AE296" s="371"/>
      <c r="AF296" s="926">
        <f t="shared" si="137"/>
        <v>50</v>
      </c>
      <c r="AG296" s="371">
        <v>50</v>
      </c>
      <c r="AH296" s="371"/>
      <c r="AI296" s="387">
        <f t="shared" si="107"/>
        <v>0</v>
      </c>
      <c r="AJ296" s="496">
        <f t="shared" si="129"/>
        <v>0</v>
      </c>
      <c r="AK296" s="393">
        <f t="shared" si="130"/>
        <v>1700</v>
      </c>
      <c r="AL296" s="393">
        <f t="shared" si="131"/>
        <v>0</v>
      </c>
      <c r="AM296" s="393">
        <f t="shared" si="132"/>
        <v>0</v>
      </c>
      <c r="AN296" s="393">
        <f t="shared" si="133"/>
        <v>0</v>
      </c>
      <c r="AO296" s="393">
        <f t="shared" si="134"/>
        <v>0</v>
      </c>
    </row>
    <row r="297" spans="1:41" s="393" customFormat="1" ht="14.25">
      <c r="A297" s="397" t="s">
        <v>1825</v>
      </c>
      <c r="B297" s="394" t="s">
        <v>1881</v>
      </c>
      <c r="C297" s="497" t="s">
        <v>1888</v>
      </c>
      <c r="D297" s="396">
        <v>4</v>
      </c>
      <c r="E297" s="385">
        <f t="shared" si="128"/>
        <v>5669</v>
      </c>
      <c r="F297" s="371">
        <v>5669</v>
      </c>
      <c r="G297" s="371"/>
      <c r="H297" s="926">
        <f t="shared" si="135"/>
        <v>1490</v>
      </c>
      <c r="I297" s="371">
        <v>248</v>
      </c>
      <c r="J297" s="371"/>
      <c r="K297" s="371">
        <v>248</v>
      </c>
      <c r="L297" s="371">
        <v>248</v>
      </c>
      <c r="M297" s="371">
        <v>248</v>
      </c>
      <c r="N297" s="371">
        <v>248</v>
      </c>
      <c r="O297" s="370">
        <v>250</v>
      </c>
      <c r="P297" s="928">
        <f t="shared" si="136"/>
        <v>4054</v>
      </c>
      <c r="Q297" s="371">
        <v>33</v>
      </c>
      <c r="R297" s="371">
        <v>33</v>
      </c>
      <c r="S297" s="371">
        <v>33</v>
      </c>
      <c r="T297" s="371">
        <v>33</v>
      </c>
      <c r="U297" s="371">
        <v>33</v>
      </c>
      <c r="V297" s="371">
        <v>33</v>
      </c>
      <c r="W297" s="371">
        <v>33</v>
      </c>
      <c r="X297" s="371">
        <v>33</v>
      </c>
      <c r="Y297" s="371">
        <v>0</v>
      </c>
      <c r="Z297" s="371">
        <v>0</v>
      </c>
      <c r="AA297" s="371">
        <v>33</v>
      </c>
      <c r="AB297" s="371">
        <v>33</v>
      </c>
      <c r="AC297" s="371">
        <v>33</v>
      </c>
      <c r="AD297" s="371">
        <v>33</v>
      </c>
      <c r="AE297" s="371">
        <v>3658</v>
      </c>
      <c r="AF297" s="926">
        <f t="shared" si="137"/>
        <v>125</v>
      </c>
      <c r="AG297" s="371">
        <v>65</v>
      </c>
      <c r="AH297" s="371">
        <v>60</v>
      </c>
      <c r="AI297" s="387">
        <f t="shared" si="107"/>
        <v>0</v>
      </c>
      <c r="AJ297" s="496">
        <f t="shared" si="129"/>
        <v>3908</v>
      </c>
      <c r="AK297" s="393">
        <f t="shared" si="130"/>
        <v>1761</v>
      </c>
      <c r="AL297" s="393">
        <f t="shared" si="131"/>
        <v>0</v>
      </c>
      <c r="AM297" s="393">
        <f t="shared" si="132"/>
        <v>0</v>
      </c>
      <c r="AN297" s="393">
        <f t="shared" si="133"/>
        <v>0</v>
      </c>
      <c r="AO297" s="393">
        <f t="shared" si="134"/>
        <v>0</v>
      </c>
    </row>
    <row r="298" spans="1:41" s="393" customFormat="1" ht="14.25">
      <c r="A298" s="397" t="s">
        <v>1825</v>
      </c>
      <c r="B298" s="394" t="s">
        <v>1881</v>
      </c>
      <c r="C298" s="945" t="s">
        <v>1889</v>
      </c>
      <c r="D298" s="396">
        <v>4</v>
      </c>
      <c r="E298" s="385">
        <f t="shared" si="128"/>
        <v>9700</v>
      </c>
      <c r="F298" s="371">
        <v>9700</v>
      </c>
      <c r="G298" s="371"/>
      <c r="H298" s="926">
        <f t="shared" si="135"/>
        <v>9700</v>
      </c>
      <c r="I298" s="371"/>
      <c r="J298" s="371"/>
      <c r="K298" s="371"/>
      <c r="L298" s="371"/>
      <c r="M298" s="371">
        <v>9700</v>
      </c>
      <c r="N298" s="371"/>
      <c r="O298" s="370"/>
      <c r="P298" s="928">
        <f t="shared" si="136"/>
        <v>0</v>
      </c>
      <c r="Q298" s="371"/>
      <c r="R298" s="371"/>
      <c r="S298" s="371"/>
      <c r="T298" s="371"/>
      <c r="U298" s="371"/>
      <c r="V298" s="371"/>
      <c r="W298" s="371"/>
      <c r="X298" s="371"/>
      <c r="Y298" s="371"/>
      <c r="Z298" s="371"/>
      <c r="AA298" s="371"/>
      <c r="AB298" s="371"/>
      <c r="AC298" s="371"/>
      <c r="AD298" s="371"/>
      <c r="AE298" s="371"/>
      <c r="AF298" s="926">
        <f t="shared" si="137"/>
        <v>0</v>
      </c>
      <c r="AG298" s="371"/>
      <c r="AH298" s="371"/>
      <c r="AI298" s="387">
        <f t="shared" si="107"/>
        <v>0</v>
      </c>
      <c r="AJ298" s="496">
        <f t="shared" si="129"/>
        <v>0</v>
      </c>
      <c r="AK298" s="393">
        <f t="shared" si="130"/>
        <v>9700</v>
      </c>
      <c r="AL298" s="393">
        <f t="shared" si="131"/>
        <v>0</v>
      </c>
      <c r="AM298" s="393">
        <f t="shared" si="132"/>
        <v>0</v>
      </c>
      <c r="AN298" s="393">
        <f t="shared" si="133"/>
        <v>0</v>
      </c>
      <c r="AO298" s="393">
        <f t="shared" si="134"/>
        <v>0</v>
      </c>
    </row>
    <row r="299" spans="1:41" s="393" customFormat="1" ht="14.25">
      <c r="A299" s="397" t="s">
        <v>1825</v>
      </c>
      <c r="B299" s="394" t="s">
        <v>1881</v>
      </c>
      <c r="C299" s="497" t="s">
        <v>1890</v>
      </c>
      <c r="D299" s="396">
        <v>4</v>
      </c>
      <c r="E299" s="385">
        <f t="shared" si="128"/>
        <v>9800</v>
      </c>
      <c r="F299" s="371">
        <v>9800</v>
      </c>
      <c r="G299" s="371"/>
      <c r="H299" s="926">
        <f t="shared" si="135"/>
        <v>1400</v>
      </c>
      <c r="I299" s="371">
        <v>151</v>
      </c>
      <c r="J299" s="371">
        <v>0</v>
      </c>
      <c r="K299" s="371">
        <v>156</v>
      </c>
      <c r="L299" s="371">
        <v>491</v>
      </c>
      <c r="M299" s="371">
        <v>132</v>
      </c>
      <c r="N299" s="371">
        <v>460</v>
      </c>
      <c r="O299" s="370">
        <v>10</v>
      </c>
      <c r="P299" s="928">
        <f t="shared" si="136"/>
        <v>8200</v>
      </c>
      <c r="Q299" s="371">
        <v>150</v>
      </c>
      <c r="R299" s="371">
        <v>128</v>
      </c>
      <c r="S299" s="371">
        <v>156</v>
      </c>
      <c r="T299" s="371">
        <v>521</v>
      </c>
      <c r="U299" s="371">
        <v>456</v>
      </c>
      <c r="V299" s="371">
        <v>546</v>
      </c>
      <c r="W299" s="371">
        <v>191</v>
      </c>
      <c r="X299" s="371">
        <v>471</v>
      </c>
      <c r="Y299" s="371">
        <v>150</v>
      </c>
      <c r="Z299" s="371">
        <v>150</v>
      </c>
      <c r="AA299" s="371">
        <v>63</v>
      </c>
      <c r="AB299" s="371">
        <v>55</v>
      </c>
      <c r="AC299" s="371">
        <v>60</v>
      </c>
      <c r="AD299" s="371">
        <v>60</v>
      </c>
      <c r="AE299" s="371">
        <v>5043</v>
      </c>
      <c r="AF299" s="926">
        <f t="shared" si="137"/>
        <v>200</v>
      </c>
      <c r="AG299" s="371">
        <v>128</v>
      </c>
      <c r="AH299" s="371">
        <v>72</v>
      </c>
      <c r="AI299" s="387">
        <f t="shared" si="107"/>
        <v>0</v>
      </c>
      <c r="AJ299" s="496">
        <f t="shared" si="129"/>
        <v>5053</v>
      </c>
      <c r="AK299" s="393">
        <f t="shared" si="130"/>
        <v>4747</v>
      </c>
      <c r="AL299" s="393">
        <f t="shared" si="131"/>
        <v>0</v>
      </c>
      <c r="AM299" s="393">
        <f t="shared" si="132"/>
        <v>0</v>
      </c>
      <c r="AN299" s="393">
        <f t="shared" si="133"/>
        <v>0</v>
      </c>
      <c r="AO299" s="393">
        <f t="shared" si="134"/>
        <v>0</v>
      </c>
    </row>
    <row r="300" spans="1:41" s="393" customFormat="1" ht="14.25">
      <c r="A300" s="397" t="s">
        <v>1825</v>
      </c>
      <c r="B300" s="394" t="s">
        <v>1881</v>
      </c>
      <c r="C300" s="497" t="s">
        <v>1891</v>
      </c>
      <c r="D300" s="396">
        <v>4</v>
      </c>
      <c r="E300" s="385">
        <f t="shared" si="128"/>
        <v>5383</v>
      </c>
      <c r="F300" s="371">
        <v>5383</v>
      </c>
      <c r="G300" s="371"/>
      <c r="H300" s="926">
        <f t="shared" si="135"/>
        <v>1000</v>
      </c>
      <c r="I300" s="371">
        <v>35</v>
      </c>
      <c r="J300" s="371">
        <v>0</v>
      </c>
      <c r="K300" s="371">
        <v>35</v>
      </c>
      <c r="L300" s="371">
        <v>35</v>
      </c>
      <c r="M300" s="371">
        <v>35</v>
      </c>
      <c r="N300" s="371">
        <v>35</v>
      </c>
      <c r="O300" s="370">
        <v>825</v>
      </c>
      <c r="P300" s="928">
        <f t="shared" si="136"/>
        <v>4363</v>
      </c>
      <c r="Q300" s="371">
        <v>35</v>
      </c>
      <c r="R300" s="371">
        <v>35</v>
      </c>
      <c r="S300" s="371">
        <v>35</v>
      </c>
      <c r="T300" s="371">
        <v>35</v>
      </c>
      <c r="U300" s="371">
        <v>35</v>
      </c>
      <c r="V300" s="371">
        <v>35</v>
      </c>
      <c r="W300" s="371">
        <v>35</v>
      </c>
      <c r="X300" s="371">
        <v>35</v>
      </c>
      <c r="Y300" s="371">
        <v>35</v>
      </c>
      <c r="Z300" s="371">
        <v>35</v>
      </c>
      <c r="AA300" s="371">
        <v>33</v>
      </c>
      <c r="AB300" s="371">
        <v>23</v>
      </c>
      <c r="AC300" s="371">
        <v>23</v>
      </c>
      <c r="AD300" s="371">
        <v>23</v>
      </c>
      <c r="AE300" s="371">
        <v>3911</v>
      </c>
      <c r="AF300" s="926">
        <f t="shared" si="137"/>
        <v>20</v>
      </c>
      <c r="AG300" s="371">
        <v>20</v>
      </c>
      <c r="AH300" s="371"/>
      <c r="AI300" s="387">
        <f t="shared" si="107"/>
        <v>0</v>
      </c>
      <c r="AJ300" s="496">
        <f t="shared" si="129"/>
        <v>4736</v>
      </c>
      <c r="AK300" s="393">
        <f t="shared" si="130"/>
        <v>647</v>
      </c>
      <c r="AL300" s="393">
        <f t="shared" si="131"/>
        <v>0</v>
      </c>
      <c r="AM300" s="393">
        <f t="shared" si="132"/>
        <v>0</v>
      </c>
      <c r="AN300" s="393">
        <f t="shared" si="133"/>
        <v>0</v>
      </c>
      <c r="AO300" s="393">
        <f t="shared" si="134"/>
        <v>0</v>
      </c>
    </row>
    <row r="301" spans="1:41" s="393" customFormat="1" ht="28.5">
      <c r="A301" s="397" t="s">
        <v>1825</v>
      </c>
      <c r="B301" s="394" t="s">
        <v>1881</v>
      </c>
      <c r="C301" s="943" t="s">
        <v>1892</v>
      </c>
      <c r="D301" s="396">
        <v>4</v>
      </c>
      <c r="E301" s="385">
        <f t="shared" si="128"/>
        <v>1632827</v>
      </c>
      <c r="F301" s="371">
        <v>57907</v>
      </c>
      <c r="G301" s="371">
        <v>1574920</v>
      </c>
      <c r="H301" s="926">
        <f t="shared" si="135"/>
        <v>1632827</v>
      </c>
      <c r="I301" s="371"/>
      <c r="J301" s="371"/>
      <c r="K301" s="371"/>
      <c r="L301" s="371">
        <v>1632827</v>
      </c>
      <c r="M301" s="371"/>
      <c r="N301" s="371"/>
      <c r="O301" s="370"/>
      <c r="P301" s="928">
        <f t="shared" si="136"/>
        <v>0</v>
      </c>
      <c r="Q301" s="371"/>
      <c r="R301" s="371"/>
      <c r="S301" s="371"/>
      <c r="T301" s="371"/>
      <c r="U301" s="371"/>
      <c r="V301" s="371"/>
      <c r="W301" s="371"/>
      <c r="X301" s="371"/>
      <c r="Y301" s="371"/>
      <c r="Z301" s="371"/>
      <c r="AA301" s="371"/>
      <c r="AB301" s="371"/>
      <c r="AC301" s="371"/>
      <c r="AD301" s="371"/>
      <c r="AE301" s="371"/>
      <c r="AF301" s="926">
        <f t="shared" si="137"/>
        <v>0</v>
      </c>
      <c r="AG301" s="371"/>
      <c r="AH301" s="371"/>
      <c r="AI301" s="387">
        <f t="shared" si="107"/>
        <v>0</v>
      </c>
      <c r="AJ301" s="496">
        <f t="shared" si="129"/>
        <v>0</v>
      </c>
      <c r="AK301" s="393">
        <f t="shared" si="130"/>
        <v>1632827</v>
      </c>
      <c r="AL301" s="393">
        <f t="shared" si="131"/>
        <v>0</v>
      </c>
      <c r="AM301" s="393">
        <f t="shared" si="132"/>
        <v>0</v>
      </c>
      <c r="AN301" s="393">
        <f t="shared" si="133"/>
        <v>0</v>
      </c>
      <c r="AO301" s="393">
        <f t="shared" si="134"/>
        <v>0</v>
      </c>
    </row>
    <row r="302" spans="1:41" s="393" customFormat="1" ht="14.25">
      <c r="A302" s="397" t="s">
        <v>1825</v>
      </c>
      <c r="B302" s="394" t="s">
        <v>1881</v>
      </c>
      <c r="C302" s="945" t="s">
        <v>1893</v>
      </c>
      <c r="D302" s="396">
        <v>4</v>
      </c>
      <c r="E302" s="385">
        <f t="shared" si="128"/>
        <v>123888</v>
      </c>
      <c r="F302" s="371">
        <v>14550</v>
      </c>
      <c r="G302" s="371">
        <v>109338</v>
      </c>
      <c r="H302" s="926">
        <f t="shared" si="135"/>
        <v>123888</v>
      </c>
      <c r="I302" s="371"/>
      <c r="J302" s="371"/>
      <c r="K302" s="371"/>
      <c r="L302" s="371"/>
      <c r="M302" s="371">
        <v>123888</v>
      </c>
      <c r="N302" s="371"/>
      <c r="O302" s="370">
        <v>0</v>
      </c>
      <c r="P302" s="928">
        <f t="shared" si="136"/>
        <v>0</v>
      </c>
      <c r="Q302" s="371"/>
      <c r="R302" s="371"/>
      <c r="S302" s="371"/>
      <c r="T302" s="371"/>
      <c r="U302" s="371"/>
      <c r="V302" s="371"/>
      <c r="W302" s="371"/>
      <c r="X302" s="371"/>
      <c r="Y302" s="371"/>
      <c r="Z302" s="371"/>
      <c r="AA302" s="371"/>
      <c r="AB302" s="371"/>
      <c r="AC302" s="371"/>
      <c r="AD302" s="371"/>
      <c r="AE302" s="371"/>
      <c r="AF302" s="926">
        <f t="shared" si="137"/>
        <v>0</v>
      </c>
      <c r="AG302" s="371"/>
      <c r="AH302" s="371"/>
      <c r="AI302" s="387">
        <f t="shared" si="107"/>
        <v>0</v>
      </c>
      <c r="AJ302" s="496">
        <f t="shared" si="129"/>
        <v>0</v>
      </c>
      <c r="AK302" s="393">
        <f t="shared" si="130"/>
        <v>123888</v>
      </c>
      <c r="AL302" s="393">
        <f t="shared" si="131"/>
        <v>0</v>
      </c>
      <c r="AM302" s="393">
        <f t="shared" si="132"/>
        <v>0</v>
      </c>
      <c r="AN302" s="393">
        <f t="shared" si="133"/>
        <v>0</v>
      </c>
      <c r="AO302" s="393">
        <f t="shared" si="134"/>
        <v>0</v>
      </c>
    </row>
    <row r="303" spans="1:41" s="393" customFormat="1" ht="14.25">
      <c r="A303" s="397" t="s">
        <v>1825</v>
      </c>
      <c r="B303" s="394" t="s">
        <v>1881</v>
      </c>
      <c r="C303" s="497" t="s">
        <v>1894</v>
      </c>
      <c r="D303" s="396">
        <v>4</v>
      </c>
      <c r="E303" s="385">
        <f t="shared" si="128"/>
        <v>6165</v>
      </c>
      <c r="F303" s="371">
        <v>5195</v>
      </c>
      <c r="G303" s="371">
        <v>970</v>
      </c>
      <c r="H303" s="926">
        <f t="shared" si="135"/>
        <v>0</v>
      </c>
      <c r="I303" s="371"/>
      <c r="J303" s="371"/>
      <c r="K303" s="371"/>
      <c r="L303" s="371"/>
      <c r="M303" s="371"/>
      <c r="N303" s="371"/>
      <c r="O303" s="370"/>
      <c r="P303" s="928">
        <f t="shared" si="136"/>
        <v>6165</v>
      </c>
      <c r="Q303" s="371"/>
      <c r="R303" s="371"/>
      <c r="S303" s="371"/>
      <c r="T303" s="371"/>
      <c r="U303" s="371"/>
      <c r="V303" s="371"/>
      <c r="W303" s="371"/>
      <c r="X303" s="371"/>
      <c r="Y303" s="371">
        <v>2835</v>
      </c>
      <c r="Z303" s="371">
        <v>3330</v>
      </c>
      <c r="AA303" s="371"/>
      <c r="AB303" s="371"/>
      <c r="AC303" s="371"/>
      <c r="AD303" s="371"/>
      <c r="AE303" s="371"/>
      <c r="AF303" s="926">
        <f t="shared" si="137"/>
        <v>0</v>
      </c>
      <c r="AG303" s="371"/>
      <c r="AH303" s="371"/>
      <c r="AI303" s="387">
        <f t="shared" si="107"/>
        <v>0</v>
      </c>
      <c r="AJ303" s="496">
        <f t="shared" si="129"/>
        <v>0</v>
      </c>
      <c r="AK303" s="393">
        <f t="shared" si="130"/>
        <v>6165</v>
      </c>
      <c r="AL303" s="393">
        <f t="shared" si="131"/>
        <v>0</v>
      </c>
      <c r="AM303" s="393">
        <f t="shared" si="132"/>
        <v>0</v>
      </c>
      <c r="AN303" s="393">
        <f t="shared" si="133"/>
        <v>0</v>
      </c>
      <c r="AO303" s="393">
        <f t="shared" si="134"/>
        <v>0</v>
      </c>
    </row>
    <row r="304" spans="1:41" s="515" customFormat="1" ht="24" customHeight="1">
      <c r="A304" s="510" t="s">
        <v>1268</v>
      </c>
      <c r="B304" s="511"/>
      <c r="C304" s="512"/>
      <c r="D304" s="513"/>
      <c r="E304" s="514">
        <f>E305+E321+E322+E335+E336</f>
        <v>14130657</v>
      </c>
      <c r="F304" s="514">
        <f t="shared" ref="F304:AH304" si="138">F305+F321+F322+F335+F336</f>
        <v>14018743</v>
      </c>
      <c r="G304" s="514">
        <f t="shared" si="138"/>
        <v>111914</v>
      </c>
      <c r="H304" s="514">
        <f t="shared" si="138"/>
        <v>10154809</v>
      </c>
      <c r="I304" s="514">
        <f t="shared" si="138"/>
        <v>1602005</v>
      </c>
      <c r="J304" s="514">
        <f t="shared" si="138"/>
        <v>2342390</v>
      </c>
      <c r="K304" s="514">
        <f t="shared" si="138"/>
        <v>897979</v>
      </c>
      <c r="L304" s="514">
        <f t="shared" si="138"/>
        <v>1638375</v>
      </c>
      <c r="M304" s="514">
        <f t="shared" si="138"/>
        <v>819650</v>
      </c>
      <c r="N304" s="514">
        <f t="shared" si="138"/>
        <v>2851361</v>
      </c>
      <c r="O304" s="514">
        <f t="shared" si="138"/>
        <v>3049</v>
      </c>
      <c r="P304" s="514">
        <f t="shared" si="138"/>
        <v>3804773</v>
      </c>
      <c r="Q304" s="514">
        <f t="shared" si="138"/>
        <v>248509</v>
      </c>
      <c r="R304" s="514">
        <f t="shared" si="138"/>
        <v>234326</v>
      </c>
      <c r="S304" s="514">
        <f t="shared" si="138"/>
        <v>278743</v>
      </c>
      <c r="T304" s="514">
        <f t="shared" si="138"/>
        <v>639061</v>
      </c>
      <c r="U304" s="514">
        <f t="shared" si="138"/>
        <v>279964</v>
      </c>
      <c r="V304" s="514">
        <f t="shared" si="138"/>
        <v>356615</v>
      </c>
      <c r="W304" s="514">
        <f t="shared" si="138"/>
        <v>257182</v>
      </c>
      <c r="X304" s="514">
        <f t="shared" si="138"/>
        <v>464654</v>
      </c>
      <c r="Y304" s="514">
        <f t="shared" si="138"/>
        <v>182352</v>
      </c>
      <c r="Z304" s="514">
        <f t="shared" si="138"/>
        <v>219486</v>
      </c>
      <c r="AA304" s="514">
        <f t="shared" si="138"/>
        <v>137944</v>
      </c>
      <c r="AB304" s="514">
        <f t="shared" si="138"/>
        <v>169635</v>
      </c>
      <c r="AC304" s="514">
        <f t="shared" si="138"/>
        <v>197338</v>
      </c>
      <c r="AD304" s="514">
        <f t="shared" si="138"/>
        <v>134287</v>
      </c>
      <c r="AE304" s="514">
        <f t="shared" si="138"/>
        <v>4677</v>
      </c>
      <c r="AF304" s="514">
        <f t="shared" si="138"/>
        <v>171075</v>
      </c>
      <c r="AG304" s="514">
        <f t="shared" si="138"/>
        <v>98021</v>
      </c>
      <c r="AH304" s="514">
        <f t="shared" si="138"/>
        <v>73054</v>
      </c>
      <c r="AI304" s="387">
        <f t="shared" si="107"/>
        <v>0</v>
      </c>
    </row>
    <row r="305" spans="1:36" s="410" customFormat="1" ht="21.6" customHeight="1">
      <c r="A305" s="405" t="s">
        <v>1263</v>
      </c>
      <c r="B305" s="406"/>
      <c r="C305" s="407"/>
      <c r="D305" s="408"/>
      <c r="E305" s="409">
        <f t="shared" ref="E305:AH305" si="139">SUM(E306:E320)</f>
        <v>5238322</v>
      </c>
      <c r="F305" s="409">
        <f t="shared" si="139"/>
        <v>5135471</v>
      </c>
      <c r="G305" s="409">
        <f t="shared" si="139"/>
        <v>102851</v>
      </c>
      <c r="H305" s="409">
        <f t="shared" si="139"/>
        <v>4393064</v>
      </c>
      <c r="I305" s="409">
        <f t="shared" si="139"/>
        <v>186874</v>
      </c>
      <c r="J305" s="409">
        <f t="shared" si="139"/>
        <v>1623101</v>
      </c>
      <c r="K305" s="409">
        <f t="shared" si="139"/>
        <v>127135</v>
      </c>
      <c r="L305" s="409">
        <f t="shared" si="139"/>
        <v>494804</v>
      </c>
      <c r="M305" s="409">
        <f t="shared" si="139"/>
        <v>159472</v>
      </c>
      <c r="N305" s="409">
        <f t="shared" si="139"/>
        <v>1801678</v>
      </c>
      <c r="O305" s="409">
        <f t="shared" si="139"/>
        <v>0</v>
      </c>
      <c r="P305" s="409">
        <f t="shared" si="139"/>
        <v>730705</v>
      </c>
      <c r="Q305" s="409">
        <f t="shared" si="139"/>
        <v>42286</v>
      </c>
      <c r="R305" s="409">
        <f t="shared" si="139"/>
        <v>34463</v>
      </c>
      <c r="S305" s="409">
        <f t="shared" si="139"/>
        <v>65355</v>
      </c>
      <c r="T305" s="409">
        <f t="shared" si="139"/>
        <v>81267</v>
      </c>
      <c r="U305" s="409">
        <f t="shared" si="139"/>
        <v>50234</v>
      </c>
      <c r="V305" s="409">
        <f t="shared" si="139"/>
        <v>60179</v>
      </c>
      <c r="W305" s="409">
        <f t="shared" si="139"/>
        <v>52868</v>
      </c>
      <c r="X305" s="409">
        <f t="shared" si="139"/>
        <v>84254</v>
      </c>
      <c r="Y305" s="409">
        <f t="shared" si="139"/>
        <v>63198</v>
      </c>
      <c r="Z305" s="409">
        <f t="shared" si="139"/>
        <v>49290</v>
      </c>
      <c r="AA305" s="409">
        <f t="shared" si="139"/>
        <v>74352</v>
      </c>
      <c r="AB305" s="409">
        <f t="shared" si="139"/>
        <v>26829</v>
      </c>
      <c r="AC305" s="409">
        <f t="shared" si="139"/>
        <v>25842</v>
      </c>
      <c r="AD305" s="409">
        <f t="shared" si="139"/>
        <v>20288</v>
      </c>
      <c r="AE305" s="409">
        <f t="shared" si="139"/>
        <v>0</v>
      </c>
      <c r="AF305" s="409">
        <f t="shared" si="139"/>
        <v>114553</v>
      </c>
      <c r="AG305" s="409">
        <f t="shared" si="139"/>
        <v>49253</v>
      </c>
      <c r="AH305" s="409">
        <f t="shared" si="139"/>
        <v>65300</v>
      </c>
      <c r="AI305" s="387">
        <f t="shared" si="107"/>
        <v>0</v>
      </c>
      <c r="AJ305" s="496"/>
    </row>
    <row r="306" spans="1:36" s="393" customFormat="1" ht="14.25">
      <c r="A306" s="397" t="s">
        <v>1897</v>
      </c>
      <c r="B306" s="394" t="s">
        <v>1898</v>
      </c>
      <c r="C306" s="947" t="s">
        <v>1899</v>
      </c>
      <c r="D306" s="396">
        <v>5</v>
      </c>
      <c r="E306" s="385">
        <f>SUM(H306,P306,AF306)</f>
        <v>140986</v>
      </c>
      <c r="F306" s="911">
        <v>140986</v>
      </c>
      <c r="G306" s="911">
        <v>0</v>
      </c>
      <c r="H306" s="385">
        <v>60713</v>
      </c>
      <c r="I306" s="911">
        <v>16085</v>
      </c>
      <c r="J306" s="911">
        <v>0</v>
      </c>
      <c r="K306" s="911">
        <v>7256</v>
      </c>
      <c r="L306" s="911">
        <v>11796</v>
      </c>
      <c r="M306" s="911">
        <v>10473</v>
      </c>
      <c r="N306" s="911">
        <v>15103</v>
      </c>
      <c r="O306" s="912">
        <v>0</v>
      </c>
      <c r="P306" s="386">
        <v>76973</v>
      </c>
      <c r="Q306" s="911">
        <v>6270</v>
      </c>
      <c r="R306" s="911">
        <v>5748</v>
      </c>
      <c r="S306" s="911">
        <v>5747</v>
      </c>
      <c r="T306" s="911">
        <v>7838</v>
      </c>
      <c r="U306" s="911">
        <v>6792</v>
      </c>
      <c r="V306" s="911">
        <v>6793</v>
      </c>
      <c r="W306" s="911">
        <v>5225</v>
      </c>
      <c r="X306" s="911">
        <v>7315</v>
      </c>
      <c r="Y306" s="911">
        <v>4703</v>
      </c>
      <c r="Z306" s="911">
        <v>6297</v>
      </c>
      <c r="AA306" s="911">
        <v>2750</v>
      </c>
      <c r="AB306" s="911">
        <v>4180</v>
      </c>
      <c r="AC306" s="911">
        <v>3657</v>
      </c>
      <c r="AD306" s="911">
        <v>3658</v>
      </c>
      <c r="AE306" s="911">
        <v>0</v>
      </c>
      <c r="AF306" s="385">
        <v>3300</v>
      </c>
      <c r="AG306" s="371">
        <v>2200</v>
      </c>
      <c r="AH306" s="371">
        <v>1100</v>
      </c>
      <c r="AI306" s="387">
        <f t="shared" si="107"/>
        <v>0</v>
      </c>
      <c r="AJ306" s="496"/>
    </row>
    <row r="307" spans="1:36" s="393" customFormat="1" ht="14.25">
      <c r="A307" s="397" t="s">
        <v>1897</v>
      </c>
      <c r="B307" s="394" t="s">
        <v>1898</v>
      </c>
      <c r="C307" s="947" t="s">
        <v>1900</v>
      </c>
      <c r="D307" s="396">
        <v>5</v>
      </c>
      <c r="E307" s="385">
        <f t="shared" ref="E307:E320" si="140">SUM(H307,P307,AF307)</f>
        <v>154366</v>
      </c>
      <c r="F307" s="911">
        <v>154366</v>
      </c>
      <c r="G307" s="911">
        <v>0</v>
      </c>
      <c r="H307" s="385">
        <f>SUM(I307:O307)</f>
        <v>63665</v>
      </c>
      <c r="I307" s="911">
        <v>17214</v>
      </c>
      <c r="J307" s="911">
        <v>3284</v>
      </c>
      <c r="K307" s="911">
        <v>7664</v>
      </c>
      <c r="L307" s="911">
        <v>9540</v>
      </c>
      <c r="M307" s="911">
        <v>11261</v>
      </c>
      <c r="N307" s="911">
        <v>14702</v>
      </c>
      <c r="O307" s="912">
        <v>0</v>
      </c>
      <c r="P307" s="386">
        <f>SUM(Q307:AE307)</f>
        <v>88522</v>
      </c>
      <c r="Q307" s="911">
        <v>6099</v>
      </c>
      <c r="R307" s="911">
        <v>5005</v>
      </c>
      <c r="S307" s="911">
        <v>8758</v>
      </c>
      <c r="T307" s="911">
        <v>15953</v>
      </c>
      <c r="U307" s="911">
        <v>5630</v>
      </c>
      <c r="V307" s="911">
        <v>8915</v>
      </c>
      <c r="W307" s="911">
        <v>6256</v>
      </c>
      <c r="X307" s="911">
        <v>13137</v>
      </c>
      <c r="Y307" s="911">
        <v>1877</v>
      </c>
      <c r="Z307" s="911">
        <v>6882</v>
      </c>
      <c r="AA307" s="911">
        <v>1251</v>
      </c>
      <c r="AB307" s="911">
        <v>3128</v>
      </c>
      <c r="AC307" s="911">
        <v>3754</v>
      </c>
      <c r="AD307" s="911">
        <v>1877</v>
      </c>
      <c r="AE307" s="911"/>
      <c r="AF307" s="385">
        <f>SUM(AG307:AH307)</f>
        <v>2179</v>
      </c>
      <c r="AG307" s="371">
        <v>1563</v>
      </c>
      <c r="AH307" s="371">
        <v>616</v>
      </c>
      <c r="AI307" s="387">
        <f t="shared" si="107"/>
        <v>0</v>
      </c>
      <c r="AJ307" s="496"/>
    </row>
    <row r="308" spans="1:36" s="393" customFormat="1" ht="28.5">
      <c r="A308" s="397" t="s">
        <v>1897</v>
      </c>
      <c r="B308" s="394" t="s">
        <v>1898</v>
      </c>
      <c r="C308" s="947" t="s">
        <v>1901</v>
      </c>
      <c r="D308" s="396">
        <v>5</v>
      </c>
      <c r="E308" s="385">
        <f t="shared" si="140"/>
        <v>788529</v>
      </c>
      <c r="F308" s="911">
        <v>788529</v>
      </c>
      <c r="G308" s="911">
        <v>0</v>
      </c>
      <c r="H308" s="385">
        <v>732062</v>
      </c>
      <c r="I308" s="911">
        <v>66620</v>
      </c>
      <c r="J308" s="911">
        <v>25844</v>
      </c>
      <c r="K308" s="911">
        <v>60563</v>
      </c>
      <c r="L308" s="911">
        <v>410454</v>
      </c>
      <c r="M308" s="911">
        <v>76979</v>
      </c>
      <c r="N308" s="911">
        <v>91602</v>
      </c>
      <c r="O308" s="911">
        <v>0</v>
      </c>
      <c r="P308" s="386">
        <v>56467</v>
      </c>
      <c r="Q308" s="911">
        <v>0</v>
      </c>
      <c r="R308" s="911">
        <v>0</v>
      </c>
      <c r="S308" s="911">
        <v>16890</v>
      </c>
      <c r="T308" s="911">
        <v>15936</v>
      </c>
      <c r="U308" s="911">
        <v>0</v>
      </c>
      <c r="V308" s="911">
        <v>11424</v>
      </c>
      <c r="W308" s="911">
        <v>5119</v>
      </c>
      <c r="X308" s="911">
        <v>0</v>
      </c>
      <c r="Y308" s="911">
        <v>0</v>
      </c>
      <c r="Z308" s="911">
        <v>4154</v>
      </c>
      <c r="AA308" s="911">
        <v>0</v>
      </c>
      <c r="AB308" s="911">
        <v>0</v>
      </c>
      <c r="AC308" s="911">
        <v>2944</v>
      </c>
      <c r="AD308" s="911">
        <v>0</v>
      </c>
      <c r="AE308" s="911">
        <v>0</v>
      </c>
      <c r="AF308" s="385">
        <v>0</v>
      </c>
      <c r="AG308" s="371">
        <v>0</v>
      </c>
      <c r="AH308" s="371">
        <v>0</v>
      </c>
      <c r="AI308" s="387">
        <f t="shared" si="107"/>
        <v>0</v>
      </c>
      <c r="AJ308" s="496"/>
    </row>
    <row r="309" spans="1:36" s="393" customFormat="1" ht="14.25">
      <c r="A309" s="397" t="s">
        <v>1897</v>
      </c>
      <c r="B309" s="394" t="s">
        <v>1898</v>
      </c>
      <c r="C309" s="947" t="s">
        <v>1902</v>
      </c>
      <c r="D309" s="396">
        <v>5</v>
      </c>
      <c r="E309" s="385">
        <f t="shared" si="140"/>
        <v>92215</v>
      </c>
      <c r="F309" s="911">
        <v>92215</v>
      </c>
      <c r="G309" s="911">
        <v>0</v>
      </c>
      <c r="H309" s="385">
        <v>39130</v>
      </c>
      <c r="I309" s="911">
        <v>8713</v>
      </c>
      <c r="J309" s="911">
        <v>2428</v>
      </c>
      <c r="K309" s="911">
        <v>5806</v>
      </c>
      <c r="L309" s="911">
        <v>8204</v>
      </c>
      <c r="M309" s="911">
        <v>8436</v>
      </c>
      <c r="N309" s="911">
        <v>5543</v>
      </c>
      <c r="O309" s="911">
        <v>0</v>
      </c>
      <c r="P309" s="386">
        <v>52121</v>
      </c>
      <c r="Q309" s="911">
        <v>2496</v>
      </c>
      <c r="R309" s="911">
        <v>2227</v>
      </c>
      <c r="S309" s="911">
        <v>5552</v>
      </c>
      <c r="T309" s="911">
        <v>10904</v>
      </c>
      <c r="U309" s="911">
        <v>3351</v>
      </c>
      <c r="V309" s="911">
        <v>5528</v>
      </c>
      <c r="W309" s="911">
        <v>5100</v>
      </c>
      <c r="X309" s="911">
        <v>5986</v>
      </c>
      <c r="Y309" s="911">
        <v>2496</v>
      </c>
      <c r="Z309" s="911">
        <v>3644</v>
      </c>
      <c r="AA309" s="911">
        <v>1090</v>
      </c>
      <c r="AB309" s="911">
        <v>1523</v>
      </c>
      <c r="AC309" s="911">
        <v>1195</v>
      </c>
      <c r="AD309" s="911">
        <v>1029</v>
      </c>
      <c r="AE309" s="911">
        <v>0</v>
      </c>
      <c r="AF309" s="385">
        <v>964</v>
      </c>
      <c r="AG309" s="371">
        <v>534</v>
      </c>
      <c r="AH309" s="371">
        <v>430</v>
      </c>
      <c r="AI309" s="387">
        <f t="shared" si="107"/>
        <v>0</v>
      </c>
      <c r="AJ309" s="496"/>
    </row>
    <row r="310" spans="1:36" s="393" customFormat="1" ht="28.5">
      <c r="A310" s="397" t="s">
        <v>1897</v>
      </c>
      <c r="B310" s="394" t="s">
        <v>1898</v>
      </c>
      <c r="C310" s="947" t="s">
        <v>1903</v>
      </c>
      <c r="D310" s="396">
        <v>5</v>
      </c>
      <c r="E310" s="385">
        <f t="shared" si="140"/>
        <v>27356</v>
      </c>
      <c r="F310" s="911">
        <v>27356</v>
      </c>
      <c r="G310" s="911">
        <v>0</v>
      </c>
      <c r="H310" s="385">
        <v>19191</v>
      </c>
      <c r="I310" s="911">
        <v>3630</v>
      </c>
      <c r="J310" s="911">
        <v>5917</v>
      </c>
      <c r="K310" s="911">
        <v>2363</v>
      </c>
      <c r="L310" s="911">
        <v>3640</v>
      </c>
      <c r="M310" s="911">
        <v>1418</v>
      </c>
      <c r="N310" s="911">
        <v>2223</v>
      </c>
      <c r="O310" s="911">
        <v>0</v>
      </c>
      <c r="P310" s="386">
        <v>8005</v>
      </c>
      <c r="Q310" s="911">
        <v>405</v>
      </c>
      <c r="R310" s="911">
        <v>542</v>
      </c>
      <c r="S310" s="911">
        <v>454</v>
      </c>
      <c r="T310" s="911">
        <v>1008</v>
      </c>
      <c r="U310" s="911">
        <v>817</v>
      </c>
      <c r="V310" s="911">
        <v>750</v>
      </c>
      <c r="W310" s="911">
        <v>530</v>
      </c>
      <c r="X310" s="911">
        <v>647</v>
      </c>
      <c r="Y310" s="911">
        <v>577</v>
      </c>
      <c r="Z310" s="911">
        <v>586</v>
      </c>
      <c r="AA310" s="911">
        <v>177</v>
      </c>
      <c r="AB310" s="911">
        <v>618</v>
      </c>
      <c r="AC310" s="911">
        <v>494</v>
      </c>
      <c r="AD310" s="911">
        <v>400</v>
      </c>
      <c r="AE310" s="911"/>
      <c r="AF310" s="385">
        <v>160</v>
      </c>
      <c r="AG310" s="371">
        <v>140</v>
      </c>
      <c r="AH310" s="371">
        <v>20</v>
      </c>
      <c r="AI310" s="387">
        <f t="shared" si="107"/>
        <v>0</v>
      </c>
      <c r="AJ310" s="496"/>
    </row>
    <row r="311" spans="1:36" s="393" customFormat="1" ht="28.5">
      <c r="A311" s="397" t="s">
        <v>1897</v>
      </c>
      <c r="B311" s="394" t="s">
        <v>1898</v>
      </c>
      <c r="C311" s="947" t="s">
        <v>1904</v>
      </c>
      <c r="D311" s="396">
        <v>5</v>
      </c>
      <c r="E311" s="385">
        <f t="shared" si="140"/>
        <v>5626</v>
      </c>
      <c r="F311" s="911">
        <v>5626</v>
      </c>
      <c r="G311" s="911">
        <v>0</v>
      </c>
      <c r="H311" s="385">
        <v>5626</v>
      </c>
      <c r="I311" s="911">
        <v>5626</v>
      </c>
      <c r="J311" s="911">
        <v>0</v>
      </c>
      <c r="K311" s="911">
        <v>0</v>
      </c>
      <c r="L311" s="911">
        <v>0</v>
      </c>
      <c r="M311" s="911">
        <v>0</v>
      </c>
      <c r="N311" s="911">
        <v>0</v>
      </c>
      <c r="O311" s="911">
        <v>0</v>
      </c>
      <c r="P311" s="386">
        <v>0</v>
      </c>
      <c r="Q311" s="911"/>
      <c r="R311" s="911">
        <v>0</v>
      </c>
      <c r="S311" s="911">
        <v>0</v>
      </c>
      <c r="T311" s="911">
        <v>0</v>
      </c>
      <c r="U311" s="911">
        <v>0</v>
      </c>
      <c r="V311" s="911">
        <v>0</v>
      </c>
      <c r="W311" s="911">
        <v>0</v>
      </c>
      <c r="X311" s="911">
        <v>0</v>
      </c>
      <c r="Y311" s="911">
        <v>0</v>
      </c>
      <c r="Z311" s="911">
        <v>0</v>
      </c>
      <c r="AA311" s="911">
        <v>0</v>
      </c>
      <c r="AB311" s="911">
        <v>0</v>
      </c>
      <c r="AC311" s="911">
        <v>0</v>
      </c>
      <c r="AD311" s="911">
        <v>0</v>
      </c>
      <c r="AE311" s="911">
        <v>0</v>
      </c>
      <c r="AF311" s="385">
        <v>0</v>
      </c>
      <c r="AG311" s="371">
        <v>0</v>
      </c>
      <c r="AH311" s="371">
        <v>0</v>
      </c>
      <c r="AI311" s="387">
        <f t="shared" si="107"/>
        <v>0</v>
      </c>
      <c r="AJ311" s="496"/>
    </row>
    <row r="312" spans="1:36" s="393" customFormat="1" ht="28.5">
      <c r="A312" s="397" t="s">
        <v>1897</v>
      </c>
      <c r="B312" s="394" t="s">
        <v>1898</v>
      </c>
      <c r="C312" s="947" t="s">
        <v>1905</v>
      </c>
      <c r="D312" s="396">
        <v>5</v>
      </c>
      <c r="E312" s="385">
        <f t="shared" si="140"/>
        <v>254760</v>
      </c>
      <c r="F312" s="911">
        <v>254760</v>
      </c>
      <c r="G312" s="911">
        <v>0</v>
      </c>
      <c r="H312" s="385">
        <v>147944</v>
      </c>
      <c r="I312" s="911">
        <v>26739</v>
      </c>
      <c r="J312" s="911">
        <v>25439</v>
      </c>
      <c r="K312" s="911">
        <v>14549</v>
      </c>
      <c r="L312" s="911">
        <v>22639</v>
      </c>
      <c r="M312" s="911">
        <v>24239</v>
      </c>
      <c r="N312" s="911">
        <v>34339</v>
      </c>
      <c r="O312" s="911">
        <v>0</v>
      </c>
      <c r="P312" s="386">
        <v>105608</v>
      </c>
      <c r="Q312" s="911">
        <v>4400</v>
      </c>
      <c r="R312" s="911">
        <v>6700</v>
      </c>
      <c r="S312" s="911">
        <v>7500</v>
      </c>
      <c r="T312" s="911">
        <v>6650</v>
      </c>
      <c r="U312" s="911">
        <v>15408</v>
      </c>
      <c r="V312" s="911">
        <v>6720</v>
      </c>
      <c r="W312" s="911">
        <v>11300</v>
      </c>
      <c r="X312" s="911">
        <v>16800</v>
      </c>
      <c r="Y312" s="911">
        <v>10200</v>
      </c>
      <c r="Z312" s="911">
        <v>6350</v>
      </c>
      <c r="AA312" s="911">
        <v>1020</v>
      </c>
      <c r="AB312" s="911">
        <v>4800</v>
      </c>
      <c r="AC312" s="911">
        <v>3310</v>
      </c>
      <c r="AD312" s="911">
        <v>4450</v>
      </c>
      <c r="AE312" s="911">
        <v>0</v>
      </c>
      <c r="AF312" s="385">
        <v>1208</v>
      </c>
      <c r="AG312" s="371">
        <v>908</v>
      </c>
      <c r="AH312" s="371">
        <v>300</v>
      </c>
      <c r="AI312" s="387">
        <f t="shared" si="107"/>
        <v>0</v>
      </c>
      <c r="AJ312" s="496"/>
    </row>
    <row r="313" spans="1:36" s="393" customFormat="1" ht="14.25">
      <c r="A313" s="397" t="s">
        <v>1897</v>
      </c>
      <c r="B313" s="394" t="s">
        <v>1898</v>
      </c>
      <c r="C313" s="947" t="s">
        <v>1906</v>
      </c>
      <c r="D313" s="396">
        <v>5</v>
      </c>
      <c r="E313" s="385">
        <f t="shared" si="140"/>
        <v>31750</v>
      </c>
      <c r="F313" s="911">
        <v>1758</v>
      </c>
      <c r="G313" s="911">
        <v>29992</v>
      </c>
      <c r="H313" s="385">
        <v>4990</v>
      </c>
      <c r="I313" s="911">
        <v>0</v>
      </c>
      <c r="J313" s="911">
        <v>0</v>
      </c>
      <c r="K313" s="911">
        <v>1426</v>
      </c>
      <c r="L313" s="911">
        <v>3564</v>
      </c>
      <c r="M313" s="911">
        <v>0</v>
      </c>
      <c r="N313" s="911">
        <v>0</v>
      </c>
      <c r="O313" s="911">
        <v>0</v>
      </c>
      <c r="P313" s="386">
        <v>26760</v>
      </c>
      <c r="Q313" s="911">
        <v>4632</v>
      </c>
      <c r="R313" s="911">
        <v>0</v>
      </c>
      <c r="S313" s="911">
        <v>0</v>
      </c>
      <c r="T313" s="911">
        <v>4507</v>
      </c>
      <c r="U313" s="911">
        <v>2893</v>
      </c>
      <c r="V313" s="911">
        <v>2959</v>
      </c>
      <c r="W313" s="911">
        <v>0</v>
      </c>
      <c r="X313" s="911">
        <v>0</v>
      </c>
      <c r="Y313" s="911">
        <v>2893</v>
      </c>
      <c r="Z313" s="911">
        <v>0</v>
      </c>
      <c r="AA313" s="911">
        <v>0</v>
      </c>
      <c r="AB313" s="911">
        <v>1929</v>
      </c>
      <c r="AC313" s="911">
        <v>4633</v>
      </c>
      <c r="AD313" s="911">
        <v>2314</v>
      </c>
      <c r="AE313" s="911">
        <v>0</v>
      </c>
      <c r="AF313" s="385">
        <v>0</v>
      </c>
      <c r="AG313" s="371">
        <v>0</v>
      </c>
      <c r="AH313" s="371">
        <v>0</v>
      </c>
      <c r="AI313" s="387">
        <f t="shared" si="107"/>
        <v>0</v>
      </c>
      <c r="AJ313" s="496"/>
    </row>
    <row r="314" spans="1:36" s="393" customFormat="1" ht="14.25">
      <c r="A314" s="397" t="s">
        <v>1897</v>
      </c>
      <c r="B314" s="394" t="s">
        <v>1898</v>
      </c>
      <c r="C314" s="947" t="s">
        <v>1907</v>
      </c>
      <c r="D314" s="396">
        <v>5</v>
      </c>
      <c r="E314" s="385">
        <f t="shared" si="140"/>
        <v>15704</v>
      </c>
      <c r="F314" s="911">
        <v>10536</v>
      </c>
      <c r="G314" s="911">
        <v>5168</v>
      </c>
      <c r="H314" s="385">
        <f>SUM(I314:O314)</f>
        <v>3413</v>
      </c>
      <c r="I314" s="911">
        <v>500</v>
      </c>
      <c r="J314" s="911">
        <v>0</v>
      </c>
      <c r="K314" s="911">
        <v>505</v>
      </c>
      <c r="L314" s="911">
        <v>590</v>
      </c>
      <c r="M314" s="911">
        <v>1110</v>
      </c>
      <c r="N314" s="911">
        <v>708</v>
      </c>
      <c r="O314" s="911">
        <v>0</v>
      </c>
      <c r="P314" s="386">
        <f>SUM(Q314:AE314)</f>
        <v>11996</v>
      </c>
      <c r="Q314" s="911">
        <v>880</v>
      </c>
      <c r="R314" s="911">
        <v>379</v>
      </c>
      <c r="S314" s="911">
        <v>785</v>
      </c>
      <c r="T314" s="911">
        <v>1055</v>
      </c>
      <c r="U314" s="911">
        <v>460</v>
      </c>
      <c r="V314" s="911">
        <v>1216</v>
      </c>
      <c r="W314" s="911">
        <v>1101</v>
      </c>
      <c r="X314" s="911">
        <v>1010</v>
      </c>
      <c r="Y314" s="911">
        <v>1410</v>
      </c>
      <c r="Z314" s="911">
        <v>1160</v>
      </c>
      <c r="AA314" s="911">
        <v>1430</v>
      </c>
      <c r="AB314" s="911">
        <v>365</v>
      </c>
      <c r="AC314" s="911">
        <v>300</v>
      </c>
      <c r="AD314" s="911">
        <v>445</v>
      </c>
      <c r="AE314" s="911">
        <v>0</v>
      </c>
      <c r="AF314" s="385">
        <f>SUM(AG314:AH314)</f>
        <v>295</v>
      </c>
      <c r="AG314" s="371">
        <v>10</v>
      </c>
      <c r="AH314" s="371">
        <v>285</v>
      </c>
      <c r="AI314" s="387">
        <f t="shared" si="107"/>
        <v>0</v>
      </c>
      <c r="AJ314" s="496"/>
    </row>
    <row r="315" spans="1:36" s="393" customFormat="1" ht="14.25">
      <c r="A315" s="397" t="s">
        <v>1897</v>
      </c>
      <c r="B315" s="394" t="s">
        <v>1898</v>
      </c>
      <c r="C315" s="947" t="s">
        <v>1908</v>
      </c>
      <c r="D315" s="396">
        <v>5</v>
      </c>
      <c r="E315" s="385">
        <f t="shared" si="140"/>
        <v>39305</v>
      </c>
      <c r="F315" s="911">
        <v>39305</v>
      </c>
      <c r="G315" s="911">
        <v>0</v>
      </c>
      <c r="H315" s="385">
        <v>3398</v>
      </c>
      <c r="I315" s="911">
        <v>448</v>
      </c>
      <c r="J315" s="911">
        <v>0</v>
      </c>
      <c r="K315" s="911">
        <v>550</v>
      </c>
      <c r="L315" s="911">
        <v>900</v>
      </c>
      <c r="M315" s="911">
        <v>0</v>
      </c>
      <c r="N315" s="911">
        <v>1500</v>
      </c>
      <c r="O315" s="911">
        <v>0</v>
      </c>
      <c r="P315" s="386">
        <v>28320</v>
      </c>
      <c r="Q315" s="911">
        <v>1222</v>
      </c>
      <c r="R315" s="911">
        <v>577</v>
      </c>
      <c r="S315" s="911">
        <v>778</v>
      </c>
      <c r="T315" s="911">
        <v>0</v>
      </c>
      <c r="U315" s="911">
        <v>1782</v>
      </c>
      <c r="V315" s="911">
        <v>0</v>
      </c>
      <c r="W315" s="911">
        <v>799</v>
      </c>
      <c r="X315" s="911">
        <v>3938</v>
      </c>
      <c r="Y315" s="911">
        <v>8846</v>
      </c>
      <c r="Z315" s="911">
        <v>1310</v>
      </c>
      <c r="AA315" s="911">
        <v>9068</v>
      </c>
      <c r="AB315" s="911">
        <v>0</v>
      </c>
      <c r="AC315" s="911">
        <v>0</v>
      </c>
      <c r="AD315" s="911">
        <v>0</v>
      </c>
      <c r="AE315" s="911">
        <v>0</v>
      </c>
      <c r="AF315" s="385">
        <v>7587</v>
      </c>
      <c r="AG315" s="371">
        <v>6412</v>
      </c>
      <c r="AH315" s="371">
        <v>1175</v>
      </c>
      <c r="AI315" s="387">
        <f t="shared" si="107"/>
        <v>0</v>
      </c>
      <c r="AJ315" s="496"/>
    </row>
    <row r="316" spans="1:36" s="393" customFormat="1" ht="14.25">
      <c r="A316" s="397" t="s">
        <v>1897</v>
      </c>
      <c r="B316" s="394" t="s">
        <v>1898</v>
      </c>
      <c r="C316" s="947" t="s">
        <v>1909</v>
      </c>
      <c r="D316" s="396">
        <v>5</v>
      </c>
      <c r="E316" s="385">
        <f t="shared" si="140"/>
        <v>218343</v>
      </c>
      <c r="F316" s="911">
        <v>150652</v>
      </c>
      <c r="G316" s="911">
        <v>67691</v>
      </c>
      <c r="H316" s="385">
        <v>10147</v>
      </c>
      <c r="I316" s="911">
        <v>3712</v>
      </c>
      <c r="J316" s="911">
        <v>0</v>
      </c>
      <c r="K316" s="911">
        <v>1304</v>
      </c>
      <c r="L316" s="911">
        <v>1443</v>
      </c>
      <c r="M316" s="911">
        <v>0</v>
      </c>
      <c r="N316" s="911">
        <v>3688</v>
      </c>
      <c r="O316" s="911">
        <v>0</v>
      </c>
      <c r="P316" s="386">
        <v>113559</v>
      </c>
      <c r="Q316" s="911">
        <v>6070</v>
      </c>
      <c r="R316" s="911">
        <v>1503</v>
      </c>
      <c r="S316" s="911">
        <v>4867</v>
      </c>
      <c r="T316" s="911">
        <v>0</v>
      </c>
      <c r="U316" s="911">
        <v>1944</v>
      </c>
      <c r="V316" s="911">
        <v>0</v>
      </c>
      <c r="W316" s="911">
        <v>1645</v>
      </c>
      <c r="X316" s="911">
        <v>14754</v>
      </c>
      <c r="Y316" s="911">
        <v>19237</v>
      </c>
      <c r="Z316" s="911">
        <v>8762</v>
      </c>
      <c r="AA316" s="911">
        <v>54777</v>
      </c>
      <c r="AB316" s="911">
        <v>0</v>
      </c>
      <c r="AC316" s="911">
        <v>0</v>
      </c>
      <c r="AD316" s="911">
        <v>0</v>
      </c>
      <c r="AE316" s="911">
        <v>0</v>
      </c>
      <c r="AF316" s="385">
        <v>94637</v>
      </c>
      <c r="AG316" s="371">
        <v>35412</v>
      </c>
      <c r="AH316" s="371">
        <v>59225</v>
      </c>
      <c r="AI316" s="387">
        <f t="shared" si="107"/>
        <v>0</v>
      </c>
      <c r="AJ316" s="496"/>
    </row>
    <row r="317" spans="1:36" s="393" customFormat="1" ht="14.25">
      <c r="A317" s="397" t="s">
        <v>1897</v>
      </c>
      <c r="B317" s="394" t="s">
        <v>1898</v>
      </c>
      <c r="C317" s="947" t="s">
        <v>1910</v>
      </c>
      <c r="D317" s="396">
        <v>5</v>
      </c>
      <c r="E317" s="385">
        <f t="shared" si="140"/>
        <v>226243</v>
      </c>
      <c r="F317" s="911">
        <v>226243</v>
      </c>
      <c r="G317" s="911">
        <v>0</v>
      </c>
      <c r="H317" s="385">
        <v>128039</v>
      </c>
      <c r="I317" s="911">
        <v>33729</v>
      </c>
      <c r="J317" s="911">
        <v>9221</v>
      </c>
      <c r="K317" s="911">
        <v>22690</v>
      </c>
      <c r="L317" s="911">
        <v>18335</v>
      </c>
      <c r="M317" s="911">
        <v>20319</v>
      </c>
      <c r="N317" s="911">
        <v>23745</v>
      </c>
      <c r="O317" s="911"/>
      <c r="P317" s="386">
        <v>96662</v>
      </c>
      <c r="Q317" s="911">
        <v>5280</v>
      </c>
      <c r="R317" s="911">
        <v>8160</v>
      </c>
      <c r="S317" s="911">
        <v>7950</v>
      </c>
      <c r="T317" s="911">
        <v>10291</v>
      </c>
      <c r="U317" s="911">
        <v>5632</v>
      </c>
      <c r="V317" s="911">
        <v>9972</v>
      </c>
      <c r="W317" s="911">
        <v>10451</v>
      </c>
      <c r="X317" s="911">
        <v>13097</v>
      </c>
      <c r="Y317" s="911">
        <v>4293</v>
      </c>
      <c r="Z317" s="911">
        <v>4803</v>
      </c>
      <c r="AA317" s="911">
        <v>1303</v>
      </c>
      <c r="AB317" s="911">
        <v>7874</v>
      </c>
      <c r="AC317" s="911">
        <v>3498</v>
      </c>
      <c r="AD317" s="911">
        <v>4058</v>
      </c>
      <c r="AE317" s="911">
        <v>0</v>
      </c>
      <c r="AF317" s="385">
        <v>1542</v>
      </c>
      <c r="AG317" s="371">
        <v>771</v>
      </c>
      <c r="AH317" s="371">
        <v>771</v>
      </c>
      <c r="AI317" s="387">
        <f>IF(AND(+F317+G317=E317,AF317+P317+H317=E317,SUM(I317:O317,Q317:AE317,AG317:AH317)=E317),0,FALSE)</f>
        <v>0</v>
      </c>
      <c r="AJ317" s="496"/>
    </row>
    <row r="318" spans="1:36" s="393" customFormat="1" ht="14.25">
      <c r="A318" s="397" t="s">
        <v>1897</v>
      </c>
      <c r="B318" s="394" t="s">
        <v>1898</v>
      </c>
      <c r="C318" s="947" t="s">
        <v>1911</v>
      </c>
      <c r="D318" s="396">
        <v>5</v>
      </c>
      <c r="E318" s="385">
        <f t="shared" si="140"/>
        <v>3150644</v>
      </c>
      <c r="F318" s="911">
        <v>3150644</v>
      </c>
      <c r="G318" s="911">
        <v>0</v>
      </c>
      <c r="H318" s="385">
        <f>SUM(I318:O318)</f>
        <v>3150644</v>
      </c>
      <c r="I318" s="911">
        <v>0</v>
      </c>
      <c r="J318" s="911">
        <v>1548973</v>
      </c>
      <c r="K318" s="911">
        <v>0</v>
      </c>
      <c r="L318" s="911">
        <v>0</v>
      </c>
      <c r="M318" s="911">
        <v>0</v>
      </c>
      <c r="N318" s="911">
        <v>1601671</v>
      </c>
      <c r="O318" s="911">
        <v>0</v>
      </c>
      <c r="P318" s="386">
        <f>SUM(Q318:AD318)</f>
        <v>0</v>
      </c>
      <c r="Q318" s="911">
        <v>0</v>
      </c>
      <c r="R318" s="911">
        <v>0</v>
      </c>
      <c r="S318" s="911">
        <v>0</v>
      </c>
      <c r="T318" s="911">
        <v>0</v>
      </c>
      <c r="U318" s="911">
        <v>0</v>
      </c>
      <c r="V318" s="911">
        <v>0</v>
      </c>
      <c r="W318" s="911">
        <v>0</v>
      </c>
      <c r="X318" s="911">
        <v>0</v>
      </c>
      <c r="Y318" s="911">
        <v>0</v>
      </c>
      <c r="Z318" s="911">
        <v>0</v>
      </c>
      <c r="AA318" s="911">
        <v>0</v>
      </c>
      <c r="AB318" s="911">
        <v>0</v>
      </c>
      <c r="AC318" s="911">
        <v>0</v>
      </c>
      <c r="AD318" s="911">
        <v>0</v>
      </c>
      <c r="AE318" s="911">
        <v>0</v>
      </c>
      <c r="AF318" s="385">
        <f>SUM(AG318:AH318)</f>
        <v>0</v>
      </c>
      <c r="AG318" s="371">
        <v>0</v>
      </c>
      <c r="AH318" s="371">
        <v>0</v>
      </c>
      <c r="AI318" s="387">
        <f>IF(AND(+F318+G318=E318,AF318+P318+H318=E318,SUM(I318:O318,Q318:AE318,AG318:AH318)=E318),0,FALSE)</f>
        <v>0</v>
      </c>
      <c r="AJ318" s="496"/>
    </row>
    <row r="319" spans="1:36" s="393" customFormat="1" ht="14.25">
      <c r="A319" s="397" t="s">
        <v>1897</v>
      </c>
      <c r="B319" s="394" t="s">
        <v>1898</v>
      </c>
      <c r="C319" s="948" t="s">
        <v>1912</v>
      </c>
      <c r="D319" s="396">
        <v>5</v>
      </c>
      <c r="E319" s="385">
        <f t="shared" si="140"/>
        <v>13465</v>
      </c>
      <c r="F319" s="911">
        <v>13465</v>
      </c>
      <c r="G319" s="911">
        <v>0</v>
      </c>
      <c r="H319" s="385">
        <v>2453</v>
      </c>
      <c r="I319" s="911">
        <v>370</v>
      </c>
      <c r="J319" s="911">
        <v>185</v>
      </c>
      <c r="K319" s="911">
        <v>246</v>
      </c>
      <c r="L319" s="911">
        <v>370</v>
      </c>
      <c r="M319" s="911">
        <v>493</v>
      </c>
      <c r="N319" s="911">
        <v>789</v>
      </c>
      <c r="O319" s="911">
        <v>0</v>
      </c>
      <c r="P319" s="386">
        <v>10288</v>
      </c>
      <c r="Q319" s="911">
        <v>839</v>
      </c>
      <c r="R319" s="911">
        <v>493</v>
      </c>
      <c r="S319" s="911">
        <v>493</v>
      </c>
      <c r="T319" s="911">
        <v>1009</v>
      </c>
      <c r="U319" s="911">
        <v>839</v>
      </c>
      <c r="V319" s="911">
        <v>739</v>
      </c>
      <c r="W319" s="911">
        <v>1085</v>
      </c>
      <c r="X319" s="911">
        <v>1353</v>
      </c>
      <c r="Y319" s="911">
        <v>1085</v>
      </c>
      <c r="Z319" s="911">
        <v>1085</v>
      </c>
      <c r="AA319" s="911">
        <v>493</v>
      </c>
      <c r="AB319" s="911">
        <v>283</v>
      </c>
      <c r="AC319" s="911">
        <v>246</v>
      </c>
      <c r="AD319" s="911">
        <v>246</v>
      </c>
      <c r="AE319" s="911">
        <v>0</v>
      </c>
      <c r="AF319" s="385">
        <v>724</v>
      </c>
      <c r="AG319" s="371">
        <v>239</v>
      </c>
      <c r="AH319" s="371">
        <v>485</v>
      </c>
      <c r="AI319" s="387">
        <f>IF(AND(+F319+G319=E319,AF319+P319+H319=E319,SUM(I319:O319,Q319:AE319,AG319:AH319)=E319),0,FALSE)</f>
        <v>0</v>
      </c>
      <c r="AJ319" s="496"/>
    </row>
    <row r="320" spans="1:36" s="393" customFormat="1" ht="28.5">
      <c r="A320" s="397" t="s">
        <v>1897</v>
      </c>
      <c r="B320" s="394" t="s">
        <v>1898</v>
      </c>
      <c r="C320" s="947" t="s">
        <v>1913</v>
      </c>
      <c r="D320" s="396">
        <v>5</v>
      </c>
      <c r="E320" s="385">
        <f t="shared" si="140"/>
        <v>79030</v>
      </c>
      <c r="F320" s="911">
        <v>79030</v>
      </c>
      <c r="G320" s="911">
        <v>0</v>
      </c>
      <c r="H320" s="385">
        <v>21649</v>
      </c>
      <c r="I320" s="911">
        <v>3488</v>
      </c>
      <c r="J320" s="911">
        <v>1810</v>
      </c>
      <c r="K320" s="911">
        <v>2213</v>
      </c>
      <c r="L320" s="911">
        <v>3329</v>
      </c>
      <c r="M320" s="911">
        <v>4744</v>
      </c>
      <c r="N320" s="911">
        <v>6065</v>
      </c>
      <c r="O320" s="911">
        <v>0</v>
      </c>
      <c r="P320" s="386">
        <v>55424</v>
      </c>
      <c r="Q320" s="911">
        <v>3693</v>
      </c>
      <c r="R320" s="911">
        <v>3129</v>
      </c>
      <c r="S320" s="911">
        <v>5581</v>
      </c>
      <c r="T320" s="911">
        <v>6116</v>
      </c>
      <c r="U320" s="911">
        <v>4686</v>
      </c>
      <c r="V320" s="911">
        <v>5163</v>
      </c>
      <c r="W320" s="911">
        <v>4257</v>
      </c>
      <c r="X320" s="911">
        <v>6217</v>
      </c>
      <c r="Y320" s="911">
        <v>5581</v>
      </c>
      <c r="Z320" s="911">
        <v>4257</v>
      </c>
      <c r="AA320" s="911">
        <v>993</v>
      </c>
      <c r="AB320" s="911">
        <v>2129</v>
      </c>
      <c r="AC320" s="911">
        <v>1811</v>
      </c>
      <c r="AD320" s="911">
        <v>1811</v>
      </c>
      <c r="AE320" s="911">
        <v>0</v>
      </c>
      <c r="AF320" s="385">
        <v>1957</v>
      </c>
      <c r="AG320" s="371">
        <v>1064</v>
      </c>
      <c r="AH320" s="371">
        <v>893</v>
      </c>
      <c r="AI320" s="387">
        <f>IF(AND(+F320+G320=E320,AF320+P320+H320=E320,SUM(I320:O320,Q320:AE320,AG320:AH320)=E320),0,FALSE)</f>
        <v>0</v>
      </c>
      <c r="AJ320" s="496"/>
    </row>
    <row r="321" spans="1:36" s="410" customFormat="1" ht="21.6" customHeight="1">
      <c r="A321" s="405" t="s">
        <v>1914</v>
      </c>
      <c r="B321" s="406" t="s">
        <v>1915</v>
      </c>
      <c r="C321" s="407" t="s">
        <v>1916</v>
      </c>
      <c r="D321" s="408">
        <v>5</v>
      </c>
      <c r="E321" s="409">
        <f>SUM(H321,P321,AF321)</f>
        <v>125132</v>
      </c>
      <c r="F321" s="409">
        <v>125132</v>
      </c>
      <c r="G321" s="409">
        <v>0</v>
      </c>
      <c r="H321" s="409">
        <f>SUM(I321:O321)</f>
        <v>58903</v>
      </c>
      <c r="I321" s="409">
        <v>11063</v>
      </c>
      <c r="J321" s="409">
        <v>5382</v>
      </c>
      <c r="K321" s="409">
        <v>5382</v>
      </c>
      <c r="L321" s="409">
        <v>11512</v>
      </c>
      <c r="M321" s="409">
        <v>12408</v>
      </c>
      <c r="N321" s="409">
        <v>13156</v>
      </c>
      <c r="O321" s="409">
        <v>0</v>
      </c>
      <c r="P321" s="409">
        <f>SUM(Q321:AD321)</f>
        <v>63239</v>
      </c>
      <c r="Q321" s="409">
        <v>3738</v>
      </c>
      <c r="R321" s="409">
        <v>4335</v>
      </c>
      <c r="S321" s="409">
        <v>5681</v>
      </c>
      <c r="T321" s="409">
        <v>8073</v>
      </c>
      <c r="U321" s="409">
        <v>4336</v>
      </c>
      <c r="V321" s="409">
        <v>6129</v>
      </c>
      <c r="W321" s="409">
        <v>5532</v>
      </c>
      <c r="X321" s="409">
        <v>10016</v>
      </c>
      <c r="Y321" s="409">
        <v>4934</v>
      </c>
      <c r="Z321" s="409">
        <v>4186</v>
      </c>
      <c r="AA321" s="409">
        <v>1794</v>
      </c>
      <c r="AB321" s="409">
        <v>2392</v>
      </c>
      <c r="AC321" s="409">
        <v>1196</v>
      </c>
      <c r="AD321" s="409">
        <v>897</v>
      </c>
      <c r="AE321" s="409">
        <v>0</v>
      </c>
      <c r="AF321" s="409">
        <f>SUM(AG321:AH321)</f>
        <v>2990</v>
      </c>
      <c r="AG321" s="409">
        <v>1794</v>
      </c>
      <c r="AH321" s="409">
        <v>1196</v>
      </c>
      <c r="AI321" s="387">
        <f>IF(AND(+F321+G321=E321,AF321+P321+H321=E321,SUM(I321:O321,Q321:AE321,AG321:AH321)=E321),0,FALSE)</f>
        <v>0</v>
      </c>
      <c r="AJ321" s="496"/>
    </row>
    <row r="322" spans="1:36" s="410" customFormat="1" ht="21.6" customHeight="1">
      <c r="A322" s="405" t="s">
        <v>1264</v>
      </c>
      <c r="B322" s="406"/>
      <c r="C322" s="407"/>
      <c r="D322" s="408"/>
      <c r="E322" s="409">
        <f>SUM(E323:E334)</f>
        <v>8683445</v>
      </c>
      <c r="F322" s="409">
        <f t="shared" ref="F322:AH322" si="141">SUM(F323:F334)</f>
        <v>8674382</v>
      </c>
      <c r="G322" s="409">
        <f t="shared" si="141"/>
        <v>9063</v>
      </c>
      <c r="H322" s="409">
        <f t="shared" si="141"/>
        <v>5661451</v>
      </c>
      <c r="I322" s="409">
        <f t="shared" si="141"/>
        <v>1398636</v>
      </c>
      <c r="J322" s="409">
        <f t="shared" si="141"/>
        <v>713907</v>
      </c>
      <c r="K322" s="409">
        <f t="shared" si="141"/>
        <v>760542</v>
      </c>
      <c r="L322" s="409">
        <f t="shared" si="141"/>
        <v>1127051</v>
      </c>
      <c r="M322" s="409">
        <f t="shared" si="141"/>
        <v>636461</v>
      </c>
      <c r="N322" s="409">
        <f t="shared" si="141"/>
        <v>1021805</v>
      </c>
      <c r="O322" s="409">
        <f t="shared" si="141"/>
        <v>3049</v>
      </c>
      <c r="P322" s="409">
        <f t="shared" si="141"/>
        <v>2969546</v>
      </c>
      <c r="Q322" s="409">
        <f t="shared" si="141"/>
        <v>199600</v>
      </c>
      <c r="R322" s="409">
        <f t="shared" si="141"/>
        <v>193550</v>
      </c>
      <c r="S322" s="409">
        <f t="shared" si="141"/>
        <v>205326</v>
      </c>
      <c r="T322" s="409">
        <f t="shared" si="141"/>
        <v>546302</v>
      </c>
      <c r="U322" s="409">
        <f t="shared" si="141"/>
        <v>222420</v>
      </c>
      <c r="V322" s="409">
        <f t="shared" si="141"/>
        <v>287333</v>
      </c>
      <c r="W322" s="409">
        <f t="shared" si="141"/>
        <v>194958</v>
      </c>
      <c r="X322" s="409">
        <f t="shared" si="141"/>
        <v>360801</v>
      </c>
      <c r="Y322" s="409">
        <f t="shared" si="141"/>
        <v>112020</v>
      </c>
      <c r="Z322" s="409">
        <f t="shared" si="141"/>
        <v>164034</v>
      </c>
      <c r="AA322" s="409">
        <f t="shared" si="141"/>
        <v>60204</v>
      </c>
      <c r="AB322" s="409">
        <f t="shared" si="141"/>
        <v>138492</v>
      </c>
      <c r="AC322" s="409">
        <f t="shared" si="141"/>
        <v>168736</v>
      </c>
      <c r="AD322" s="409">
        <f t="shared" si="141"/>
        <v>111093</v>
      </c>
      <c r="AE322" s="409">
        <f t="shared" si="141"/>
        <v>4677</v>
      </c>
      <c r="AF322" s="409">
        <f t="shared" si="141"/>
        <v>52448</v>
      </c>
      <c r="AG322" s="409">
        <f t="shared" si="141"/>
        <v>46399</v>
      </c>
      <c r="AH322" s="409">
        <f t="shared" si="141"/>
        <v>6049</v>
      </c>
      <c r="AI322" s="387">
        <f t="shared" ref="AI322:AI363" si="142">IF(AND(+F322+G322=E322,AF322+P322+H322=E322,SUM(I322:O322,Q322:AE322,AG322:AH322)=E322),0,FALSE)</f>
        <v>0</v>
      </c>
      <c r="AJ322" s="496"/>
    </row>
    <row r="323" spans="1:36" s="393" customFormat="1" ht="14.25">
      <c r="A323" s="397" t="s">
        <v>1897</v>
      </c>
      <c r="B323" s="394" t="s">
        <v>1917</v>
      </c>
      <c r="C323" s="497" t="s">
        <v>1918</v>
      </c>
      <c r="D323" s="396">
        <v>5</v>
      </c>
      <c r="E323" s="385">
        <f t="shared" ref="E323:E334" si="143">SUM(H323,P323,AF323)</f>
        <v>100509</v>
      </c>
      <c r="F323" s="911">
        <v>100509</v>
      </c>
      <c r="G323" s="911">
        <v>0</v>
      </c>
      <c r="H323" s="385">
        <v>59977</v>
      </c>
      <c r="I323" s="911">
        <v>8800</v>
      </c>
      <c r="J323" s="911"/>
      <c r="K323" s="911">
        <v>10500</v>
      </c>
      <c r="L323" s="911">
        <v>5649</v>
      </c>
      <c r="M323" s="911">
        <v>7700</v>
      </c>
      <c r="N323" s="911">
        <v>27328</v>
      </c>
      <c r="O323" s="912">
        <v>0</v>
      </c>
      <c r="P323" s="386">
        <v>40532</v>
      </c>
      <c r="Q323" s="911">
        <v>1300</v>
      </c>
      <c r="R323" s="911">
        <v>1300</v>
      </c>
      <c r="S323" s="911">
        <v>1100</v>
      </c>
      <c r="T323" s="911">
        <v>5400</v>
      </c>
      <c r="U323" s="911">
        <v>5490</v>
      </c>
      <c r="V323" s="911">
        <v>4800</v>
      </c>
      <c r="W323" s="911">
        <v>3100</v>
      </c>
      <c r="X323" s="911">
        <v>5500</v>
      </c>
      <c r="Y323" s="911">
        <v>1300</v>
      </c>
      <c r="Z323" s="911">
        <v>1900</v>
      </c>
      <c r="AA323" s="911">
        <v>642</v>
      </c>
      <c r="AB323" s="911">
        <v>5100</v>
      </c>
      <c r="AC323" s="911">
        <v>1500</v>
      </c>
      <c r="AD323" s="911">
        <v>2100</v>
      </c>
      <c r="AE323" s="371">
        <v>0</v>
      </c>
      <c r="AF323" s="385">
        <v>0</v>
      </c>
      <c r="AG323" s="371">
        <v>0</v>
      </c>
      <c r="AH323" s="371">
        <v>0</v>
      </c>
      <c r="AI323" s="387">
        <f t="shared" si="142"/>
        <v>0</v>
      </c>
      <c r="AJ323" s="496"/>
    </row>
    <row r="324" spans="1:36" s="393" customFormat="1" ht="14.25">
      <c r="A324" s="397" t="s">
        <v>1897</v>
      </c>
      <c r="B324" s="394" t="s">
        <v>1917</v>
      </c>
      <c r="C324" s="497" t="s">
        <v>1919</v>
      </c>
      <c r="D324" s="396">
        <v>5</v>
      </c>
      <c r="E324" s="385">
        <f t="shared" si="143"/>
        <v>268200</v>
      </c>
      <c r="F324" s="911">
        <v>268200</v>
      </c>
      <c r="G324" s="911">
        <v>0</v>
      </c>
      <c r="H324" s="385">
        <v>179288</v>
      </c>
      <c r="I324" s="911">
        <v>40039</v>
      </c>
      <c r="J324" s="911">
        <v>22000</v>
      </c>
      <c r="K324" s="911">
        <v>11569</v>
      </c>
      <c r="L324" s="911">
        <v>33259</v>
      </c>
      <c r="M324" s="911">
        <v>20463</v>
      </c>
      <c r="N324" s="911">
        <v>51958</v>
      </c>
      <c r="O324" s="912">
        <v>0</v>
      </c>
      <c r="P324" s="386">
        <v>88725</v>
      </c>
      <c r="Q324" s="911">
        <v>3199</v>
      </c>
      <c r="R324" s="911">
        <v>2224</v>
      </c>
      <c r="S324" s="911">
        <v>4875</v>
      </c>
      <c r="T324" s="911">
        <v>11924</v>
      </c>
      <c r="U324" s="911">
        <v>11088</v>
      </c>
      <c r="V324" s="911">
        <v>10390</v>
      </c>
      <c r="W324" s="911">
        <v>9154</v>
      </c>
      <c r="X324" s="911">
        <v>11311</v>
      </c>
      <c r="Y324" s="911">
        <v>2516</v>
      </c>
      <c r="Z324" s="911">
        <v>3816</v>
      </c>
      <c r="AA324" s="911">
        <v>2376</v>
      </c>
      <c r="AB324" s="911">
        <v>6093</v>
      </c>
      <c r="AC324" s="911">
        <v>4770</v>
      </c>
      <c r="AD324" s="911">
        <v>4989</v>
      </c>
      <c r="AE324" s="371">
        <v>0</v>
      </c>
      <c r="AF324" s="385">
        <v>187</v>
      </c>
      <c r="AG324" s="371">
        <v>100</v>
      </c>
      <c r="AH324" s="371">
        <v>87</v>
      </c>
      <c r="AI324" s="387">
        <f t="shared" si="142"/>
        <v>0</v>
      </c>
      <c r="AJ324" s="496"/>
    </row>
    <row r="325" spans="1:36" s="393" customFormat="1" ht="28.5">
      <c r="A325" s="397" t="s">
        <v>1897</v>
      </c>
      <c r="B325" s="394" t="s">
        <v>1917</v>
      </c>
      <c r="C325" s="497" t="s">
        <v>1920</v>
      </c>
      <c r="D325" s="396">
        <v>5</v>
      </c>
      <c r="E325" s="385">
        <f t="shared" si="143"/>
        <v>1310141</v>
      </c>
      <c r="F325" s="911">
        <v>1310141</v>
      </c>
      <c r="G325" s="911">
        <v>0</v>
      </c>
      <c r="H325" s="385">
        <v>779391</v>
      </c>
      <c r="I325" s="911">
        <v>178589</v>
      </c>
      <c r="J325" s="911">
        <v>62408</v>
      </c>
      <c r="K325" s="911">
        <v>79109</v>
      </c>
      <c r="L325" s="911">
        <v>149733</v>
      </c>
      <c r="M325" s="911">
        <v>125114</v>
      </c>
      <c r="N325" s="911">
        <v>184438</v>
      </c>
      <c r="O325" s="912">
        <v>0</v>
      </c>
      <c r="P325" s="386">
        <v>528989</v>
      </c>
      <c r="Q325" s="911">
        <v>29642</v>
      </c>
      <c r="R325" s="911">
        <v>19765</v>
      </c>
      <c r="S325" s="911">
        <v>38654</v>
      </c>
      <c r="T325" s="911">
        <v>85196</v>
      </c>
      <c r="U325" s="911">
        <v>39221</v>
      </c>
      <c r="V325" s="911">
        <v>61473</v>
      </c>
      <c r="W325" s="911">
        <v>43906</v>
      </c>
      <c r="X325" s="911">
        <v>80213</v>
      </c>
      <c r="Y325" s="911">
        <v>25464</v>
      </c>
      <c r="Z325" s="911">
        <v>33876</v>
      </c>
      <c r="AA325" s="911">
        <v>8932</v>
      </c>
      <c r="AB325" s="911">
        <v>28081</v>
      </c>
      <c r="AC325" s="911">
        <v>17755</v>
      </c>
      <c r="AD325" s="911">
        <v>16811</v>
      </c>
      <c r="AE325" s="371">
        <v>0</v>
      </c>
      <c r="AF325" s="385">
        <v>1761</v>
      </c>
      <c r="AG325" s="371">
        <v>1592</v>
      </c>
      <c r="AH325" s="371">
        <v>169</v>
      </c>
      <c r="AI325" s="387">
        <f t="shared" si="142"/>
        <v>0</v>
      </c>
      <c r="AJ325" s="496"/>
    </row>
    <row r="326" spans="1:36" s="393" customFormat="1" ht="14.25">
      <c r="A326" s="397" t="s">
        <v>1897</v>
      </c>
      <c r="B326" s="394" t="s">
        <v>1917</v>
      </c>
      <c r="C326" s="497" t="s">
        <v>1921</v>
      </c>
      <c r="D326" s="396">
        <v>5</v>
      </c>
      <c r="E326" s="385">
        <f t="shared" si="143"/>
        <v>231524</v>
      </c>
      <c r="F326" s="911">
        <v>229391</v>
      </c>
      <c r="G326" s="911">
        <v>2133</v>
      </c>
      <c r="H326" s="385">
        <v>120492</v>
      </c>
      <c r="I326" s="911">
        <v>15908</v>
      </c>
      <c r="J326" s="911">
        <v>21647</v>
      </c>
      <c r="K326" s="911">
        <v>15601</v>
      </c>
      <c r="L326" s="911">
        <v>26709</v>
      </c>
      <c r="M326" s="911">
        <v>7363</v>
      </c>
      <c r="N326" s="911">
        <v>33264</v>
      </c>
      <c r="O326" s="912">
        <v>0</v>
      </c>
      <c r="P326" s="386">
        <v>109492</v>
      </c>
      <c r="Q326" s="911">
        <v>9870</v>
      </c>
      <c r="R326" s="911">
        <v>5069</v>
      </c>
      <c r="S326" s="911">
        <v>5227</v>
      </c>
      <c r="T326" s="911">
        <v>12292</v>
      </c>
      <c r="U326" s="911">
        <v>10787</v>
      </c>
      <c r="V326" s="911">
        <v>6489</v>
      </c>
      <c r="W326" s="911">
        <v>5634</v>
      </c>
      <c r="X326" s="911">
        <v>18551</v>
      </c>
      <c r="Y326" s="911">
        <v>7570</v>
      </c>
      <c r="Z326" s="911">
        <v>7330</v>
      </c>
      <c r="AA326" s="911">
        <v>5345</v>
      </c>
      <c r="AB326" s="911">
        <v>7825</v>
      </c>
      <c r="AC326" s="911">
        <v>4500</v>
      </c>
      <c r="AD326" s="911">
        <v>3003</v>
      </c>
      <c r="AE326" s="371">
        <v>0</v>
      </c>
      <c r="AF326" s="385">
        <v>1540</v>
      </c>
      <c r="AG326" s="911">
        <v>1540</v>
      </c>
      <c r="AH326" s="371">
        <v>0</v>
      </c>
      <c r="AI326" s="387">
        <f t="shared" si="142"/>
        <v>0</v>
      </c>
      <c r="AJ326" s="496"/>
    </row>
    <row r="327" spans="1:36" s="393" customFormat="1" ht="14.25">
      <c r="A327" s="397" t="s">
        <v>1897</v>
      </c>
      <c r="B327" s="394" t="s">
        <v>1917</v>
      </c>
      <c r="C327" s="497" t="s">
        <v>1922</v>
      </c>
      <c r="D327" s="396">
        <v>5</v>
      </c>
      <c r="E327" s="385">
        <f t="shared" si="143"/>
        <v>6930</v>
      </c>
      <c r="F327" s="911">
        <v>0</v>
      </c>
      <c r="G327" s="911">
        <v>6930</v>
      </c>
      <c r="H327" s="385">
        <v>3049</v>
      </c>
      <c r="I327" s="911">
        <v>0</v>
      </c>
      <c r="J327" s="911">
        <v>0</v>
      </c>
      <c r="K327" s="911">
        <v>0</v>
      </c>
      <c r="L327" s="911">
        <v>0</v>
      </c>
      <c r="M327" s="911">
        <v>0</v>
      </c>
      <c r="N327" s="911">
        <v>0</v>
      </c>
      <c r="O327" s="911">
        <v>3049</v>
      </c>
      <c r="P327" s="386">
        <v>3881</v>
      </c>
      <c r="Q327" s="911">
        <v>0</v>
      </c>
      <c r="R327" s="911">
        <v>0</v>
      </c>
      <c r="S327" s="911">
        <v>0</v>
      </c>
      <c r="T327" s="911">
        <v>0</v>
      </c>
      <c r="U327" s="911">
        <v>0</v>
      </c>
      <c r="V327" s="911">
        <v>0</v>
      </c>
      <c r="W327" s="911">
        <v>0</v>
      </c>
      <c r="X327" s="911">
        <v>0</v>
      </c>
      <c r="Y327" s="911">
        <v>0</v>
      </c>
      <c r="Z327" s="911">
        <v>0</v>
      </c>
      <c r="AA327" s="911">
        <v>0</v>
      </c>
      <c r="AB327" s="911">
        <v>0</v>
      </c>
      <c r="AC327" s="911">
        <v>0</v>
      </c>
      <c r="AD327" s="911">
        <v>0</v>
      </c>
      <c r="AE327" s="911">
        <v>3881</v>
      </c>
      <c r="AF327" s="385">
        <v>0</v>
      </c>
      <c r="AG327" s="371">
        <v>0</v>
      </c>
      <c r="AH327" s="371">
        <v>0</v>
      </c>
      <c r="AI327" s="387">
        <f t="shared" si="142"/>
        <v>0</v>
      </c>
      <c r="AJ327" s="496"/>
    </row>
    <row r="328" spans="1:36" s="393" customFormat="1" ht="14.25">
      <c r="A328" s="397" t="s">
        <v>1897</v>
      </c>
      <c r="B328" s="394" t="s">
        <v>1917</v>
      </c>
      <c r="C328" s="497" t="s">
        <v>1923</v>
      </c>
      <c r="D328" s="396">
        <v>5</v>
      </c>
      <c r="E328" s="385">
        <f t="shared" si="143"/>
        <v>32174</v>
      </c>
      <c r="F328" s="911">
        <v>32174</v>
      </c>
      <c r="G328" s="911">
        <v>0</v>
      </c>
      <c r="H328" s="385">
        <v>28250</v>
      </c>
      <c r="I328" s="911">
        <v>5331</v>
      </c>
      <c r="J328" s="911">
        <v>2324</v>
      </c>
      <c r="K328" s="911">
        <v>15594</v>
      </c>
      <c r="L328" s="911">
        <v>4212</v>
      </c>
      <c r="M328" s="911">
        <v>301</v>
      </c>
      <c r="N328" s="911">
        <v>488</v>
      </c>
      <c r="O328" s="911">
        <v>0</v>
      </c>
      <c r="P328" s="386">
        <v>3924</v>
      </c>
      <c r="Q328" s="911">
        <v>772</v>
      </c>
      <c r="R328" s="911">
        <v>867</v>
      </c>
      <c r="S328" s="911">
        <v>355</v>
      </c>
      <c r="T328" s="911">
        <v>272</v>
      </c>
      <c r="U328" s="911">
        <v>110</v>
      </c>
      <c r="V328" s="911">
        <v>164</v>
      </c>
      <c r="W328" s="911">
        <v>110</v>
      </c>
      <c r="X328" s="911">
        <v>136</v>
      </c>
      <c r="Y328" s="911">
        <v>110</v>
      </c>
      <c r="Z328" s="911">
        <v>246</v>
      </c>
      <c r="AA328" s="911">
        <v>0</v>
      </c>
      <c r="AB328" s="911">
        <v>137</v>
      </c>
      <c r="AC328" s="911">
        <v>645</v>
      </c>
      <c r="AD328" s="911">
        <v>0</v>
      </c>
      <c r="AE328" s="911">
        <v>0</v>
      </c>
      <c r="AF328" s="385">
        <v>0</v>
      </c>
      <c r="AG328" s="371">
        <v>0</v>
      </c>
      <c r="AH328" s="371">
        <v>0</v>
      </c>
      <c r="AI328" s="387">
        <f t="shared" si="142"/>
        <v>0</v>
      </c>
      <c r="AJ328" s="496"/>
    </row>
    <row r="329" spans="1:36" s="393" customFormat="1" ht="14.25">
      <c r="A329" s="397" t="s">
        <v>1897</v>
      </c>
      <c r="B329" s="394" t="s">
        <v>1917</v>
      </c>
      <c r="C329" s="497" t="s">
        <v>1924</v>
      </c>
      <c r="D329" s="396">
        <v>5</v>
      </c>
      <c r="E329" s="385">
        <f t="shared" si="143"/>
        <v>4606300</v>
      </c>
      <c r="F329" s="911">
        <v>4606300</v>
      </c>
      <c r="G329" s="911">
        <v>0</v>
      </c>
      <c r="H329" s="385">
        <v>3008439</v>
      </c>
      <c r="I329" s="911">
        <v>752877</v>
      </c>
      <c r="J329" s="911">
        <v>379740</v>
      </c>
      <c r="K329" s="911">
        <v>445362</v>
      </c>
      <c r="L329" s="911">
        <v>583225</v>
      </c>
      <c r="M329" s="911">
        <v>328212</v>
      </c>
      <c r="N329" s="911">
        <v>519023</v>
      </c>
      <c r="O329" s="911">
        <v>0</v>
      </c>
      <c r="P329" s="386">
        <v>1562291</v>
      </c>
      <c r="Q329" s="911">
        <v>109133</v>
      </c>
      <c r="R329" s="911">
        <v>98616</v>
      </c>
      <c r="S329" s="911">
        <v>100832</v>
      </c>
      <c r="T329" s="911">
        <v>329051</v>
      </c>
      <c r="U329" s="911">
        <v>118099</v>
      </c>
      <c r="V329" s="911">
        <v>154381</v>
      </c>
      <c r="W329" s="911">
        <v>103217</v>
      </c>
      <c r="X329" s="911">
        <v>187447</v>
      </c>
      <c r="Y329" s="911">
        <v>49989</v>
      </c>
      <c r="Z329" s="911">
        <v>83629</v>
      </c>
      <c r="AA329" s="911">
        <v>31444</v>
      </c>
      <c r="AB329" s="911">
        <v>61202</v>
      </c>
      <c r="AC329" s="911">
        <v>76476</v>
      </c>
      <c r="AD329" s="911">
        <v>58775</v>
      </c>
      <c r="AE329" s="911">
        <v>0</v>
      </c>
      <c r="AF329" s="385">
        <v>35570</v>
      </c>
      <c r="AG329" s="371">
        <v>33138</v>
      </c>
      <c r="AH329" s="371">
        <v>2432</v>
      </c>
      <c r="AI329" s="387">
        <f t="shared" si="142"/>
        <v>0</v>
      </c>
      <c r="AJ329" s="496"/>
    </row>
    <row r="330" spans="1:36" s="393" customFormat="1" ht="14.25">
      <c r="A330" s="397" t="s">
        <v>1897</v>
      </c>
      <c r="B330" s="394" t="s">
        <v>1917</v>
      </c>
      <c r="C330" s="497" t="s">
        <v>1925</v>
      </c>
      <c r="D330" s="396">
        <v>5</v>
      </c>
      <c r="E330" s="385">
        <f t="shared" si="143"/>
        <v>1683681</v>
      </c>
      <c r="F330" s="911">
        <v>1683681</v>
      </c>
      <c r="G330" s="911">
        <v>0</v>
      </c>
      <c r="H330" s="385">
        <v>1266751</v>
      </c>
      <c r="I330" s="911">
        <v>353586</v>
      </c>
      <c r="J330" s="911">
        <v>199009</v>
      </c>
      <c r="K330" s="911">
        <v>154898</v>
      </c>
      <c r="L330" s="911">
        <v>287814</v>
      </c>
      <c r="M330" s="911">
        <v>112325</v>
      </c>
      <c r="N330" s="911">
        <v>159119</v>
      </c>
      <c r="O330" s="911">
        <v>0</v>
      </c>
      <c r="P330" s="386">
        <v>410388</v>
      </c>
      <c r="Q330" s="911">
        <v>28683</v>
      </c>
      <c r="R330" s="911">
        <v>54393</v>
      </c>
      <c r="S330" s="911">
        <v>38024</v>
      </c>
      <c r="T330" s="911">
        <v>73980</v>
      </c>
      <c r="U330" s="911">
        <v>21415</v>
      </c>
      <c r="V330" s="911">
        <v>31009</v>
      </c>
      <c r="W330" s="911">
        <v>15641</v>
      </c>
      <c r="X330" s="911">
        <v>23514</v>
      </c>
      <c r="Y330" s="911">
        <v>10842</v>
      </c>
      <c r="Z330" s="911">
        <v>15616</v>
      </c>
      <c r="AA330" s="911">
        <v>2887</v>
      </c>
      <c r="AB330" s="911">
        <v>20976</v>
      </c>
      <c r="AC330" s="911">
        <v>54937</v>
      </c>
      <c r="AD330" s="911">
        <v>18471</v>
      </c>
      <c r="AE330" s="911">
        <v>0</v>
      </c>
      <c r="AF330" s="385">
        <v>6542</v>
      </c>
      <c r="AG330" s="371">
        <v>5875</v>
      </c>
      <c r="AH330" s="371">
        <v>667</v>
      </c>
      <c r="AI330" s="387">
        <f t="shared" si="142"/>
        <v>0</v>
      </c>
      <c r="AJ330" s="496"/>
    </row>
    <row r="331" spans="1:36" s="393" customFormat="1" ht="14.25">
      <c r="A331" s="397" t="s">
        <v>1897</v>
      </c>
      <c r="B331" s="394" t="s">
        <v>1917</v>
      </c>
      <c r="C331" s="497" t="s">
        <v>1926</v>
      </c>
      <c r="D331" s="396">
        <v>5</v>
      </c>
      <c r="E331" s="385">
        <f t="shared" si="143"/>
        <v>39200</v>
      </c>
      <c r="F331" s="911">
        <v>39200</v>
      </c>
      <c r="G331" s="911">
        <v>0</v>
      </c>
      <c r="H331" s="385">
        <v>20341</v>
      </c>
      <c r="I331" s="911">
        <v>3911</v>
      </c>
      <c r="J331" s="911">
        <v>1999</v>
      </c>
      <c r="K331" s="911">
        <v>2651</v>
      </c>
      <c r="L331" s="911">
        <v>5880</v>
      </c>
      <c r="M331" s="911">
        <v>3749</v>
      </c>
      <c r="N331" s="911">
        <v>2151</v>
      </c>
      <c r="O331" s="911">
        <v>0</v>
      </c>
      <c r="P331" s="386">
        <v>18711</v>
      </c>
      <c r="Q331" s="911">
        <v>1791</v>
      </c>
      <c r="R331" s="911">
        <v>1824</v>
      </c>
      <c r="S331" s="911">
        <v>2729</v>
      </c>
      <c r="T331" s="911">
        <v>3109</v>
      </c>
      <c r="U331" s="911">
        <v>956</v>
      </c>
      <c r="V331" s="911">
        <v>1757</v>
      </c>
      <c r="W331" s="911">
        <v>1450</v>
      </c>
      <c r="X331" s="911">
        <v>1727</v>
      </c>
      <c r="Y331" s="911">
        <v>654</v>
      </c>
      <c r="Z331" s="911">
        <v>561</v>
      </c>
      <c r="AA331" s="911">
        <v>96</v>
      </c>
      <c r="AB331" s="911">
        <v>235</v>
      </c>
      <c r="AC331" s="911">
        <v>1306</v>
      </c>
      <c r="AD331" s="911">
        <v>516</v>
      </c>
      <c r="AE331" s="911">
        <v>0</v>
      </c>
      <c r="AF331" s="385">
        <v>148</v>
      </c>
      <c r="AG331" s="371">
        <v>94</v>
      </c>
      <c r="AH331" s="371">
        <v>54</v>
      </c>
      <c r="AI331" s="387">
        <f t="shared" si="142"/>
        <v>0</v>
      </c>
      <c r="AJ331" s="496"/>
    </row>
    <row r="332" spans="1:36" s="393" customFormat="1" ht="14.25">
      <c r="A332" s="397" t="s">
        <v>1897</v>
      </c>
      <c r="B332" s="394" t="s">
        <v>1917</v>
      </c>
      <c r="C332" s="497" t="s">
        <v>1927</v>
      </c>
      <c r="D332" s="396">
        <v>5</v>
      </c>
      <c r="E332" s="385">
        <f t="shared" si="143"/>
        <v>169540</v>
      </c>
      <c r="F332" s="911">
        <v>169540</v>
      </c>
      <c r="G332" s="911">
        <v>0</v>
      </c>
      <c r="H332" s="385">
        <v>117072</v>
      </c>
      <c r="I332" s="911">
        <v>28658</v>
      </c>
      <c r="J332" s="911">
        <v>19415</v>
      </c>
      <c r="K332" s="911">
        <v>15468</v>
      </c>
      <c r="L332" s="911">
        <v>19930</v>
      </c>
      <c r="M332" s="911">
        <v>13584</v>
      </c>
      <c r="N332" s="911">
        <v>20017</v>
      </c>
      <c r="O332" s="911">
        <v>0</v>
      </c>
      <c r="P332" s="386">
        <v>51403</v>
      </c>
      <c r="Q332" s="911">
        <v>3296</v>
      </c>
      <c r="R332" s="911">
        <v>3944</v>
      </c>
      <c r="S332" s="911">
        <v>4028</v>
      </c>
      <c r="T332" s="911">
        <v>9271</v>
      </c>
      <c r="U332" s="911">
        <v>3639</v>
      </c>
      <c r="V332" s="911">
        <v>5005</v>
      </c>
      <c r="W332" s="911">
        <v>3711</v>
      </c>
      <c r="X332" s="911">
        <v>6019</v>
      </c>
      <c r="Y332" s="911">
        <v>1591</v>
      </c>
      <c r="Z332" s="911">
        <v>2383</v>
      </c>
      <c r="AA332" s="911">
        <v>744</v>
      </c>
      <c r="AB332" s="911">
        <v>2679</v>
      </c>
      <c r="AC332" s="911">
        <v>3150</v>
      </c>
      <c r="AD332" s="911">
        <v>1943</v>
      </c>
      <c r="AE332" s="911">
        <v>0</v>
      </c>
      <c r="AF332" s="385">
        <v>1065</v>
      </c>
      <c r="AG332" s="371">
        <v>973</v>
      </c>
      <c r="AH332" s="371">
        <v>92</v>
      </c>
      <c r="AI332" s="387">
        <f t="shared" si="142"/>
        <v>0</v>
      </c>
      <c r="AJ332" s="496"/>
    </row>
    <row r="333" spans="1:36" s="393" customFormat="1" ht="28.5">
      <c r="A333" s="397" t="s">
        <v>1897</v>
      </c>
      <c r="B333" s="394" t="s">
        <v>1917</v>
      </c>
      <c r="C333" s="519" t="s">
        <v>1928</v>
      </c>
      <c r="D333" s="396">
        <v>5</v>
      </c>
      <c r="E333" s="385">
        <f t="shared" si="143"/>
        <v>235246</v>
      </c>
      <c r="F333" s="911">
        <v>235246</v>
      </c>
      <c r="G333" s="911">
        <v>0</v>
      </c>
      <c r="H333" s="385">
        <v>78401</v>
      </c>
      <c r="I333" s="911">
        <v>10937</v>
      </c>
      <c r="J333" s="911">
        <v>5365</v>
      </c>
      <c r="K333" s="911">
        <v>9790</v>
      </c>
      <c r="L333" s="911">
        <v>10640</v>
      </c>
      <c r="M333" s="911">
        <v>17650</v>
      </c>
      <c r="N333" s="911">
        <v>24019</v>
      </c>
      <c r="O333" s="911">
        <v>0</v>
      </c>
      <c r="P333" s="386">
        <v>151210</v>
      </c>
      <c r="Q333" s="911">
        <v>11914</v>
      </c>
      <c r="R333" s="911">
        <v>5548</v>
      </c>
      <c r="S333" s="911">
        <v>9502</v>
      </c>
      <c r="T333" s="911">
        <v>15807</v>
      </c>
      <c r="U333" s="911">
        <v>11615</v>
      </c>
      <c r="V333" s="911">
        <v>11865</v>
      </c>
      <c r="W333" s="911">
        <v>9035</v>
      </c>
      <c r="X333" s="911">
        <v>26383</v>
      </c>
      <c r="Y333" s="911">
        <v>11984</v>
      </c>
      <c r="Z333" s="911">
        <v>14677</v>
      </c>
      <c r="AA333" s="911">
        <v>7738</v>
      </c>
      <c r="AB333" s="911">
        <v>6164</v>
      </c>
      <c r="AC333" s="911">
        <v>3697</v>
      </c>
      <c r="AD333" s="911">
        <v>4485</v>
      </c>
      <c r="AE333" s="911">
        <v>796</v>
      </c>
      <c r="AF333" s="385">
        <v>5635</v>
      </c>
      <c r="AG333" s="371">
        <v>3087</v>
      </c>
      <c r="AH333" s="371">
        <v>2548</v>
      </c>
      <c r="AI333" s="387">
        <f t="shared" si="142"/>
        <v>0</v>
      </c>
      <c r="AJ333" s="496"/>
    </row>
    <row r="334" spans="1:36" s="393" customFormat="1" ht="22.5" customHeight="1">
      <c r="A334" s="922" t="s">
        <v>1897</v>
      </c>
      <c r="B334" s="923" t="s">
        <v>1917</v>
      </c>
      <c r="C334" s="924" t="s">
        <v>1933</v>
      </c>
      <c r="D334" s="396">
        <v>5</v>
      </c>
      <c r="E334" s="385">
        <f t="shared" si="143"/>
        <v>0</v>
      </c>
      <c r="F334" s="368"/>
      <c r="G334" s="368"/>
      <c r="H334" s="385">
        <f>SUM(I334:O334)</f>
        <v>0</v>
      </c>
      <c r="I334" s="371"/>
      <c r="J334" s="371"/>
      <c r="K334" s="371"/>
      <c r="L334" s="371"/>
      <c r="M334" s="371"/>
      <c r="N334" s="371"/>
      <c r="O334" s="370"/>
      <c r="P334" s="386">
        <f>SUM(Q334:AE334)</f>
        <v>0</v>
      </c>
      <c r="Q334" s="371"/>
      <c r="R334" s="371"/>
      <c r="S334" s="371"/>
      <c r="T334" s="371"/>
      <c r="U334" s="371"/>
      <c r="V334" s="371"/>
      <c r="W334" s="371"/>
      <c r="X334" s="371"/>
      <c r="Y334" s="371"/>
      <c r="Z334" s="371"/>
      <c r="AA334" s="371"/>
      <c r="AB334" s="371"/>
      <c r="AC334" s="371"/>
      <c r="AD334" s="371"/>
      <c r="AE334" s="371"/>
      <c r="AF334" s="385">
        <f>SUM(AG334:AH334)</f>
        <v>0</v>
      </c>
      <c r="AG334" s="371">
        <v>0</v>
      </c>
      <c r="AH334" s="371">
        <v>0</v>
      </c>
      <c r="AI334" s="387">
        <f t="shared" si="142"/>
        <v>0</v>
      </c>
      <c r="AJ334" s="496"/>
    </row>
    <row r="335" spans="1:36" s="410" customFormat="1" ht="21.6" customHeight="1">
      <c r="A335" s="405" t="s">
        <v>1897</v>
      </c>
      <c r="B335" s="406" t="s">
        <v>1929</v>
      </c>
      <c r="C335" s="407" t="s">
        <v>1930</v>
      </c>
      <c r="D335" s="408">
        <v>5</v>
      </c>
      <c r="E335" s="409">
        <f>SUM(H335,P335,AF335)</f>
        <v>8000</v>
      </c>
      <c r="F335" s="409">
        <v>8000</v>
      </c>
      <c r="G335" s="409">
        <v>0</v>
      </c>
      <c r="H335" s="409">
        <f>SUM(I335:O335)</f>
        <v>2186</v>
      </c>
      <c r="I335" s="409">
        <v>466</v>
      </c>
      <c r="J335" s="409">
        <v>0</v>
      </c>
      <c r="K335" s="409">
        <v>496</v>
      </c>
      <c r="L335" s="409">
        <v>408</v>
      </c>
      <c r="M335" s="409">
        <v>379</v>
      </c>
      <c r="N335" s="409">
        <v>437</v>
      </c>
      <c r="O335" s="409">
        <v>0</v>
      </c>
      <c r="P335" s="409">
        <f>SUM(Q335:AE335)</f>
        <v>5237</v>
      </c>
      <c r="Q335" s="409">
        <v>430</v>
      </c>
      <c r="R335" s="409">
        <v>350</v>
      </c>
      <c r="S335" s="409">
        <v>334</v>
      </c>
      <c r="T335" s="409">
        <v>458</v>
      </c>
      <c r="U335" s="409">
        <v>372</v>
      </c>
      <c r="V335" s="409">
        <v>401</v>
      </c>
      <c r="W335" s="409">
        <v>405</v>
      </c>
      <c r="X335" s="409">
        <v>381</v>
      </c>
      <c r="Y335" s="409">
        <v>358</v>
      </c>
      <c r="Z335" s="409">
        <v>310</v>
      </c>
      <c r="AA335" s="409">
        <v>286</v>
      </c>
      <c r="AB335" s="409">
        <v>344</v>
      </c>
      <c r="AC335" s="409">
        <v>321</v>
      </c>
      <c r="AD335" s="409">
        <v>487</v>
      </c>
      <c r="AE335" s="409">
        <v>0</v>
      </c>
      <c r="AF335" s="409">
        <f>SUM(AG335:AH335)</f>
        <v>577</v>
      </c>
      <c r="AG335" s="409">
        <v>315</v>
      </c>
      <c r="AH335" s="409">
        <v>262</v>
      </c>
      <c r="AI335" s="387">
        <f t="shared" si="142"/>
        <v>0</v>
      </c>
      <c r="AJ335" s="496"/>
    </row>
    <row r="336" spans="1:36" s="410" customFormat="1" ht="21.6" customHeight="1">
      <c r="A336" s="405" t="s">
        <v>1897</v>
      </c>
      <c r="B336" s="406" t="s">
        <v>1931</v>
      </c>
      <c r="C336" s="407" t="s">
        <v>1932</v>
      </c>
      <c r="D336" s="408">
        <v>5</v>
      </c>
      <c r="E336" s="409">
        <v>75758</v>
      </c>
      <c r="F336" s="409">
        <v>75758</v>
      </c>
      <c r="G336" s="409">
        <v>0</v>
      </c>
      <c r="H336" s="409">
        <v>39205</v>
      </c>
      <c r="I336" s="409">
        <v>4966</v>
      </c>
      <c r="J336" s="409">
        <v>0</v>
      </c>
      <c r="K336" s="409">
        <v>4424</v>
      </c>
      <c r="L336" s="409">
        <v>4600</v>
      </c>
      <c r="M336" s="409">
        <v>10930</v>
      </c>
      <c r="N336" s="409">
        <v>14285</v>
      </c>
      <c r="O336" s="409">
        <v>0</v>
      </c>
      <c r="P336" s="409">
        <v>36046</v>
      </c>
      <c r="Q336" s="409">
        <v>2455</v>
      </c>
      <c r="R336" s="409">
        <v>1628</v>
      </c>
      <c r="S336" s="409">
        <v>2047</v>
      </c>
      <c r="T336" s="409">
        <v>2961</v>
      </c>
      <c r="U336" s="409">
        <v>2602</v>
      </c>
      <c r="V336" s="409">
        <v>2573</v>
      </c>
      <c r="W336" s="409">
        <v>3419</v>
      </c>
      <c r="X336" s="409">
        <v>9202</v>
      </c>
      <c r="Y336" s="409">
        <v>1842</v>
      </c>
      <c r="Z336" s="409">
        <v>1666</v>
      </c>
      <c r="AA336" s="409">
        <v>1308</v>
      </c>
      <c r="AB336" s="409">
        <v>1578</v>
      </c>
      <c r="AC336" s="409">
        <v>1243</v>
      </c>
      <c r="AD336" s="409">
        <v>1522</v>
      </c>
      <c r="AE336" s="409">
        <v>0</v>
      </c>
      <c r="AF336" s="409">
        <v>507</v>
      </c>
      <c r="AG336" s="409">
        <v>260</v>
      </c>
      <c r="AH336" s="409">
        <v>247</v>
      </c>
      <c r="AI336" s="387">
        <f t="shared" si="142"/>
        <v>0</v>
      </c>
      <c r="AJ336" s="496"/>
    </row>
    <row r="337" spans="1:36" s="515" customFormat="1" ht="24" customHeight="1">
      <c r="A337" s="510" t="s">
        <v>1240</v>
      </c>
      <c r="B337" s="511"/>
      <c r="C337" s="512"/>
      <c r="D337" s="513"/>
      <c r="E337" s="514">
        <f t="shared" ref="E337:AH337" si="144">SUM(E338:E340)</f>
        <v>2171753</v>
      </c>
      <c r="F337" s="514">
        <f t="shared" si="144"/>
        <v>404827</v>
      </c>
      <c r="G337" s="514">
        <f t="shared" si="144"/>
        <v>1766926</v>
      </c>
      <c r="H337" s="514">
        <f t="shared" si="144"/>
        <v>984327</v>
      </c>
      <c r="I337" s="514">
        <f t="shared" si="144"/>
        <v>38708</v>
      </c>
      <c r="J337" s="514">
        <f t="shared" si="144"/>
        <v>0</v>
      </c>
      <c r="K337" s="514">
        <f t="shared" si="144"/>
        <v>178574</v>
      </c>
      <c r="L337" s="514">
        <f t="shared" si="144"/>
        <v>250450</v>
      </c>
      <c r="M337" s="514">
        <f t="shared" si="144"/>
        <v>291644</v>
      </c>
      <c r="N337" s="514">
        <f t="shared" si="144"/>
        <v>203027</v>
      </c>
      <c r="O337" s="514">
        <f t="shared" si="144"/>
        <v>21924</v>
      </c>
      <c r="P337" s="514">
        <f t="shared" si="144"/>
        <v>1125572</v>
      </c>
      <c r="Q337" s="514">
        <f t="shared" si="144"/>
        <v>6237</v>
      </c>
      <c r="R337" s="514">
        <f t="shared" si="144"/>
        <v>126956</v>
      </c>
      <c r="S337" s="514">
        <f t="shared" si="144"/>
        <v>176339</v>
      </c>
      <c r="T337" s="514">
        <f t="shared" si="144"/>
        <v>32963</v>
      </c>
      <c r="U337" s="514">
        <f t="shared" si="144"/>
        <v>75230</v>
      </c>
      <c r="V337" s="514">
        <f t="shared" si="144"/>
        <v>66532</v>
      </c>
      <c r="W337" s="514">
        <f t="shared" si="144"/>
        <v>49535</v>
      </c>
      <c r="X337" s="514">
        <f t="shared" si="144"/>
        <v>46877</v>
      </c>
      <c r="Y337" s="514">
        <f t="shared" si="144"/>
        <v>203660</v>
      </c>
      <c r="Z337" s="514">
        <f t="shared" si="144"/>
        <v>62492</v>
      </c>
      <c r="AA337" s="514">
        <f t="shared" si="144"/>
        <v>78430</v>
      </c>
      <c r="AB337" s="514">
        <f t="shared" si="144"/>
        <v>18875</v>
      </c>
      <c r="AC337" s="514">
        <f t="shared" si="144"/>
        <v>32069</v>
      </c>
      <c r="AD337" s="514">
        <f t="shared" si="144"/>
        <v>16730</v>
      </c>
      <c r="AE337" s="514">
        <f t="shared" si="144"/>
        <v>132647</v>
      </c>
      <c r="AF337" s="514">
        <f t="shared" si="144"/>
        <v>61854</v>
      </c>
      <c r="AG337" s="514">
        <f t="shared" si="144"/>
        <v>45154</v>
      </c>
      <c r="AH337" s="514">
        <f t="shared" si="144"/>
        <v>16700</v>
      </c>
      <c r="AI337" s="387">
        <f t="shared" si="142"/>
        <v>0</v>
      </c>
    </row>
    <row r="338" spans="1:36" s="393" customFormat="1" ht="14.25">
      <c r="A338" s="397" t="s">
        <v>1934</v>
      </c>
      <c r="B338" s="394" t="s">
        <v>1935</v>
      </c>
      <c r="C338" s="497" t="s">
        <v>1936</v>
      </c>
      <c r="D338" s="396">
        <v>6</v>
      </c>
      <c r="E338" s="385">
        <f>SUM(H338,P338,AF338)</f>
        <v>662720</v>
      </c>
      <c r="F338" s="368">
        <v>48100</v>
      </c>
      <c r="G338" s="368">
        <v>614620</v>
      </c>
      <c r="H338" s="385">
        <f>SUM(I338:O338)</f>
        <v>486277</v>
      </c>
      <c r="I338" s="371">
        <v>4468</v>
      </c>
      <c r="J338" s="371"/>
      <c r="K338" s="371">
        <v>47912</v>
      </c>
      <c r="L338" s="371">
        <v>103133</v>
      </c>
      <c r="M338" s="371">
        <v>201818</v>
      </c>
      <c r="N338" s="371">
        <v>117887</v>
      </c>
      <c r="O338" s="370">
        <v>11059</v>
      </c>
      <c r="P338" s="386">
        <f>SUM(Q338:AE338)</f>
        <v>169369</v>
      </c>
      <c r="Q338" s="371">
        <v>2037</v>
      </c>
      <c r="R338" s="371">
        <v>8147</v>
      </c>
      <c r="S338" s="371">
        <v>2385</v>
      </c>
      <c r="T338" s="371">
        <v>4563</v>
      </c>
      <c r="U338" s="371">
        <v>520</v>
      </c>
      <c r="V338" s="371">
        <v>50232</v>
      </c>
      <c r="W338" s="371">
        <v>5735</v>
      </c>
      <c r="X338" s="371">
        <v>18077</v>
      </c>
      <c r="Y338" s="371">
        <v>4192</v>
      </c>
      <c r="Z338" s="371">
        <v>1300</v>
      </c>
      <c r="AA338" s="371">
        <v>21730</v>
      </c>
      <c r="AB338" s="371">
        <v>8675</v>
      </c>
      <c r="AC338" s="371">
        <v>9959</v>
      </c>
      <c r="AD338" s="371">
        <v>130</v>
      </c>
      <c r="AE338" s="371">
        <v>31687</v>
      </c>
      <c r="AF338" s="385">
        <f>SUM(AG338:AH338)</f>
        <v>7074</v>
      </c>
      <c r="AG338" s="371">
        <v>2074</v>
      </c>
      <c r="AH338" s="371">
        <v>5000</v>
      </c>
      <c r="AI338" s="916">
        <f>IF(AND(+F338+G338=E338,AF338+P338+H338=E338,SUM(I338:O338,Q338:AE338,AG338:AH338)=E338),0,FALSE)</f>
        <v>0</v>
      </c>
      <c r="AJ338" s="496"/>
    </row>
    <row r="339" spans="1:36" s="393" customFormat="1" ht="14.25">
      <c r="A339" s="397" t="s">
        <v>1934</v>
      </c>
      <c r="B339" s="394" t="s">
        <v>1935</v>
      </c>
      <c r="C339" s="497" t="s">
        <v>1937</v>
      </c>
      <c r="D339" s="396">
        <v>6</v>
      </c>
      <c r="E339" s="385">
        <f>SUM(H339,P339,AF339)</f>
        <v>1212897</v>
      </c>
      <c r="F339" s="368">
        <v>325490</v>
      </c>
      <c r="G339" s="368">
        <v>887407</v>
      </c>
      <c r="H339" s="385">
        <f>SUM(I339:O339)</f>
        <v>398585</v>
      </c>
      <c r="I339" s="371">
        <v>14040</v>
      </c>
      <c r="J339" s="371"/>
      <c r="K339" s="371">
        <v>122662</v>
      </c>
      <c r="L339" s="371">
        <v>127117</v>
      </c>
      <c r="M339" s="371">
        <v>69626</v>
      </c>
      <c r="N339" s="371">
        <v>65140</v>
      </c>
      <c r="O339" s="370">
        <v>0</v>
      </c>
      <c r="P339" s="386">
        <f>SUM(Q339:AE339)</f>
        <v>770932</v>
      </c>
      <c r="Q339" s="371">
        <v>4200</v>
      </c>
      <c r="R339" s="371">
        <v>110809</v>
      </c>
      <c r="S339" s="371">
        <v>163954</v>
      </c>
      <c r="T339" s="371">
        <v>8400</v>
      </c>
      <c r="U339" s="371">
        <v>64710</v>
      </c>
      <c r="V339" s="371">
        <v>8100</v>
      </c>
      <c r="W339" s="371">
        <v>33800</v>
      </c>
      <c r="X339" s="371">
        <v>8800</v>
      </c>
      <c r="Y339" s="371">
        <v>179268</v>
      </c>
      <c r="Z339" s="371">
        <v>51192</v>
      </c>
      <c r="AA339" s="371">
        <v>46000</v>
      </c>
      <c r="AB339" s="371">
        <v>2200</v>
      </c>
      <c r="AC339" s="371">
        <v>2110</v>
      </c>
      <c r="AD339" s="371">
        <v>6600</v>
      </c>
      <c r="AE339" s="371">
        <v>80789</v>
      </c>
      <c r="AF339" s="385">
        <f>SUM(AG339:AH339)</f>
        <v>43380</v>
      </c>
      <c r="AG339" s="371">
        <v>32380</v>
      </c>
      <c r="AH339" s="371">
        <v>11000</v>
      </c>
      <c r="AI339" s="916">
        <f>IF(AND(+F339+G339=E339,AF339+P339+H339=E339,SUM(I339:O339,Q339:AE339,AG339:AH339)=E339),0,FALSE)</f>
        <v>0</v>
      </c>
      <c r="AJ339" s="496"/>
    </row>
    <row r="340" spans="1:36" s="393" customFormat="1" ht="14.25">
      <c r="A340" s="397" t="s">
        <v>1934</v>
      </c>
      <c r="B340" s="394" t="s">
        <v>1935</v>
      </c>
      <c r="C340" s="497" t="s">
        <v>1938</v>
      </c>
      <c r="D340" s="396">
        <v>6</v>
      </c>
      <c r="E340" s="385">
        <f>SUM(H340,P340,AF340)</f>
        <v>296136</v>
      </c>
      <c r="F340" s="368">
        <v>31237</v>
      </c>
      <c r="G340" s="368">
        <v>264899</v>
      </c>
      <c r="H340" s="385">
        <f>SUM(I340:O340)</f>
        <v>99465</v>
      </c>
      <c r="I340" s="371">
        <v>20200</v>
      </c>
      <c r="J340" s="371"/>
      <c r="K340" s="371">
        <v>8000</v>
      </c>
      <c r="L340" s="371">
        <v>20200</v>
      </c>
      <c r="M340" s="371">
        <v>20200</v>
      </c>
      <c r="N340" s="371">
        <v>20000</v>
      </c>
      <c r="O340" s="370">
        <v>10865</v>
      </c>
      <c r="P340" s="386">
        <f>SUM(Q340:AE340)</f>
        <v>185271</v>
      </c>
      <c r="Q340" s="371">
        <v>0</v>
      </c>
      <c r="R340" s="371">
        <v>8000</v>
      </c>
      <c r="S340" s="371">
        <v>10000</v>
      </c>
      <c r="T340" s="371">
        <v>20000</v>
      </c>
      <c r="U340" s="371">
        <v>10000</v>
      </c>
      <c r="V340" s="371">
        <v>8200</v>
      </c>
      <c r="W340" s="371">
        <v>10000</v>
      </c>
      <c r="X340" s="371">
        <v>20000</v>
      </c>
      <c r="Y340" s="371">
        <v>20200</v>
      </c>
      <c r="Z340" s="371">
        <v>10000</v>
      </c>
      <c r="AA340" s="371">
        <v>10700</v>
      </c>
      <c r="AB340" s="371">
        <v>8000</v>
      </c>
      <c r="AC340" s="371">
        <v>20000</v>
      </c>
      <c r="AD340" s="371">
        <v>10000</v>
      </c>
      <c r="AE340" s="371">
        <v>20171</v>
      </c>
      <c r="AF340" s="385">
        <f>SUM(AG340:AH340)</f>
        <v>11400</v>
      </c>
      <c r="AG340" s="371">
        <v>10700</v>
      </c>
      <c r="AH340" s="371">
        <v>700</v>
      </c>
      <c r="AI340" s="916">
        <f>IF(AND(+F340+G340=E340,AF340+P340+H340=E340,SUM(I340:O340,Q340:AE340,AG340:AH340)=E340),0,FALSE)</f>
        <v>0</v>
      </c>
      <c r="AJ340" s="496"/>
    </row>
    <row r="341" spans="1:36" s="515" customFormat="1" ht="24" customHeight="1">
      <c r="A341" s="510" t="s">
        <v>1267</v>
      </c>
      <c r="B341" s="511"/>
      <c r="C341" s="512"/>
      <c r="D341" s="513"/>
      <c r="E341" s="514">
        <f t="shared" ref="E341:AH341" si="145">E342+E357</f>
        <v>1245753</v>
      </c>
      <c r="F341" s="514">
        <f t="shared" si="145"/>
        <v>405684</v>
      </c>
      <c r="G341" s="514">
        <f t="shared" si="145"/>
        <v>840069</v>
      </c>
      <c r="H341" s="514">
        <f t="shared" si="145"/>
        <v>631153</v>
      </c>
      <c r="I341" s="514">
        <f t="shared" si="145"/>
        <v>67055</v>
      </c>
      <c r="J341" s="514">
        <f t="shared" si="145"/>
        <v>14624</v>
      </c>
      <c r="K341" s="514">
        <f t="shared" si="145"/>
        <v>24423</v>
      </c>
      <c r="L341" s="514">
        <f t="shared" si="145"/>
        <v>40044</v>
      </c>
      <c r="M341" s="514">
        <f t="shared" si="145"/>
        <v>393622</v>
      </c>
      <c r="N341" s="514">
        <f t="shared" si="145"/>
        <v>55137</v>
      </c>
      <c r="O341" s="514">
        <f t="shared" si="145"/>
        <v>36248</v>
      </c>
      <c r="P341" s="514">
        <f t="shared" si="145"/>
        <v>556153</v>
      </c>
      <c r="Q341" s="514">
        <f t="shared" si="145"/>
        <v>25938</v>
      </c>
      <c r="R341" s="514">
        <f t="shared" si="145"/>
        <v>23012</v>
      </c>
      <c r="S341" s="514">
        <f t="shared" si="145"/>
        <v>32651</v>
      </c>
      <c r="T341" s="514">
        <f t="shared" si="145"/>
        <v>29147</v>
      </c>
      <c r="U341" s="514">
        <f t="shared" si="145"/>
        <v>32644</v>
      </c>
      <c r="V341" s="514">
        <f t="shared" si="145"/>
        <v>41392</v>
      </c>
      <c r="W341" s="514">
        <f t="shared" si="145"/>
        <v>33831</v>
      </c>
      <c r="X341" s="514">
        <f t="shared" si="145"/>
        <v>82844</v>
      </c>
      <c r="Y341" s="514">
        <f t="shared" si="145"/>
        <v>25500</v>
      </c>
      <c r="Z341" s="514">
        <f t="shared" si="145"/>
        <v>32657</v>
      </c>
      <c r="AA341" s="514">
        <f t="shared" si="145"/>
        <v>39082</v>
      </c>
      <c r="AB341" s="514">
        <f t="shared" si="145"/>
        <v>21032</v>
      </c>
      <c r="AC341" s="514">
        <f t="shared" si="145"/>
        <v>29940</v>
      </c>
      <c r="AD341" s="514">
        <f t="shared" si="145"/>
        <v>26994</v>
      </c>
      <c r="AE341" s="514">
        <f t="shared" si="145"/>
        <v>79489</v>
      </c>
      <c r="AF341" s="514">
        <f t="shared" si="145"/>
        <v>58447</v>
      </c>
      <c r="AG341" s="514">
        <f t="shared" si="145"/>
        <v>30843</v>
      </c>
      <c r="AH341" s="514">
        <f t="shared" si="145"/>
        <v>27604</v>
      </c>
      <c r="AI341" s="387">
        <f t="shared" si="142"/>
        <v>0</v>
      </c>
    </row>
    <row r="342" spans="1:36" s="410" customFormat="1" ht="21.6" customHeight="1">
      <c r="A342" s="405" t="s">
        <v>1265</v>
      </c>
      <c r="B342" s="406"/>
      <c r="C342" s="407"/>
      <c r="D342" s="408"/>
      <c r="E342" s="409">
        <f t="shared" ref="E342:AH342" si="146">SUM(E343:E356)</f>
        <v>617125</v>
      </c>
      <c r="F342" s="409">
        <f t="shared" si="146"/>
        <v>261410</v>
      </c>
      <c r="G342" s="409">
        <f t="shared" si="146"/>
        <v>355715</v>
      </c>
      <c r="H342" s="409">
        <f t="shared" si="146"/>
        <v>439445</v>
      </c>
      <c r="I342" s="409">
        <f t="shared" si="146"/>
        <v>10395</v>
      </c>
      <c r="J342" s="409">
        <f t="shared" si="146"/>
        <v>1314</v>
      </c>
      <c r="K342" s="409">
        <f t="shared" si="146"/>
        <v>8013</v>
      </c>
      <c r="L342" s="409">
        <f t="shared" si="146"/>
        <v>9956</v>
      </c>
      <c r="M342" s="409">
        <f t="shared" si="146"/>
        <v>365042</v>
      </c>
      <c r="N342" s="409">
        <f t="shared" si="146"/>
        <v>8477</v>
      </c>
      <c r="O342" s="409">
        <f t="shared" si="146"/>
        <v>36248</v>
      </c>
      <c r="P342" s="409">
        <f t="shared" si="146"/>
        <v>162333</v>
      </c>
      <c r="Q342" s="409">
        <f t="shared" si="146"/>
        <v>7564</v>
      </c>
      <c r="R342" s="409">
        <f t="shared" si="146"/>
        <v>7710</v>
      </c>
      <c r="S342" s="409">
        <f t="shared" si="146"/>
        <v>6259</v>
      </c>
      <c r="T342" s="409">
        <f t="shared" si="146"/>
        <v>5055</v>
      </c>
      <c r="U342" s="409">
        <f t="shared" si="146"/>
        <v>5882</v>
      </c>
      <c r="V342" s="409">
        <f t="shared" si="146"/>
        <v>10746</v>
      </c>
      <c r="W342" s="409">
        <f t="shared" si="146"/>
        <v>4548</v>
      </c>
      <c r="X342" s="409">
        <f t="shared" si="146"/>
        <v>7447</v>
      </c>
      <c r="Y342" s="409">
        <f t="shared" si="146"/>
        <v>3808</v>
      </c>
      <c r="Z342" s="409">
        <f t="shared" si="146"/>
        <v>4875</v>
      </c>
      <c r="AA342" s="409">
        <f t="shared" si="146"/>
        <v>3322</v>
      </c>
      <c r="AB342" s="409">
        <f t="shared" si="146"/>
        <v>5640</v>
      </c>
      <c r="AC342" s="409">
        <f t="shared" si="146"/>
        <v>3367</v>
      </c>
      <c r="AD342" s="409">
        <f t="shared" si="146"/>
        <v>6621</v>
      </c>
      <c r="AE342" s="409">
        <f t="shared" si="146"/>
        <v>79489</v>
      </c>
      <c r="AF342" s="409">
        <f t="shared" si="146"/>
        <v>15347</v>
      </c>
      <c r="AG342" s="409">
        <f t="shared" si="146"/>
        <v>7418</v>
      </c>
      <c r="AH342" s="409">
        <f t="shared" si="146"/>
        <v>7929</v>
      </c>
      <c r="AI342" s="387">
        <f t="shared" si="142"/>
        <v>0</v>
      </c>
      <c r="AJ342" s="496"/>
    </row>
    <row r="343" spans="1:36" s="393" customFormat="1" ht="14.25">
      <c r="A343" s="397" t="s">
        <v>1659</v>
      </c>
      <c r="B343" s="394" t="s">
        <v>1660</v>
      </c>
      <c r="C343" s="497" t="s">
        <v>1661</v>
      </c>
      <c r="D343" s="396" t="s">
        <v>493</v>
      </c>
      <c r="E343" s="385">
        <f>H343+P343+AF343</f>
        <v>7813</v>
      </c>
      <c r="F343" s="579">
        <v>7813</v>
      </c>
      <c r="G343" s="371">
        <v>0</v>
      </c>
      <c r="H343" s="385">
        <f>SUM(I343:O343)</f>
        <v>1600</v>
      </c>
      <c r="I343" s="371">
        <v>0</v>
      </c>
      <c r="J343" s="371">
        <v>0</v>
      </c>
      <c r="K343" s="371">
        <v>0</v>
      </c>
      <c r="L343" s="371">
        <v>0</v>
      </c>
      <c r="M343" s="371">
        <v>0</v>
      </c>
      <c r="N343" s="371">
        <v>0</v>
      </c>
      <c r="O343" s="370">
        <v>1600</v>
      </c>
      <c r="P343" s="386">
        <f>SUM(Q343:AE343)</f>
        <v>5413</v>
      </c>
      <c r="Q343" s="371">
        <v>0</v>
      </c>
      <c r="R343" s="371">
        <v>0</v>
      </c>
      <c r="S343" s="371">
        <v>0</v>
      </c>
      <c r="T343" s="371">
        <v>0</v>
      </c>
      <c r="U343" s="371">
        <v>0</v>
      </c>
      <c r="V343" s="371">
        <v>0</v>
      </c>
      <c r="W343" s="371">
        <v>0</v>
      </c>
      <c r="X343" s="371">
        <v>0</v>
      </c>
      <c r="Y343" s="371">
        <v>0</v>
      </c>
      <c r="Z343" s="371">
        <v>0</v>
      </c>
      <c r="AA343" s="371">
        <v>0</v>
      </c>
      <c r="AB343" s="371">
        <v>0</v>
      </c>
      <c r="AC343" s="371">
        <v>0</v>
      </c>
      <c r="AD343" s="371">
        <v>0</v>
      </c>
      <c r="AE343" s="579">
        <v>5413</v>
      </c>
      <c r="AF343" s="385">
        <f>SUM(AG343:AH343)</f>
        <v>800</v>
      </c>
      <c r="AG343" s="371">
        <v>400</v>
      </c>
      <c r="AH343" s="371">
        <v>400</v>
      </c>
      <c r="AI343" s="387">
        <f t="shared" si="142"/>
        <v>0</v>
      </c>
      <c r="AJ343" s="496"/>
    </row>
    <row r="344" spans="1:36" s="393" customFormat="1" ht="14.25">
      <c r="A344" s="397" t="s">
        <v>1662</v>
      </c>
      <c r="B344" s="394" t="s">
        <v>1663</v>
      </c>
      <c r="C344" s="497" t="s">
        <v>1664</v>
      </c>
      <c r="D344" s="396" t="s">
        <v>493</v>
      </c>
      <c r="E344" s="385">
        <f t="shared" ref="E344:E356" si="147">H344+P344+AF344</f>
        <v>1345</v>
      </c>
      <c r="F344" s="371">
        <v>1345</v>
      </c>
      <c r="G344" s="371">
        <v>0</v>
      </c>
      <c r="H344" s="385">
        <f t="shared" ref="H344:H356" si="148">SUM(I344:O344)</f>
        <v>400</v>
      </c>
      <c r="I344" s="371">
        <v>0</v>
      </c>
      <c r="J344" s="371">
        <v>0</v>
      </c>
      <c r="K344" s="371">
        <v>0</v>
      </c>
      <c r="L344" s="371">
        <v>0</v>
      </c>
      <c r="M344" s="371">
        <v>0</v>
      </c>
      <c r="N344" s="371">
        <v>0</v>
      </c>
      <c r="O344" s="370">
        <v>400</v>
      </c>
      <c r="P344" s="386">
        <f t="shared" ref="P344:P356" si="149">SUM(Q344:AE344)</f>
        <v>745</v>
      </c>
      <c r="Q344" s="371">
        <v>0</v>
      </c>
      <c r="R344" s="371">
        <v>0</v>
      </c>
      <c r="S344" s="371">
        <v>0</v>
      </c>
      <c r="T344" s="371">
        <v>0</v>
      </c>
      <c r="U344" s="371">
        <v>0</v>
      </c>
      <c r="V344" s="371">
        <v>0</v>
      </c>
      <c r="W344" s="371">
        <v>0</v>
      </c>
      <c r="X344" s="371">
        <v>0</v>
      </c>
      <c r="Y344" s="371">
        <v>0</v>
      </c>
      <c r="Z344" s="371">
        <v>0</v>
      </c>
      <c r="AA344" s="371">
        <v>0</v>
      </c>
      <c r="AB344" s="371">
        <v>0</v>
      </c>
      <c r="AC344" s="371">
        <v>0</v>
      </c>
      <c r="AD344" s="371">
        <v>0</v>
      </c>
      <c r="AE344" s="371">
        <v>745</v>
      </c>
      <c r="AF344" s="385">
        <f t="shared" ref="AF344:AF356" si="150">SUM(AG344:AH344)</f>
        <v>200</v>
      </c>
      <c r="AG344" s="371">
        <v>100</v>
      </c>
      <c r="AH344" s="371">
        <v>100</v>
      </c>
      <c r="AI344" s="387">
        <f t="shared" si="142"/>
        <v>0</v>
      </c>
      <c r="AJ344" s="496"/>
    </row>
    <row r="345" spans="1:36" s="393" customFormat="1" ht="14.25">
      <c r="A345" s="397" t="s">
        <v>1662</v>
      </c>
      <c r="B345" s="394" t="s">
        <v>1663</v>
      </c>
      <c r="C345" s="497" t="s">
        <v>1665</v>
      </c>
      <c r="D345" s="396" t="s">
        <v>493</v>
      </c>
      <c r="E345" s="385">
        <f t="shared" si="147"/>
        <v>355715</v>
      </c>
      <c r="F345" s="371">
        <v>0</v>
      </c>
      <c r="G345" s="579">
        <v>355715</v>
      </c>
      <c r="H345" s="385">
        <f t="shared" si="148"/>
        <v>355715</v>
      </c>
      <c r="I345" s="371">
        <v>0</v>
      </c>
      <c r="J345" s="371">
        <v>0</v>
      </c>
      <c r="K345" s="371">
        <v>0</v>
      </c>
      <c r="L345" s="371">
        <v>0</v>
      </c>
      <c r="M345" s="579">
        <v>355715</v>
      </c>
      <c r="N345" s="371">
        <v>0</v>
      </c>
      <c r="O345" s="370">
        <v>0</v>
      </c>
      <c r="P345" s="386">
        <f t="shared" si="149"/>
        <v>0</v>
      </c>
      <c r="Q345" s="371">
        <v>0</v>
      </c>
      <c r="R345" s="371">
        <v>0</v>
      </c>
      <c r="S345" s="371">
        <v>0</v>
      </c>
      <c r="T345" s="371">
        <v>0</v>
      </c>
      <c r="U345" s="371">
        <v>0</v>
      </c>
      <c r="V345" s="371">
        <v>0</v>
      </c>
      <c r="W345" s="371">
        <v>0</v>
      </c>
      <c r="X345" s="371">
        <v>0</v>
      </c>
      <c r="Y345" s="371">
        <v>0</v>
      </c>
      <c r="Z345" s="371">
        <v>0</v>
      </c>
      <c r="AA345" s="371">
        <v>0</v>
      </c>
      <c r="AB345" s="371">
        <v>0</v>
      </c>
      <c r="AC345" s="371">
        <v>0</v>
      </c>
      <c r="AD345" s="371">
        <v>0</v>
      </c>
      <c r="AE345" s="371">
        <v>0</v>
      </c>
      <c r="AF345" s="385">
        <f t="shared" si="150"/>
        <v>0</v>
      </c>
      <c r="AG345" s="371">
        <v>0</v>
      </c>
      <c r="AH345" s="371">
        <v>0</v>
      </c>
      <c r="AI345" s="387">
        <f t="shared" si="142"/>
        <v>0</v>
      </c>
      <c r="AJ345" s="496"/>
    </row>
    <row r="346" spans="1:36" s="393" customFormat="1" ht="14.25">
      <c r="A346" s="397" t="s">
        <v>1662</v>
      </c>
      <c r="B346" s="394" t="s">
        <v>1663</v>
      </c>
      <c r="C346" s="497" t="s">
        <v>1666</v>
      </c>
      <c r="D346" s="396" t="s">
        <v>493</v>
      </c>
      <c r="E346" s="385">
        <f t="shared" si="147"/>
        <v>164162</v>
      </c>
      <c r="F346" s="579">
        <v>164162</v>
      </c>
      <c r="G346" s="371">
        <v>0</v>
      </c>
      <c r="H346" s="385">
        <f t="shared" si="148"/>
        <v>55380</v>
      </c>
      <c r="I346" s="579">
        <v>9395</v>
      </c>
      <c r="J346" s="579">
        <v>1114</v>
      </c>
      <c r="K346" s="579">
        <v>7213</v>
      </c>
      <c r="L346" s="579">
        <v>9056</v>
      </c>
      <c r="M346" s="579">
        <v>8527</v>
      </c>
      <c r="N346" s="579">
        <v>7277</v>
      </c>
      <c r="O346" s="370">
        <v>12798</v>
      </c>
      <c r="P346" s="386">
        <f t="shared" si="149"/>
        <v>99935</v>
      </c>
      <c r="Q346" s="579">
        <v>6564</v>
      </c>
      <c r="R346" s="579">
        <v>7210</v>
      </c>
      <c r="S346" s="579">
        <v>5759</v>
      </c>
      <c r="T346" s="579">
        <v>4055</v>
      </c>
      <c r="U346" s="579">
        <v>5882</v>
      </c>
      <c r="V346" s="579">
        <v>10446</v>
      </c>
      <c r="W346" s="579">
        <v>4548</v>
      </c>
      <c r="X346" s="579">
        <v>7147</v>
      </c>
      <c r="Y346" s="579">
        <v>3408</v>
      </c>
      <c r="Z346" s="579">
        <v>4875</v>
      </c>
      <c r="AA346" s="579">
        <v>3022</v>
      </c>
      <c r="AB346" s="579">
        <v>5440</v>
      </c>
      <c r="AC346" s="579">
        <v>2567</v>
      </c>
      <c r="AD346" s="579">
        <v>6121</v>
      </c>
      <c r="AE346" s="371">
        <v>22891</v>
      </c>
      <c r="AF346" s="385">
        <f t="shared" si="150"/>
        <v>8847</v>
      </c>
      <c r="AG346" s="579">
        <v>3768</v>
      </c>
      <c r="AH346" s="579">
        <v>5079</v>
      </c>
      <c r="AI346" s="387">
        <f t="shared" si="142"/>
        <v>0</v>
      </c>
      <c r="AJ346" s="496"/>
    </row>
    <row r="347" spans="1:36" s="393" customFormat="1" ht="14.25">
      <c r="A347" s="397" t="s">
        <v>1662</v>
      </c>
      <c r="B347" s="394" t="s">
        <v>1663</v>
      </c>
      <c r="C347" s="497" t="s">
        <v>1667</v>
      </c>
      <c r="D347" s="396" t="s">
        <v>493</v>
      </c>
      <c r="E347" s="385">
        <f t="shared" si="147"/>
        <v>9200</v>
      </c>
      <c r="F347" s="371">
        <v>9200</v>
      </c>
      <c r="G347" s="371">
        <v>0</v>
      </c>
      <c r="H347" s="385">
        <f t="shared" si="148"/>
        <v>2900</v>
      </c>
      <c r="I347" s="371">
        <v>1000</v>
      </c>
      <c r="J347" s="371">
        <v>200</v>
      </c>
      <c r="K347" s="371">
        <v>200</v>
      </c>
      <c r="L347" s="371">
        <v>300</v>
      </c>
      <c r="M347" s="371">
        <v>600</v>
      </c>
      <c r="N347" s="371">
        <v>600</v>
      </c>
      <c r="O347" s="370">
        <v>0</v>
      </c>
      <c r="P347" s="386">
        <f t="shared" si="149"/>
        <v>5500</v>
      </c>
      <c r="Q347" s="371">
        <v>1000</v>
      </c>
      <c r="R347" s="371">
        <v>500</v>
      </c>
      <c r="S347" s="371">
        <v>500</v>
      </c>
      <c r="T347" s="371">
        <v>500</v>
      </c>
      <c r="U347" s="371">
        <v>0</v>
      </c>
      <c r="V347" s="371">
        <v>0</v>
      </c>
      <c r="W347" s="371">
        <v>0</v>
      </c>
      <c r="X347" s="371">
        <v>0</v>
      </c>
      <c r="Y347" s="371">
        <v>0</v>
      </c>
      <c r="Z347" s="371">
        <v>0</v>
      </c>
      <c r="AA347" s="371">
        <v>0</v>
      </c>
      <c r="AB347" s="371">
        <v>0</v>
      </c>
      <c r="AC347" s="371">
        <v>800</v>
      </c>
      <c r="AD347" s="371">
        <v>500</v>
      </c>
      <c r="AE347" s="371">
        <v>1700</v>
      </c>
      <c r="AF347" s="385">
        <f t="shared" si="150"/>
        <v>800</v>
      </c>
      <c r="AG347" s="371">
        <v>800</v>
      </c>
      <c r="AH347" s="371">
        <v>0</v>
      </c>
      <c r="AI347" s="387">
        <f t="shared" si="142"/>
        <v>0</v>
      </c>
      <c r="AJ347" s="496"/>
    </row>
    <row r="348" spans="1:36" s="393" customFormat="1" ht="14.25">
      <c r="A348" s="397" t="s">
        <v>1662</v>
      </c>
      <c r="B348" s="394" t="s">
        <v>1663</v>
      </c>
      <c r="C348" s="497" t="s">
        <v>1668</v>
      </c>
      <c r="D348" s="396" t="s">
        <v>493</v>
      </c>
      <c r="E348" s="385">
        <f t="shared" si="147"/>
        <v>24500</v>
      </c>
      <c r="F348" s="579">
        <v>24500</v>
      </c>
      <c r="G348" s="371">
        <v>0</v>
      </c>
      <c r="H348" s="385">
        <f t="shared" si="148"/>
        <v>7000</v>
      </c>
      <c r="I348" s="371">
        <v>0</v>
      </c>
      <c r="J348" s="371">
        <v>0</v>
      </c>
      <c r="K348" s="371">
        <v>0</v>
      </c>
      <c r="L348" s="371">
        <v>0</v>
      </c>
      <c r="M348" s="371">
        <v>0</v>
      </c>
      <c r="N348" s="371">
        <v>0</v>
      </c>
      <c r="O348" s="370">
        <v>7000</v>
      </c>
      <c r="P348" s="386">
        <f t="shared" si="149"/>
        <v>14500</v>
      </c>
      <c r="Q348" s="371">
        <v>0</v>
      </c>
      <c r="R348" s="371">
        <v>0</v>
      </c>
      <c r="S348" s="371">
        <v>0</v>
      </c>
      <c r="T348" s="371">
        <v>0</v>
      </c>
      <c r="U348" s="371">
        <v>0</v>
      </c>
      <c r="V348" s="371">
        <v>0</v>
      </c>
      <c r="W348" s="371">
        <v>0</v>
      </c>
      <c r="X348" s="371">
        <v>0</v>
      </c>
      <c r="Y348" s="371">
        <v>0</v>
      </c>
      <c r="Z348" s="371">
        <v>0</v>
      </c>
      <c r="AA348" s="371">
        <v>0</v>
      </c>
      <c r="AB348" s="371">
        <v>0</v>
      </c>
      <c r="AC348" s="371">
        <v>0</v>
      </c>
      <c r="AD348" s="371">
        <v>0</v>
      </c>
      <c r="AE348" s="579">
        <v>14500</v>
      </c>
      <c r="AF348" s="385">
        <f t="shared" si="150"/>
        <v>3000</v>
      </c>
      <c r="AG348" s="371">
        <v>1500</v>
      </c>
      <c r="AH348" s="371">
        <v>1500</v>
      </c>
      <c r="AI348" s="387">
        <f t="shared" si="142"/>
        <v>0</v>
      </c>
      <c r="AJ348" s="496"/>
    </row>
    <row r="349" spans="1:36" s="393" customFormat="1" ht="14.25">
      <c r="A349" s="397" t="s">
        <v>1662</v>
      </c>
      <c r="B349" s="394" t="s">
        <v>1663</v>
      </c>
      <c r="C349" s="497" t="s">
        <v>1669</v>
      </c>
      <c r="D349" s="396" t="s">
        <v>493</v>
      </c>
      <c r="E349" s="385">
        <f t="shared" si="147"/>
        <v>8800</v>
      </c>
      <c r="F349" s="579">
        <v>8800</v>
      </c>
      <c r="G349" s="371">
        <v>0</v>
      </c>
      <c r="H349" s="385">
        <f t="shared" si="148"/>
        <v>3600</v>
      </c>
      <c r="I349" s="371">
        <v>0</v>
      </c>
      <c r="J349" s="371">
        <v>0</v>
      </c>
      <c r="K349" s="371">
        <v>0</v>
      </c>
      <c r="L349" s="371">
        <v>0</v>
      </c>
      <c r="M349" s="371">
        <v>0</v>
      </c>
      <c r="N349" s="371">
        <v>0</v>
      </c>
      <c r="O349" s="580">
        <v>3600</v>
      </c>
      <c r="P349" s="386">
        <f t="shared" si="149"/>
        <v>3500</v>
      </c>
      <c r="Q349" s="371">
        <v>0</v>
      </c>
      <c r="R349" s="371">
        <v>0</v>
      </c>
      <c r="S349" s="371">
        <v>0</v>
      </c>
      <c r="T349" s="371">
        <v>0</v>
      </c>
      <c r="U349" s="371">
        <v>0</v>
      </c>
      <c r="V349" s="371">
        <v>0</v>
      </c>
      <c r="W349" s="371">
        <v>0</v>
      </c>
      <c r="X349" s="371">
        <v>0</v>
      </c>
      <c r="Y349" s="371">
        <v>0</v>
      </c>
      <c r="Z349" s="371">
        <v>0</v>
      </c>
      <c r="AA349" s="371">
        <v>0</v>
      </c>
      <c r="AB349" s="371">
        <v>0</v>
      </c>
      <c r="AC349" s="371">
        <v>0</v>
      </c>
      <c r="AD349" s="371">
        <v>0</v>
      </c>
      <c r="AE349" s="371">
        <v>3500</v>
      </c>
      <c r="AF349" s="385">
        <f t="shared" si="150"/>
        <v>1700</v>
      </c>
      <c r="AG349" s="371">
        <v>850</v>
      </c>
      <c r="AH349" s="371">
        <v>850</v>
      </c>
      <c r="AI349" s="387">
        <f t="shared" si="142"/>
        <v>0</v>
      </c>
      <c r="AJ349" s="496"/>
    </row>
    <row r="350" spans="1:36" s="393" customFormat="1" ht="14.25">
      <c r="A350" s="397" t="s">
        <v>1662</v>
      </c>
      <c r="B350" s="394" t="s">
        <v>1663</v>
      </c>
      <c r="C350" s="497" t="s">
        <v>1670</v>
      </c>
      <c r="D350" s="396" t="s">
        <v>493</v>
      </c>
      <c r="E350" s="385">
        <f t="shared" si="147"/>
        <v>1000</v>
      </c>
      <c r="F350" s="371">
        <v>1000</v>
      </c>
      <c r="G350" s="371">
        <v>0</v>
      </c>
      <c r="H350" s="385">
        <f t="shared" si="148"/>
        <v>0</v>
      </c>
      <c r="I350" s="371">
        <v>0</v>
      </c>
      <c r="J350" s="371">
        <v>0</v>
      </c>
      <c r="K350" s="371">
        <v>0</v>
      </c>
      <c r="L350" s="371">
        <v>0</v>
      </c>
      <c r="M350" s="371">
        <v>0</v>
      </c>
      <c r="N350" s="371">
        <v>0</v>
      </c>
      <c r="O350" s="370">
        <v>0</v>
      </c>
      <c r="P350" s="386">
        <f t="shared" si="149"/>
        <v>1000</v>
      </c>
      <c r="Q350" s="371">
        <v>0</v>
      </c>
      <c r="R350" s="371">
        <v>0</v>
      </c>
      <c r="S350" s="371">
        <v>0</v>
      </c>
      <c r="T350" s="371">
        <v>0</v>
      </c>
      <c r="U350" s="371">
        <v>0</v>
      </c>
      <c r="V350" s="371">
        <v>0</v>
      </c>
      <c r="W350" s="371">
        <v>0</v>
      </c>
      <c r="X350" s="371">
        <v>0</v>
      </c>
      <c r="Y350" s="371">
        <v>0</v>
      </c>
      <c r="Z350" s="371">
        <v>0</v>
      </c>
      <c r="AA350" s="371">
        <v>0</v>
      </c>
      <c r="AB350" s="371">
        <v>0</v>
      </c>
      <c r="AC350" s="371">
        <v>0</v>
      </c>
      <c r="AD350" s="371">
        <v>0</v>
      </c>
      <c r="AE350" s="371">
        <v>1000</v>
      </c>
      <c r="AF350" s="385">
        <f t="shared" si="150"/>
        <v>0</v>
      </c>
      <c r="AG350" s="371">
        <v>0</v>
      </c>
      <c r="AH350" s="371">
        <v>0</v>
      </c>
      <c r="AI350" s="387">
        <f t="shared" si="142"/>
        <v>0</v>
      </c>
      <c r="AJ350" s="496"/>
    </row>
    <row r="351" spans="1:36" s="393" customFormat="1" ht="14.25">
      <c r="A351" s="397" t="s">
        <v>1659</v>
      </c>
      <c r="B351" s="394" t="s">
        <v>1660</v>
      </c>
      <c r="C351" s="497" t="s">
        <v>1671</v>
      </c>
      <c r="D351" s="396" t="s">
        <v>493</v>
      </c>
      <c r="E351" s="385">
        <f t="shared" si="147"/>
        <v>12000</v>
      </c>
      <c r="F351" s="371">
        <v>12000</v>
      </c>
      <c r="G351" s="371">
        <v>0</v>
      </c>
      <c r="H351" s="385">
        <f t="shared" si="148"/>
        <v>3500</v>
      </c>
      <c r="I351" s="371">
        <v>0</v>
      </c>
      <c r="J351" s="371">
        <v>0</v>
      </c>
      <c r="K351" s="371">
        <v>0</v>
      </c>
      <c r="L351" s="371">
        <v>0</v>
      </c>
      <c r="M351" s="371">
        <v>0</v>
      </c>
      <c r="N351" s="371">
        <v>0</v>
      </c>
      <c r="O351" s="370">
        <v>3500</v>
      </c>
      <c r="P351" s="386">
        <f t="shared" si="149"/>
        <v>8500</v>
      </c>
      <c r="Q351" s="371">
        <v>0</v>
      </c>
      <c r="R351" s="371">
        <v>0</v>
      </c>
      <c r="S351" s="371">
        <v>0</v>
      </c>
      <c r="T351" s="371">
        <v>0</v>
      </c>
      <c r="U351" s="371">
        <v>0</v>
      </c>
      <c r="V351" s="371">
        <v>0</v>
      </c>
      <c r="W351" s="371">
        <v>0</v>
      </c>
      <c r="X351" s="371">
        <v>0</v>
      </c>
      <c r="Y351" s="371">
        <v>0</v>
      </c>
      <c r="Z351" s="371">
        <v>0</v>
      </c>
      <c r="AA351" s="371">
        <v>0</v>
      </c>
      <c r="AB351" s="371">
        <v>0</v>
      </c>
      <c r="AC351" s="371">
        <v>0</v>
      </c>
      <c r="AD351" s="371">
        <v>0</v>
      </c>
      <c r="AE351" s="371">
        <v>8500</v>
      </c>
      <c r="AF351" s="385">
        <f t="shared" si="150"/>
        <v>0</v>
      </c>
      <c r="AG351" s="371">
        <v>0</v>
      </c>
      <c r="AH351" s="371">
        <v>0</v>
      </c>
      <c r="AI351" s="387">
        <f t="shared" si="142"/>
        <v>0</v>
      </c>
      <c r="AJ351" s="496"/>
    </row>
    <row r="352" spans="1:36" s="393" customFormat="1" ht="14.25">
      <c r="A352" s="397" t="s">
        <v>1662</v>
      </c>
      <c r="B352" s="394" t="s">
        <v>1663</v>
      </c>
      <c r="C352" s="497" t="s">
        <v>1672</v>
      </c>
      <c r="D352" s="396" t="s">
        <v>493</v>
      </c>
      <c r="E352" s="385">
        <f t="shared" si="147"/>
        <v>21500</v>
      </c>
      <c r="F352" s="371">
        <v>21500</v>
      </c>
      <c r="G352" s="371">
        <v>0</v>
      </c>
      <c r="H352" s="385">
        <f t="shared" si="148"/>
        <v>4500</v>
      </c>
      <c r="I352" s="371">
        <v>0</v>
      </c>
      <c r="J352" s="371">
        <v>0</v>
      </c>
      <c r="K352" s="371">
        <v>0</v>
      </c>
      <c r="L352" s="371">
        <v>0</v>
      </c>
      <c r="M352" s="371">
        <v>0</v>
      </c>
      <c r="N352" s="371">
        <v>0</v>
      </c>
      <c r="O352" s="370">
        <v>4500</v>
      </c>
      <c r="P352" s="386">
        <f t="shared" si="149"/>
        <v>17000</v>
      </c>
      <c r="Q352" s="371">
        <v>0</v>
      </c>
      <c r="R352" s="371">
        <v>0</v>
      </c>
      <c r="S352" s="371">
        <v>0</v>
      </c>
      <c r="T352" s="371">
        <v>0</v>
      </c>
      <c r="U352" s="371">
        <v>0</v>
      </c>
      <c r="V352" s="371">
        <v>0</v>
      </c>
      <c r="W352" s="371">
        <v>0</v>
      </c>
      <c r="X352" s="371">
        <v>0</v>
      </c>
      <c r="Y352" s="371">
        <v>0</v>
      </c>
      <c r="Z352" s="371">
        <v>0</v>
      </c>
      <c r="AA352" s="371">
        <v>0</v>
      </c>
      <c r="AB352" s="371">
        <v>0</v>
      </c>
      <c r="AC352" s="371">
        <v>0</v>
      </c>
      <c r="AD352" s="371">
        <v>0</v>
      </c>
      <c r="AE352" s="371">
        <v>17000</v>
      </c>
      <c r="AF352" s="385">
        <f t="shared" si="150"/>
        <v>0</v>
      </c>
      <c r="AG352" s="371">
        <v>0</v>
      </c>
      <c r="AH352" s="371">
        <v>0</v>
      </c>
      <c r="AI352" s="387">
        <f t="shared" si="142"/>
        <v>0</v>
      </c>
      <c r="AJ352" s="496"/>
    </row>
    <row r="353" spans="1:41" s="393" customFormat="1" ht="14.25">
      <c r="A353" s="397" t="s">
        <v>1662</v>
      </c>
      <c r="B353" s="394" t="s">
        <v>1663</v>
      </c>
      <c r="C353" s="497" t="s">
        <v>1673</v>
      </c>
      <c r="D353" s="396" t="s">
        <v>493</v>
      </c>
      <c r="E353" s="385">
        <f t="shared" si="147"/>
        <v>3250</v>
      </c>
      <c r="F353" s="579">
        <v>3250</v>
      </c>
      <c r="G353" s="371">
        <v>0</v>
      </c>
      <c r="H353" s="385">
        <f t="shared" si="148"/>
        <v>1000</v>
      </c>
      <c r="I353" s="371">
        <v>0</v>
      </c>
      <c r="J353" s="371">
        <v>0</v>
      </c>
      <c r="K353" s="371">
        <v>0</v>
      </c>
      <c r="L353" s="371">
        <v>0</v>
      </c>
      <c r="M353" s="371">
        <v>0</v>
      </c>
      <c r="N353" s="371">
        <v>0</v>
      </c>
      <c r="O353" s="370">
        <v>1000</v>
      </c>
      <c r="P353" s="386">
        <f t="shared" si="149"/>
        <v>2250</v>
      </c>
      <c r="Q353" s="371">
        <v>0</v>
      </c>
      <c r="R353" s="371">
        <v>0</v>
      </c>
      <c r="S353" s="371">
        <v>0</v>
      </c>
      <c r="T353" s="371">
        <v>0</v>
      </c>
      <c r="U353" s="371">
        <v>0</v>
      </c>
      <c r="V353" s="371">
        <v>0</v>
      </c>
      <c r="W353" s="371">
        <v>0</v>
      </c>
      <c r="X353" s="371">
        <v>0</v>
      </c>
      <c r="Y353" s="371">
        <v>0</v>
      </c>
      <c r="Z353" s="371">
        <v>0</v>
      </c>
      <c r="AA353" s="371">
        <v>0</v>
      </c>
      <c r="AB353" s="371">
        <v>0</v>
      </c>
      <c r="AC353" s="371">
        <v>0</v>
      </c>
      <c r="AD353" s="371">
        <v>0</v>
      </c>
      <c r="AE353" s="579">
        <v>2250</v>
      </c>
      <c r="AF353" s="385">
        <f t="shared" si="150"/>
        <v>0</v>
      </c>
      <c r="AG353" s="371">
        <v>0</v>
      </c>
      <c r="AH353" s="371">
        <v>0</v>
      </c>
      <c r="AI353" s="387">
        <f t="shared" si="142"/>
        <v>0</v>
      </c>
      <c r="AJ353" s="496"/>
    </row>
    <row r="354" spans="1:41" s="393" customFormat="1" ht="14.25">
      <c r="A354" s="397" t="s">
        <v>1662</v>
      </c>
      <c r="B354" s="394" t="s">
        <v>1663</v>
      </c>
      <c r="C354" s="497" t="s">
        <v>1674</v>
      </c>
      <c r="D354" s="396" t="s">
        <v>493</v>
      </c>
      <c r="E354" s="385">
        <f t="shared" si="147"/>
        <v>980</v>
      </c>
      <c r="F354" s="579">
        <v>980</v>
      </c>
      <c r="G354" s="371">
        <v>0</v>
      </c>
      <c r="H354" s="385">
        <f t="shared" si="148"/>
        <v>490</v>
      </c>
      <c r="I354" s="371">
        <v>0</v>
      </c>
      <c r="J354" s="371">
        <v>0</v>
      </c>
      <c r="K354" s="371">
        <v>0</v>
      </c>
      <c r="L354" s="371">
        <v>0</v>
      </c>
      <c r="M354" s="371">
        <v>0</v>
      </c>
      <c r="N354" s="371">
        <v>0</v>
      </c>
      <c r="O354" s="580">
        <v>490</v>
      </c>
      <c r="P354" s="386">
        <f t="shared" si="149"/>
        <v>490</v>
      </c>
      <c r="Q354" s="371">
        <v>0</v>
      </c>
      <c r="R354" s="371">
        <v>0</v>
      </c>
      <c r="S354" s="371">
        <v>0</v>
      </c>
      <c r="T354" s="371">
        <v>0</v>
      </c>
      <c r="U354" s="371">
        <v>0</v>
      </c>
      <c r="V354" s="371">
        <v>0</v>
      </c>
      <c r="W354" s="371">
        <v>0</v>
      </c>
      <c r="X354" s="371">
        <v>0</v>
      </c>
      <c r="Y354" s="371">
        <v>0</v>
      </c>
      <c r="Z354" s="371">
        <v>0</v>
      </c>
      <c r="AA354" s="371">
        <v>0</v>
      </c>
      <c r="AB354" s="371">
        <v>0</v>
      </c>
      <c r="AC354" s="371">
        <v>0</v>
      </c>
      <c r="AD354" s="371">
        <v>0</v>
      </c>
      <c r="AE354" s="579">
        <v>490</v>
      </c>
      <c r="AF354" s="385">
        <f t="shared" si="150"/>
        <v>0</v>
      </c>
      <c r="AG354" s="371">
        <v>0</v>
      </c>
      <c r="AH354" s="371">
        <v>0</v>
      </c>
      <c r="AI354" s="387">
        <f t="shared" si="142"/>
        <v>0</v>
      </c>
      <c r="AJ354" s="496"/>
    </row>
    <row r="355" spans="1:41" s="393" customFormat="1" ht="14.25">
      <c r="A355" s="397" t="s">
        <v>1662</v>
      </c>
      <c r="B355" s="394" t="s">
        <v>1675</v>
      </c>
      <c r="C355" s="497" t="s">
        <v>1676</v>
      </c>
      <c r="D355" s="396" t="s">
        <v>493</v>
      </c>
      <c r="E355" s="385">
        <f t="shared" si="147"/>
        <v>4000</v>
      </c>
      <c r="F355" s="371">
        <v>4000</v>
      </c>
      <c r="G355" s="371">
        <v>0</v>
      </c>
      <c r="H355" s="385">
        <f t="shared" si="148"/>
        <v>2000</v>
      </c>
      <c r="I355" s="371">
        <v>0</v>
      </c>
      <c r="J355" s="371">
        <v>0</v>
      </c>
      <c r="K355" s="371">
        <v>600</v>
      </c>
      <c r="L355" s="371">
        <v>600</v>
      </c>
      <c r="M355" s="371">
        <v>200</v>
      </c>
      <c r="N355" s="371">
        <v>600</v>
      </c>
      <c r="O355" s="370">
        <v>0</v>
      </c>
      <c r="P355" s="386">
        <f t="shared" si="149"/>
        <v>2000</v>
      </c>
      <c r="Q355" s="371">
        <v>0</v>
      </c>
      <c r="R355" s="371">
        <v>0</v>
      </c>
      <c r="S355" s="371">
        <v>0</v>
      </c>
      <c r="T355" s="371">
        <v>500</v>
      </c>
      <c r="U355" s="371">
        <v>0</v>
      </c>
      <c r="V355" s="371">
        <v>300</v>
      </c>
      <c r="W355" s="371">
        <v>0</v>
      </c>
      <c r="X355" s="371">
        <v>300</v>
      </c>
      <c r="Y355" s="371">
        <v>400</v>
      </c>
      <c r="Z355" s="371">
        <v>0</v>
      </c>
      <c r="AA355" s="371">
        <v>300</v>
      </c>
      <c r="AB355" s="371">
        <v>200</v>
      </c>
      <c r="AC355" s="371">
        <v>0</v>
      </c>
      <c r="AD355" s="371">
        <v>0</v>
      </c>
      <c r="AE355" s="371">
        <v>0</v>
      </c>
      <c r="AF355" s="385">
        <f t="shared" si="150"/>
        <v>0</v>
      </c>
      <c r="AG355" s="371">
        <v>0</v>
      </c>
      <c r="AH355" s="371">
        <v>0</v>
      </c>
      <c r="AI355" s="387">
        <f t="shared" si="142"/>
        <v>0</v>
      </c>
      <c r="AJ355" s="496"/>
    </row>
    <row r="356" spans="1:41" s="393" customFormat="1" ht="14.25">
      <c r="A356" s="397" t="s">
        <v>1662</v>
      </c>
      <c r="B356" s="394" t="s">
        <v>1675</v>
      </c>
      <c r="C356" s="497" t="s">
        <v>1677</v>
      </c>
      <c r="D356" s="396" t="s">
        <v>493</v>
      </c>
      <c r="E356" s="385">
        <f t="shared" si="147"/>
        <v>2860</v>
      </c>
      <c r="F356" s="579">
        <v>2860</v>
      </c>
      <c r="G356" s="371">
        <v>0</v>
      </c>
      <c r="H356" s="385">
        <f t="shared" si="148"/>
        <v>1360</v>
      </c>
      <c r="I356" s="371">
        <v>0</v>
      </c>
      <c r="J356" s="371">
        <v>0</v>
      </c>
      <c r="K356" s="371">
        <v>0</v>
      </c>
      <c r="L356" s="371">
        <v>0</v>
      </c>
      <c r="M356" s="371">
        <v>0</v>
      </c>
      <c r="N356" s="371">
        <v>0</v>
      </c>
      <c r="O356" s="580">
        <v>1360</v>
      </c>
      <c r="P356" s="386">
        <f t="shared" si="149"/>
        <v>1500</v>
      </c>
      <c r="Q356" s="371">
        <v>0</v>
      </c>
      <c r="R356" s="371">
        <v>0</v>
      </c>
      <c r="S356" s="371">
        <v>0</v>
      </c>
      <c r="T356" s="371">
        <v>0</v>
      </c>
      <c r="U356" s="371">
        <v>0</v>
      </c>
      <c r="V356" s="371">
        <v>0</v>
      </c>
      <c r="W356" s="371">
        <v>0</v>
      </c>
      <c r="X356" s="371">
        <v>0</v>
      </c>
      <c r="Y356" s="371">
        <v>0</v>
      </c>
      <c r="Z356" s="371">
        <v>0</v>
      </c>
      <c r="AA356" s="371">
        <v>0</v>
      </c>
      <c r="AB356" s="371">
        <v>0</v>
      </c>
      <c r="AC356" s="371">
        <v>0</v>
      </c>
      <c r="AD356" s="371">
        <v>0</v>
      </c>
      <c r="AE356" s="371">
        <v>1500</v>
      </c>
      <c r="AF356" s="385">
        <f t="shared" si="150"/>
        <v>0</v>
      </c>
      <c r="AG356" s="371">
        <v>0</v>
      </c>
      <c r="AH356" s="371">
        <v>0</v>
      </c>
      <c r="AI356" s="387">
        <f t="shared" si="142"/>
        <v>0</v>
      </c>
      <c r="AJ356" s="496"/>
    </row>
    <row r="357" spans="1:41" s="410" customFormat="1" ht="21.6" customHeight="1">
      <c r="A357" s="405" t="s">
        <v>1266</v>
      </c>
      <c r="B357" s="406"/>
      <c r="C357" s="407"/>
      <c r="D357" s="408"/>
      <c r="E357" s="409">
        <f t="shared" ref="E357:AH357" si="151">SUM(E358:E361)</f>
        <v>628628</v>
      </c>
      <c r="F357" s="409">
        <f t="shared" si="151"/>
        <v>144274</v>
      </c>
      <c r="G357" s="409">
        <f t="shared" si="151"/>
        <v>484354</v>
      </c>
      <c r="H357" s="409">
        <f t="shared" si="151"/>
        <v>191708</v>
      </c>
      <c r="I357" s="409">
        <f t="shared" si="151"/>
        <v>56660</v>
      </c>
      <c r="J357" s="409">
        <f t="shared" si="151"/>
        <v>13310</v>
      </c>
      <c r="K357" s="409">
        <f t="shared" si="151"/>
        <v>16410</v>
      </c>
      <c r="L357" s="409">
        <f t="shared" si="151"/>
        <v>30088</v>
      </c>
      <c r="M357" s="409">
        <f t="shared" si="151"/>
        <v>28580</v>
      </c>
      <c r="N357" s="409">
        <f t="shared" si="151"/>
        <v>46660</v>
      </c>
      <c r="O357" s="409">
        <f t="shared" si="151"/>
        <v>0</v>
      </c>
      <c r="P357" s="409">
        <f t="shared" si="151"/>
        <v>393820</v>
      </c>
      <c r="Q357" s="409">
        <f t="shared" si="151"/>
        <v>18374</v>
      </c>
      <c r="R357" s="409">
        <f t="shared" si="151"/>
        <v>15302</v>
      </c>
      <c r="S357" s="409">
        <f t="shared" si="151"/>
        <v>26392</v>
      </c>
      <c r="T357" s="409">
        <f t="shared" si="151"/>
        <v>24092</v>
      </c>
      <c r="U357" s="409">
        <f t="shared" si="151"/>
        <v>26762</v>
      </c>
      <c r="V357" s="409">
        <f t="shared" si="151"/>
        <v>30646</v>
      </c>
      <c r="W357" s="409">
        <f t="shared" si="151"/>
        <v>29283</v>
      </c>
      <c r="X357" s="409">
        <f t="shared" si="151"/>
        <v>75397</v>
      </c>
      <c r="Y357" s="409">
        <f t="shared" si="151"/>
        <v>21692</v>
      </c>
      <c r="Z357" s="409">
        <f t="shared" si="151"/>
        <v>27782</v>
      </c>
      <c r="AA357" s="409">
        <f t="shared" si="151"/>
        <v>35760</v>
      </c>
      <c r="AB357" s="409">
        <f t="shared" si="151"/>
        <v>15392</v>
      </c>
      <c r="AC357" s="409">
        <f t="shared" si="151"/>
        <v>26573</v>
      </c>
      <c r="AD357" s="409">
        <f t="shared" si="151"/>
        <v>20373</v>
      </c>
      <c r="AE357" s="409">
        <f t="shared" si="151"/>
        <v>0</v>
      </c>
      <c r="AF357" s="409">
        <f t="shared" si="151"/>
        <v>43100</v>
      </c>
      <c r="AG357" s="409">
        <f t="shared" si="151"/>
        <v>23425</v>
      </c>
      <c r="AH357" s="409">
        <f t="shared" si="151"/>
        <v>19675</v>
      </c>
      <c r="AI357" s="387">
        <f t="shared" si="142"/>
        <v>0</v>
      </c>
      <c r="AJ357" s="496"/>
    </row>
    <row r="358" spans="1:41" s="393" customFormat="1" ht="14.25">
      <c r="A358" s="397" t="s">
        <v>1662</v>
      </c>
      <c r="B358" s="394" t="s">
        <v>1678</v>
      </c>
      <c r="C358" s="497" t="s">
        <v>1679</v>
      </c>
      <c r="D358" s="396" t="s">
        <v>493</v>
      </c>
      <c r="E358" s="385">
        <f>H358+P358+AF358</f>
        <v>41891</v>
      </c>
      <c r="F358" s="368">
        <v>24332</v>
      </c>
      <c r="G358" s="371">
        <v>17559</v>
      </c>
      <c r="H358" s="385">
        <f>SUM(I358:O358)</f>
        <v>13800</v>
      </c>
      <c r="I358" s="371">
        <v>2260</v>
      </c>
      <c r="J358" s="371">
        <v>860</v>
      </c>
      <c r="K358" s="371">
        <v>1660</v>
      </c>
      <c r="L358" s="371">
        <v>3480</v>
      </c>
      <c r="M358" s="371">
        <v>3380</v>
      </c>
      <c r="N358" s="371">
        <v>2160</v>
      </c>
      <c r="O358" s="370">
        <v>0</v>
      </c>
      <c r="P358" s="386">
        <f>SUM(Q358:AE358)</f>
        <v>24341</v>
      </c>
      <c r="Q358" s="371">
        <v>812</v>
      </c>
      <c r="R358" s="371">
        <v>530</v>
      </c>
      <c r="S358" s="371">
        <v>1830</v>
      </c>
      <c r="T358" s="371">
        <v>1280</v>
      </c>
      <c r="U358" s="371">
        <v>1150</v>
      </c>
      <c r="V358" s="371">
        <v>1030</v>
      </c>
      <c r="W358" s="371">
        <v>2280</v>
      </c>
      <c r="X358" s="371">
        <v>5330</v>
      </c>
      <c r="Y358" s="371">
        <v>1180</v>
      </c>
      <c r="Z358" s="371">
        <v>1389</v>
      </c>
      <c r="AA358" s="371">
        <v>1910</v>
      </c>
      <c r="AB358" s="371">
        <v>580</v>
      </c>
      <c r="AC358" s="371">
        <v>4510</v>
      </c>
      <c r="AD358" s="371">
        <v>530</v>
      </c>
      <c r="AE358" s="371">
        <v>0</v>
      </c>
      <c r="AF358" s="385">
        <f>SUM(AG358:AH358)</f>
        <v>3750</v>
      </c>
      <c r="AG358" s="371">
        <v>2325</v>
      </c>
      <c r="AH358" s="371">
        <v>1425</v>
      </c>
      <c r="AI358" s="387">
        <f t="shared" si="142"/>
        <v>0</v>
      </c>
      <c r="AJ358" s="496"/>
    </row>
    <row r="359" spans="1:41" s="393" customFormat="1" ht="14.25">
      <c r="A359" s="397" t="s">
        <v>1662</v>
      </c>
      <c r="B359" s="394" t="s">
        <v>1678</v>
      </c>
      <c r="C359" s="497" t="s">
        <v>1680</v>
      </c>
      <c r="D359" s="396" t="s">
        <v>493</v>
      </c>
      <c r="E359" s="385">
        <f>H359+P359+AF359</f>
        <v>176942</v>
      </c>
      <c r="F359" s="368">
        <v>45942</v>
      </c>
      <c r="G359" s="371">
        <f>141000-10000</f>
        <v>131000</v>
      </c>
      <c r="H359" s="385">
        <f>SUM(I359:O359)</f>
        <v>75308</v>
      </c>
      <c r="I359" s="371">
        <v>12450</v>
      </c>
      <c r="J359" s="371">
        <v>6950</v>
      </c>
      <c r="K359" s="371">
        <v>7000</v>
      </c>
      <c r="L359" s="371">
        <v>20108</v>
      </c>
      <c r="M359" s="371">
        <v>15000</v>
      </c>
      <c r="N359" s="371">
        <v>13800</v>
      </c>
      <c r="O359" s="370">
        <v>0</v>
      </c>
      <c r="P359" s="386">
        <f>SUM(Q359:AE359)</f>
        <v>91784</v>
      </c>
      <c r="Q359" s="371">
        <v>3000</v>
      </c>
      <c r="R359" s="371">
        <v>1680</v>
      </c>
      <c r="S359" s="371">
        <f>9400-1000</f>
        <v>8400</v>
      </c>
      <c r="T359" s="371">
        <f>11600-1500</f>
        <v>10100</v>
      </c>
      <c r="U359" s="371">
        <f>9700-1000</f>
        <v>8700</v>
      </c>
      <c r="V359" s="371">
        <f>20404-4000</f>
        <v>16404</v>
      </c>
      <c r="W359" s="371">
        <f>9500-1000</f>
        <v>8500</v>
      </c>
      <c r="X359" s="371">
        <f>11800-1500</f>
        <v>10300</v>
      </c>
      <c r="Y359" s="371">
        <v>3800</v>
      </c>
      <c r="Z359" s="371">
        <v>3500</v>
      </c>
      <c r="AA359" s="371">
        <v>5700</v>
      </c>
      <c r="AB359" s="371">
        <v>2200</v>
      </c>
      <c r="AC359" s="371">
        <v>5000</v>
      </c>
      <c r="AD359" s="371">
        <v>4500</v>
      </c>
      <c r="AE359" s="371">
        <v>0</v>
      </c>
      <c r="AF359" s="385">
        <f>SUM(AG359:AH359)</f>
        <v>9850</v>
      </c>
      <c r="AG359" s="371">
        <v>6350</v>
      </c>
      <c r="AH359" s="371">
        <v>3500</v>
      </c>
      <c r="AI359" s="387">
        <f t="shared" si="142"/>
        <v>0</v>
      </c>
      <c r="AJ359" s="496"/>
    </row>
    <row r="360" spans="1:41" s="393" customFormat="1" ht="14.25">
      <c r="A360" s="397" t="s">
        <v>1662</v>
      </c>
      <c r="B360" s="394" t="s">
        <v>1678</v>
      </c>
      <c r="C360" s="497" t="s">
        <v>1681</v>
      </c>
      <c r="D360" s="396" t="s">
        <v>493</v>
      </c>
      <c r="E360" s="385">
        <f>H360+P360+AF360</f>
        <v>100800</v>
      </c>
      <c r="F360" s="368">
        <v>15500</v>
      </c>
      <c r="G360" s="371">
        <v>85300</v>
      </c>
      <c r="H360" s="385">
        <f>SUM(I360:O360)</f>
        <v>25600</v>
      </c>
      <c r="I360" s="371">
        <v>4600</v>
      </c>
      <c r="J360" s="371">
        <v>3800</v>
      </c>
      <c r="K360" s="371">
        <v>4100</v>
      </c>
      <c r="L360" s="371">
        <v>4700</v>
      </c>
      <c r="M360" s="371">
        <v>5200</v>
      </c>
      <c r="N360" s="371">
        <v>3200</v>
      </c>
      <c r="O360" s="370">
        <v>0</v>
      </c>
      <c r="P360" s="386">
        <f>SUM(Q360:AE360)</f>
        <v>62700</v>
      </c>
      <c r="Q360" s="371">
        <v>4700</v>
      </c>
      <c r="R360" s="371">
        <v>3230</v>
      </c>
      <c r="S360" s="371">
        <v>6700</v>
      </c>
      <c r="T360" s="371">
        <v>3300</v>
      </c>
      <c r="U360" s="371">
        <v>7000</v>
      </c>
      <c r="V360" s="371">
        <v>3300</v>
      </c>
      <c r="W360" s="371">
        <v>3700</v>
      </c>
      <c r="X360" s="371">
        <v>3700</v>
      </c>
      <c r="Y360" s="371">
        <v>6300</v>
      </c>
      <c r="Z360" s="371">
        <v>8100</v>
      </c>
      <c r="AA360" s="371">
        <v>3500</v>
      </c>
      <c r="AB360" s="371">
        <v>3250</v>
      </c>
      <c r="AC360" s="371">
        <v>2820</v>
      </c>
      <c r="AD360" s="371">
        <v>3100</v>
      </c>
      <c r="AE360" s="371">
        <v>0</v>
      </c>
      <c r="AF360" s="385">
        <f>SUM(AG360:AH360)</f>
        <v>12500</v>
      </c>
      <c r="AG360" s="371">
        <v>6250</v>
      </c>
      <c r="AH360" s="371">
        <v>6250</v>
      </c>
      <c r="AI360" s="387">
        <f t="shared" si="142"/>
        <v>0</v>
      </c>
      <c r="AJ360" s="496"/>
    </row>
    <row r="361" spans="1:41" s="393" customFormat="1" ht="14.25">
      <c r="A361" s="397" t="s">
        <v>1662</v>
      </c>
      <c r="B361" s="394" t="s">
        <v>1678</v>
      </c>
      <c r="C361" s="497" t="s">
        <v>1682</v>
      </c>
      <c r="D361" s="396" t="s">
        <v>493</v>
      </c>
      <c r="E361" s="385">
        <f>H361+P361+AF361</f>
        <v>308995</v>
      </c>
      <c r="F361" s="368">
        <v>58500</v>
      </c>
      <c r="G361" s="579">
        <v>250495</v>
      </c>
      <c r="H361" s="385">
        <f>SUM(I361:O361)</f>
        <v>77000</v>
      </c>
      <c r="I361" s="371">
        <v>37350</v>
      </c>
      <c r="J361" s="371">
        <v>1700</v>
      </c>
      <c r="K361" s="371">
        <v>3650</v>
      </c>
      <c r="L361" s="371">
        <v>1800</v>
      </c>
      <c r="M361" s="371">
        <v>5000</v>
      </c>
      <c r="N361" s="371">
        <v>27500</v>
      </c>
      <c r="O361" s="370">
        <v>0</v>
      </c>
      <c r="P361" s="386">
        <f>SUM(Q361:AE361)</f>
        <v>214995</v>
      </c>
      <c r="Q361" s="579">
        <v>9862</v>
      </c>
      <c r="R361" s="579">
        <v>9862</v>
      </c>
      <c r="S361" s="579">
        <v>9462</v>
      </c>
      <c r="T361" s="579">
        <v>9412</v>
      </c>
      <c r="U361" s="579">
        <v>9912</v>
      </c>
      <c r="V361" s="579">
        <v>9912</v>
      </c>
      <c r="W361" s="579">
        <v>14803</v>
      </c>
      <c r="X361" s="579">
        <v>56067</v>
      </c>
      <c r="Y361" s="579">
        <v>10412</v>
      </c>
      <c r="Z361" s="579">
        <v>14793</v>
      </c>
      <c r="AA361" s="371">
        <v>24650</v>
      </c>
      <c r="AB361" s="579">
        <v>9362</v>
      </c>
      <c r="AC361" s="579">
        <v>14243</v>
      </c>
      <c r="AD361" s="579">
        <v>12243</v>
      </c>
      <c r="AE361" s="371">
        <v>0</v>
      </c>
      <c r="AF361" s="385">
        <f>SUM(AG361:AH361)</f>
        <v>17000</v>
      </c>
      <c r="AG361" s="371">
        <v>8500</v>
      </c>
      <c r="AH361" s="371">
        <v>8500</v>
      </c>
      <c r="AI361" s="387">
        <f t="shared" si="142"/>
        <v>0</v>
      </c>
      <c r="AJ361" s="496"/>
    </row>
    <row r="362" spans="1:41" s="515" customFormat="1" ht="24" customHeight="1">
      <c r="A362" s="510" t="s">
        <v>1896</v>
      </c>
      <c r="B362" s="511" t="s">
        <v>199</v>
      </c>
      <c r="C362" s="512" t="s">
        <v>1895</v>
      </c>
      <c r="D362" s="513">
        <v>1</v>
      </c>
      <c r="E362" s="514">
        <v>1426</v>
      </c>
      <c r="F362" s="514">
        <v>1426</v>
      </c>
      <c r="G362" s="514">
        <v>0</v>
      </c>
      <c r="H362" s="514">
        <f>SUM(I362:O362)</f>
        <v>0</v>
      </c>
      <c r="I362" s="514"/>
      <c r="J362" s="514"/>
      <c r="K362" s="514"/>
      <c r="L362" s="514"/>
      <c r="M362" s="514"/>
      <c r="N362" s="514"/>
      <c r="O362" s="514"/>
      <c r="P362" s="514">
        <f>SUM(Q362:AE362)</f>
        <v>0</v>
      </c>
      <c r="Q362" s="514"/>
      <c r="R362" s="514"/>
      <c r="S362" s="514"/>
      <c r="T362" s="514"/>
      <c r="U362" s="514"/>
      <c r="V362" s="514"/>
      <c r="W362" s="514"/>
      <c r="X362" s="514"/>
      <c r="Y362" s="514"/>
      <c r="Z362" s="514"/>
      <c r="AA362" s="514"/>
      <c r="AB362" s="514"/>
      <c r="AC362" s="514"/>
      <c r="AD362" s="514"/>
      <c r="AE362" s="514"/>
      <c r="AF362" s="514">
        <f>SUM(AG362:AH362)</f>
        <v>1426</v>
      </c>
      <c r="AG362" s="514">
        <v>930</v>
      </c>
      <c r="AH362" s="514">
        <v>496</v>
      </c>
      <c r="AI362" s="387">
        <f>IF(AND(+F362+G362=E362,AF362+P362+H362=E362,SUM(I362:O362,Q362:AE362,AG362:AH362)=E362),0,FALSE)</f>
        <v>0</v>
      </c>
    </row>
    <row r="363" spans="1:41" s="382" customFormat="1" ht="26.1" customHeight="1">
      <c r="A363" s="374" t="s">
        <v>1241</v>
      </c>
      <c r="B363" s="375"/>
      <c r="C363" s="376"/>
      <c r="D363" s="376"/>
      <c r="E363" s="377"/>
      <c r="F363" s="377"/>
      <c r="G363" s="377"/>
      <c r="H363" s="377"/>
      <c r="I363" s="377"/>
      <c r="J363" s="377"/>
      <c r="K363" s="377"/>
      <c r="L363" s="377"/>
      <c r="M363" s="377"/>
      <c r="N363" s="377"/>
      <c r="O363" s="378"/>
      <c r="P363" s="379"/>
      <c r="Q363" s="377"/>
      <c r="R363" s="377"/>
      <c r="S363" s="377"/>
      <c r="T363" s="377"/>
      <c r="U363" s="377"/>
      <c r="V363" s="377"/>
      <c r="W363" s="377"/>
      <c r="X363" s="377"/>
      <c r="Y363" s="377"/>
      <c r="Z363" s="377"/>
      <c r="AA363" s="377"/>
      <c r="AB363" s="377"/>
      <c r="AC363" s="377"/>
      <c r="AD363" s="377"/>
      <c r="AE363" s="377"/>
      <c r="AF363" s="380"/>
      <c r="AG363" s="377"/>
      <c r="AH363" s="377"/>
      <c r="AI363" s="387">
        <f t="shared" si="142"/>
        <v>0</v>
      </c>
    </row>
    <row r="365" spans="1:41">
      <c r="E365" s="439">
        <f t="shared" ref="E365:AH365" si="152">E6-E7-E109</f>
        <v>0</v>
      </c>
      <c r="F365" s="439">
        <f t="shared" si="152"/>
        <v>0</v>
      </c>
      <c r="G365" s="439">
        <f t="shared" si="152"/>
        <v>0</v>
      </c>
      <c r="H365" s="439">
        <f t="shared" si="152"/>
        <v>0</v>
      </c>
      <c r="I365" s="439">
        <f t="shared" si="152"/>
        <v>0</v>
      </c>
      <c r="J365" s="439">
        <f t="shared" si="152"/>
        <v>0</v>
      </c>
      <c r="K365" s="439">
        <f t="shared" si="152"/>
        <v>0</v>
      </c>
      <c r="L365" s="439">
        <f t="shared" si="152"/>
        <v>0</v>
      </c>
      <c r="M365" s="439">
        <f t="shared" si="152"/>
        <v>0</v>
      </c>
      <c r="N365" s="439">
        <f t="shared" si="152"/>
        <v>0</v>
      </c>
      <c r="O365" s="439">
        <f t="shared" si="152"/>
        <v>0</v>
      </c>
      <c r="P365" s="439">
        <f t="shared" si="152"/>
        <v>0</v>
      </c>
      <c r="Q365" s="439">
        <f t="shared" si="152"/>
        <v>0</v>
      </c>
      <c r="R365" s="439">
        <f t="shared" si="152"/>
        <v>0</v>
      </c>
      <c r="S365" s="439">
        <f t="shared" si="152"/>
        <v>0</v>
      </c>
      <c r="T365" s="439">
        <f t="shared" si="152"/>
        <v>0</v>
      </c>
      <c r="U365" s="439">
        <f t="shared" si="152"/>
        <v>0</v>
      </c>
      <c r="V365" s="439">
        <f t="shared" si="152"/>
        <v>0</v>
      </c>
      <c r="W365" s="439">
        <f t="shared" si="152"/>
        <v>0</v>
      </c>
      <c r="X365" s="439">
        <f t="shared" si="152"/>
        <v>0</v>
      </c>
      <c r="Y365" s="439">
        <f t="shared" si="152"/>
        <v>0</v>
      </c>
      <c r="Z365" s="439">
        <f t="shared" si="152"/>
        <v>0</v>
      </c>
      <c r="AA365" s="439">
        <f t="shared" si="152"/>
        <v>0</v>
      </c>
      <c r="AB365" s="439">
        <f t="shared" si="152"/>
        <v>0</v>
      </c>
      <c r="AC365" s="439">
        <f t="shared" si="152"/>
        <v>0</v>
      </c>
      <c r="AD365" s="439">
        <f t="shared" si="152"/>
        <v>0</v>
      </c>
      <c r="AE365" s="439">
        <f t="shared" si="152"/>
        <v>0</v>
      </c>
      <c r="AF365" s="439">
        <f t="shared" si="152"/>
        <v>0</v>
      </c>
      <c r="AG365" s="439">
        <f t="shared" si="152"/>
        <v>0</v>
      </c>
      <c r="AH365" s="439">
        <f t="shared" si="152"/>
        <v>0</v>
      </c>
      <c r="AL365" s="439">
        <f>H6-AL366</f>
        <v>0</v>
      </c>
      <c r="AM365" s="439">
        <f>P6-AM366</f>
        <v>0</v>
      </c>
      <c r="AN365" s="439">
        <f>AF6-AN366</f>
        <v>1426</v>
      </c>
    </row>
    <row r="366" spans="1:41" ht="14.25">
      <c r="E366" s="538">
        <f>SUM(E367:E379)</f>
        <v>132258637</v>
      </c>
      <c r="H366" s="538">
        <f>SUM(H367:H379)</f>
        <v>82690810</v>
      </c>
      <c r="I366" s="538"/>
      <c r="J366" s="538"/>
      <c r="K366" s="538"/>
      <c r="L366" s="538"/>
      <c r="M366" s="538"/>
      <c r="N366" s="538"/>
      <c r="O366" s="538">
        <f>SUM(O367:O379)</f>
        <v>7935339</v>
      </c>
      <c r="P366" s="538">
        <f>SUM(P367:P379)</f>
        <v>45814161</v>
      </c>
      <c r="Q366" s="538"/>
      <c r="R366" s="538"/>
      <c r="S366" s="538"/>
      <c r="T366" s="538"/>
      <c r="U366" s="538"/>
      <c r="V366" s="538"/>
      <c r="W366" s="538"/>
      <c r="X366" s="538"/>
      <c r="Y366" s="538"/>
      <c r="Z366" s="538"/>
      <c r="AA366" s="538"/>
      <c r="AB366" s="538"/>
      <c r="AC366" s="538"/>
      <c r="AD366" s="538"/>
      <c r="AE366" s="538">
        <f>SUM(AE367:AE379)</f>
        <v>9666898</v>
      </c>
      <c r="AF366" s="538">
        <f>SUM(AF367:AF379)</f>
        <v>3753666</v>
      </c>
      <c r="AK366" s="567" t="s">
        <v>1323</v>
      </c>
      <c r="AL366" s="538">
        <f>SUM(AL367:AL378)</f>
        <v>82690810</v>
      </c>
      <c r="AM366" s="538">
        <f>SUM(AM367:AM378)</f>
        <v>45814161</v>
      </c>
      <c r="AN366" s="538">
        <f>SUM(AN367:AN378)</f>
        <v>3752240</v>
      </c>
      <c r="AO366" s="565">
        <f>IF(AND(H366=AL366,P366=AM366,AF366=AN366+AF362),0,FALSE)</f>
        <v>0</v>
      </c>
    </row>
    <row r="367" spans="1:41">
      <c r="A367" s="345" t="s">
        <v>69</v>
      </c>
      <c r="D367" s="539">
        <v>1</v>
      </c>
      <c r="E367" s="540">
        <f>SUMIF($D$6:$D$362,$D367,$E$6:$E$362)</f>
        <v>3416431</v>
      </c>
      <c r="F367" s="538">
        <f>SUM(H367,P367,AF367)</f>
        <v>2795565</v>
      </c>
      <c r="H367" s="525">
        <f t="shared" ref="H367:H378" si="153">SUMIF($A$6:$A$362,$A367,$H$6:$H$362)</f>
        <v>574911</v>
      </c>
      <c r="O367" s="549">
        <f>SUMIF($D$6:$D$362,$D367,$O$6:$O$362)</f>
        <v>84774</v>
      </c>
      <c r="P367" s="525">
        <f t="shared" ref="P367:P378" si="154">SUMIF($A$6:$A$362,$A367,$P$6:$P$362)</f>
        <v>2218824</v>
      </c>
      <c r="AE367" s="549">
        <f>SUMIF($D$6:$D$362,$D367,$AE$6:$AE$362)</f>
        <v>285714</v>
      </c>
      <c r="AF367" s="525">
        <f t="shared" ref="AF367:AF379" si="155">SUMIF($A$6:$A$362,$A367,$AF$6:$AF$362)</f>
        <v>1830</v>
      </c>
      <c r="AH367" s="549"/>
      <c r="AK367" s="345" t="s">
        <v>69</v>
      </c>
      <c r="AL367" s="525">
        <v>574911</v>
      </c>
      <c r="AM367" s="525">
        <v>2218824</v>
      </c>
      <c r="AN367" s="525">
        <v>1830</v>
      </c>
      <c r="AO367" s="565">
        <f>IF(AND(H367=AL367,P367=AM367,AF367=AN367),0,FALSE)</f>
        <v>0</v>
      </c>
    </row>
    <row r="368" spans="1:41">
      <c r="A368" s="345" t="s">
        <v>116</v>
      </c>
      <c r="D368" s="541">
        <v>2</v>
      </c>
      <c r="E368" s="542">
        <f t="shared" ref="E368:E376" si="156">SUMIF($D$6:$D$362,$D368,$E$6:$E$362)</f>
        <v>0</v>
      </c>
      <c r="F368" s="538">
        <f t="shared" ref="F368:F379" si="157">SUM(H368,P368,AF368)</f>
        <v>15996496</v>
      </c>
      <c r="H368" s="525">
        <f t="shared" si="153"/>
        <v>9158543</v>
      </c>
      <c r="O368" s="549">
        <f t="shared" ref="O368:O376" si="158">SUMIF($D$6:$D$362,$D368,$O$6:$O$362)</f>
        <v>0</v>
      </c>
      <c r="P368" s="525">
        <f t="shared" si="154"/>
        <v>6562926</v>
      </c>
      <c r="AE368" s="549">
        <f t="shared" ref="AE368:AE376" si="159">SUMIF($D$6:$D$362,$D368,$AE$6:$AE$362)</f>
        <v>0</v>
      </c>
      <c r="AF368" s="525">
        <f t="shared" si="155"/>
        <v>275027</v>
      </c>
      <c r="AH368" s="549"/>
      <c r="AK368" s="345" t="s">
        <v>116</v>
      </c>
      <c r="AL368" s="525">
        <v>9158543</v>
      </c>
      <c r="AM368" s="525">
        <v>6562926</v>
      </c>
      <c r="AN368" s="525">
        <v>275027</v>
      </c>
      <c r="AO368" s="565">
        <f>IF(AND(H368=AL368,P368=AM368,AF368=AN368),0,FALSE)</f>
        <v>0</v>
      </c>
    </row>
    <row r="369" spans="1:41">
      <c r="A369" s="345" t="s">
        <v>1291</v>
      </c>
      <c r="D369" s="541">
        <v>3</v>
      </c>
      <c r="E369" s="542">
        <f t="shared" si="156"/>
        <v>53485524</v>
      </c>
      <c r="F369" s="538">
        <f t="shared" si="157"/>
        <v>11737749</v>
      </c>
      <c r="H369" s="525">
        <f t="shared" si="153"/>
        <v>8004096</v>
      </c>
      <c r="O369" s="549">
        <f t="shared" si="158"/>
        <v>7501454</v>
      </c>
      <c r="P369" s="525">
        <f t="shared" si="154"/>
        <v>3626004</v>
      </c>
      <c r="AE369" s="549">
        <f t="shared" si="159"/>
        <v>6890375</v>
      </c>
      <c r="AF369" s="525">
        <f t="shared" si="155"/>
        <v>107649</v>
      </c>
      <c r="AH369" s="549"/>
      <c r="AK369" s="345" t="s">
        <v>1291</v>
      </c>
      <c r="AL369" s="525">
        <v>8004096</v>
      </c>
      <c r="AM369" s="525">
        <v>3626004</v>
      </c>
      <c r="AN369" s="525">
        <v>107649</v>
      </c>
      <c r="AO369" s="565">
        <f t="shared" ref="AO369:AO377" si="160">IF(AND(H369=AL369,P369=AM369,AF369=AN369),0,FALSE)</f>
        <v>0</v>
      </c>
    </row>
    <row r="370" spans="1:41">
      <c r="A370" s="345" t="s">
        <v>1292</v>
      </c>
      <c r="D370" s="541">
        <v>4</v>
      </c>
      <c r="E370" s="542">
        <f t="shared" si="156"/>
        <v>29819271</v>
      </c>
      <c r="F370" s="538">
        <f t="shared" si="157"/>
        <v>50945639</v>
      </c>
      <c r="H370" s="525">
        <f t="shared" si="153"/>
        <v>30947125</v>
      </c>
      <c r="O370" s="549">
        <f t="shared" si="158"/>
        <v>324138</v>
      </c>
      <c r="P370" s="525">
        <f t="shared" si="154"/>
        <v>19374916</v>
      </c>
      <c r="AE370" s="549">
        <f t="shared" si="159"/>
        <v>2349964</v>
      </c>
      <c r="AF370" s="525">
        <f t="shared" si="155"/>
        <v>623598</v>
      </c>
      <c r="AH370" s="549"/>
      <c r="AK370" s="345" t="s">
        <v>1292</v>
      </c>
      <c r="AL370" s="525">
        <v>30947125</v>
      </c>
      <c r="AM370" s="525">
        <v>19374916</v>
      </c>
      <c r="AN370" s="525">
        <v>623598</v>
      </c>
      <c r="AO370" s="565">
        <f>IF(AND(H370=AL370,P370=AM370,AF370=AN370),0,FALSE)</f>
        <v>0</v>
      </c>
    </row>
    <row r="371" spans="1:41">
      <c r="A371" s="345" t="s">
        <v>237</v>
      </c>
      <c r="D371" s="541">
        <v>5</v>
      </c>
      <c r="E371" s="542">
        <f t="shared" si="156"/>
        <v>15952694</v>
      </c>
      <c r="F371" s="538">
        <f t="shared" si="157"/>
        <v>13127</v>
      </c>
      <c r="H371" s="525">
        <f t="shared" si="153"/>
        <v>9491</v>
      </c>
      <c r="O371" s="549">
        <f t="shared" si="158"/>
        <v>3049</v>
      </c>
      <c r="P371" s="525">
        <f t="shared" si="154"/>
        <v>3636</v>
      </c>
      <c r="AE371" s="549">
        <f t="shared" si="159"/>
        <v>8198</v>
      </c>
      <c r="AF371" s="525">
        <f t="shared" si="155"/>
        <v>0</v>
      </c>
      <c r="AH371" s="549"/>
      <c r="AK371" s="345" t="s">
        <v>237</v>
      </c>
      <c r="AL371" s="525">
        <v>9491</v>
      </c>
      <c r="AM371" s="525">
        <v>3636</v>
      </c>
      <c r="AN371" s="525"/>
      <c r="AO371" s="565">
        <f t="shared" si="160"/>
        <v>0</v>
      </c>
    </row>
    <row r="372" spans="1:41">
      <c r="A372" s="345" t="s">
        <v>916</v>
      </c>
      <c r="D372" s="541">
        <v>6</v>
      </c>
      <c r="E372" s="542">
        <f t="shared" si="156"/>
        <v>14519094</v>
      </c>
      <c r="F372" s="538">
        <f t="shared" si="157"/>
        <v>865800</v>
      </c>
      <c r="H372" s="525">
        <f t="shared" si="153"/>
        <v>208917</v>
      </c>
      <c r="O372" s="549">
        <f t="shared" si="158"/>
        <v>21924</v>
      </c>
      <c r="P372" s="525">
        <f t="shared" si="154"/>
        <v>365218</v>
      </c>
      <c r="AE372" s="549">
        <f t="shared" si="159"/>
        <v>132647</v>
      </c>
      <c r="AF372" s="525">
        <f t="shared" si="155"/>
        <v>291665</v>
      </c>
      <c r="AH372" s="549"/>
      <c r="AK372" s="345" t="s">
        <v>916</v>
      </c>
      <c r="AL372" s="525">
        <v>208917</v>
      </c>
      <c r="AM372" s="525">
        <v>365218</v>
      </c>
      <c r="AN372" s="525">
        <v>291665</v>
      </c>
      <c r="AO372" s="565">
        <f t="shared" si="160"/>
        <v>0</v>
      </c>
    </row>
    <row r="373" spans="1:41">
      <c r="A373" s="345" t="s">
        <v>923</v>
      </c>
      <c r="D373" s="541">
        <v>7</v>
      </c>
      <c r="E373" s="542">
        <f t="shared" si="156"/>
        <v>0</v>
      </c>
      <c r="F373" s="538">
        <f t="shared" si="157"/>
        <v>26153108</v>
      </c>
      <c r="H373" s="525">
        <f t="shared" si="153"/>
        <v>17749168</v>
      </c>
      <c r="O373" s="549">
        <f t="shared" si="158"/>
        <v>0</v>
      </c>
      <c r="P373" s="525">
        <f t="shared" si="154"/>
        <v>6337708</v>
      </c>
      <c r="AE373" s="549">
        <f t="shared" si="159"/>
        <v>0</v>
      </c>
      <c r="AF373" s="525">
        <f t="shared" si="155"/>
        <v>2066232</v>
      </c>
      <c r="AH373" s="549"/>
      <c r="AK373" s="345" t="s">
        <v>923</v>
      </c>
      <c r="AL373" s="525">
        <v>17749168</v>
      </c>
      <c r="AM373" s="525">
        <v>6337708</v>
      </c>
      <c r="AN373" s="525">
        <v>2066232</v>
      </c>
      <c r="AO373" s="565">
        <f t="shared" si="160"/>
        <v>0</v>
      </c>
    </row>
    <row r="374" spans="1:41">
      <c r="A374" s="345" t="s">
        <v>1295</v>
      </c>
      <c r="D374" s="541">
        <v>8</v>
      </c>
      <c r="E374" s="542">
        <f t="shared" si="156"/>
        <v>0</v>
      </c>
      <c r="F374" s="538">
        <f t="shared" si="157"/>
        <v>1755583</v>
      </c>
      <c r="H374" s="525">
        <f t="shared" si="153"/>
        <v>1753786</v>
      </c>
      <c r="O374" s="549">
        <f t="shared" si="158"/>
        <v>0</v>
      </c>
      <c r="P374" s="525">
        <f t="shared" si="154"/>
        <v>1797</v>
      </c>
      <c r="AE374" s="549">
        <f t="shared" si="159"/>
        <v>0</v>
      </c>
      <c r="AF374" s="525">
        <f t="shared" si="155"/>
        <v>0</v>
      </c>
      <c r="AH374" s="549"/>
      <c r="AK374" s="345" t="s">
        <v>1295</v>
      </c>
      <c r="AL374" s="525">
        <v>1753786</v>
      </c>
      <c r="AM374" s="525">
        <v>1797</v>
      </c>
      <c r="AN374" s="525"/>
      <c r="AO374" s="565">
        <f t="shared" si="160"/>
        <v>0</v>
      </c>
    </row>
    <row r="375" spans="1:41">
      <c r="A375" s="345" t="s">
        <v>1288</v>
      </c>
      <c r="D375" s="541">
        <v>9</v>
      </c>
      <c r="E375" s="542">
        <f t="shared" si="156"/>
        <v>15065623</v>
      </c>
      <c r="F375" s="538">
        <f t="shared" si="157"/>
        <v>4445981</v>
      </c>
      <c r="H375" s="525">
        <f t="shared" si="153"/>
        <v>2514484</v>
      </c>
      <c r="O375" s="549">
        <f t="shared" si="158"/>
        <v>0</v>
      </c>
      <c r="P375" s="525">
        <f t="shared" si="154"/>
        <v>1836634</v>
      </c>
      <c r="AE375" s="549">
        <f t="shared" si="159"/>
        <v>0</v>
      </c>
      <c r="AF375" s="525">
        <f t="shared" si="155"/>
        <v>94863</v>
      </c>
      <c r="AH375" s="549"/>
      <c r="AK375" s="345" t="s">
        <v>1288</v>
      </c>
      <c r="AL375" s="525">
        <v>2514484</v>
      </c>
      <c r="AM375" s="525">
        <v>1836634</v>
      </c>
      <c r="AN375" s="525">
        <v>94863</v>
      </c>
      <c r="AO375" s="565">
        <f t="shared" si="160"/>
        <v>0</v>
      </c>
    </row>
    <row r="376" spans="1:41">
      <c r="A376" s="345" t="s">
        <v>1296</v>
      </c>
      <c r="D376" s="543">
        <v>10</v>
      </c>
      <c r="E376" s="544">
        <f t="shared" si="156"/>
        <v>0</v>
      </c>
      <c r="F376" s="538">
        <f t="shared" si="157"/>
        <v>14130657</v>
      </c>
      <c r="H376" s="525">
        <f t="shared" si="153"/>
        <v>10154809</v>
      </c>
      <c r="O376" s="549">
        <f t="shared" si="158"/>
        <v>0</v>
      </c>
      <c r="P376" s="525">
        <f t="shared" si="154"/>
        <v>3804773</v>
      </c>
      <c r="AE376" s="549">
        <f t="shared" si="159"/>
        <v>0</v>
      </c>
      <c r="AF376" s="525">
        <f t="shared" si="155"/>
        <v>171075</v>
      </c>
      <c r="AH376" s="549"/>
      <c r="AK376" s="345" t="s">
        <v>1296</v>
      </c>
      <c r="AL376" s="525">
        <v>10154809</v>
      </c>
      <c r="AM376" s="525">
        <v>3804773</v>
      </c>
      <c r="AN376" s="525">
        <v>171075</v>
      </c>
      <c r="AO376" s="565">
        <f>IF(AND(H376=AL376,P376=AM376,AF376=AN376),0,FALSE)</f>
        <v>0</v>
      </c>
    </row>
    <row r="377" spans="1:41">
      <c r="A377" s="345" t="s">
        <v>1293</v>
      </c>
      <c r="E377" s="525">
        <f>SUMIF($D$7:$D$362,$D377,$E$6:$E$362)</f>
        <v>0</v>
      </c>
      <c r="F377" s="538">
        <f t="shared" si="157"/>
        <v>2171753</v>
      </c>
      <c r="H377" s="525">
        <f t="shared" si="153"/>
        <v>984327</v>
      </c>
      <c r="P377" s="525">
        <f t="shared" si="154"/>
        <v>1125572</v>
      </c>
      <c r="AF377" s="525">
        <f t="shared" si="155"/>
        <v>61854</v>
      </c>
      <c r="AK377" s="345" t="s">
        <v>1293</v>
      </c>
      <c r="AL377" s="525">
        <v>984327</v>
      </c>
      <c r="AM377" s="525">
        <v>1125572</v>
      </c>
      <c r="AN377" s="525">
        <v>61854</v>
      </c>
      <c r="AO377" s="565">
        <f t="shared" si="160"/>
        <v>0</v>
      </c>
    </row>
    <row r="378" spans="1:41">
      <c r="A378" s="345" t="s">
        <v>1297</v>
      </c>
      <c r="F378" s="538">
        <f t="shared" si="157"/>
        <v>1245753</v>
      </c>
      <c r="H378" s="525">
        <f t="shared" si="153"/>
        <v>631153</v>
      </c>
      <c r="P378" s="525">
        <f t="shared" si="154"/>
        <v>556153</v>
      </c>
      <c r="AF378" s="525">
        <f t="shared" si="155"/>
        <v>58447</v>
      </c>
      <c r="AK378" s="345" t="s">
        <v>1297</v>
      </c>
      <c r="AL378" s="525">
        <v>631153</v>
      </c>
      <c r="AM378" s="525">
        <v>556153</v>
      </c>
      <c r="AN378" s="525">
        <v>58447</v>
      </c>
      <c r="AO378" s="565">
        <f>IF(AND(H378=AL378,P378=AM378,AF378=AN378),0,FALSE)</f>
        <v>0</v>
      </c>
    </row>
    <row r="379" spans="1:41">
      <c r="A379" s="345" t="s">
        <v>1294</v>
      </c>
      <c r="F379" s="538">
        <f t="shared" si="157"/>
        <v>1426</v>
      </c>
      <c r="H379" s="525">
        <f>SUM(H367:H378)-H6</f>
        <v>0</v>
      </c>
      <c r="P379" s="525">
        <f>SUM(P367:P378)-P6</f>
        <v>0</v>
      </c>
      <c r="AF379" s="525">
        <f t="shared" si="155"/>
        <v>1426</v>
      </c>
      <c r="AK379" s="345" t="s">
        <v>1294</v>
      </c>
      <c r="AL379" s="525">
        <v>53578467</v>
      </c>
      <c r="AM379" s="525">
        <v>105971187</v>
      </c>
      <c r="AN379" s="525">
        <v>2336846</v>
      </c>
      <c r="AO379" s="565">
        <f>IF(AND(H381=AL379,P381=AM379,AF381+AF379=AN379),0,FALSE)</f>
        <v>0</v>
      </c>
    </row>
    <row r="380" spans="1:41">
      <c r="F380" s="538">
        <f>SUM(F367:F379)-E6</f>
        <v>0</v>
      </c>
      <c r="H380" s="525"/>
      <c r="AF380" s="538">
        <f>SUM(AF367:AF379)-AF6</f>
        <v>0</v>
      </c>
      <c r="AL380" s="538">
        <f>SUM(AL367:AL379)</f>
        <v>136269277</v>
      </c>
      <c r="AM380" s="538">
        <f>SUM(AM367:AM379)</f>
        <v>151785348</v>
      </c>
      <c r="AN380" s="538">
        <f>SUM(AN367:AN379)</f>
        <v>6089086</v>
      </c>
      <c r="AO380" s="565"/>
    </row>
    <row r="381" spans="1:41" ht="14.25">
      <c r="A381" s="566" t="s">
        <v>1322</v>
      </c>
      <c r="H381" s="525">
        <v>53578467</v>
      </c>
      <c r="P381" s="525">
        <v>105971187</v>
      </c>
      <c r="AF381" s="525">
        <v>2335420</v>
      </c>
      <c r="AL381" s="538"/>
      <c r="AM381" s="538"/>
      <c r="AN381" s="538"/>
    </row>
    <row r="387" spans="1:32">
      <c r="A387" s="345" t="s">
        <v>1324</v>
      </c>
      <c r="H387" s="525">
        <f>SUMIF($A$6:$A$362,$A387,$H$6:$H$362)</f>
        <v>0</v>
      </c>
      <c r="O387" s="549"/>
      <c r="P387" s="525">
        <f t="shared" ref="P387:P426" si="161">SUMIF($A$6:$A$362,$A387,$P$6:$P$362)</f>
        <v>16110</v>
      </c>
      <c r="AE387" s="549"/>
      <c r="AF387" s="525">
        <f t="shared" ref="AF387:AF426" si="162">SUMIF($A$6:$A$362,$A387,$AF$6:$AF$362)</f>
        <v>1500</v>
      </c>
    </row>
    <row r="388" spans="1:32" ht="14.25">
      <c r="A388" s="566" t="s">
        <v>1325</v>
      </c>
      <c r="H388" s="525">
        <f>SUMIF($A$6:$A$362,$A388,$H$6:$H$362)</f>
        <v>347055</v>
      </c>
      <c r="O388" s="549"/>
      <c r="P388" s="525">
        <f t="shared" si="161"/>
        <v>1762596</v>
      </c>
      <c r="AE388" s="549"/>
      <c r="AF388" s="525">
        <f t="shared" si="162"/>
        <v>330</v>
      </c>
    </row>
    <row r="389" spans="1:32" ht="14.25">
      <c r="A389" s="566" t="s">
        <v>1354</v>
      </c>
      <c r="H389" s="525">
        <f>SUMIF($B$6:$B$362,$A389,$H$6:$H$362)</f>
        <v>2600</v>
      </c>
      <c r="O389" s="549"/>
      <c r="P389" s="525">
        <f>SUMIF($B$6:$B$362,$A389,$P$6:$P$362)</f>
        <v>5331</v>
      </c>
      <c r="AE389" s="549"/>
      <c r="AF389" s="525">
        <f>SUMIF($B$6:$B$362,$A389,$AF$6:$AF$362)</f>
        <v>0</v>
      </c>
    </row>
    <row r="390" spans="1:32">
      <c r="A390" s="345" t="s">
        <v>1326</v>
      </c>
      <c r="H390" s="525">
        <f t="shared" ref="H390:H425" si="163">SUMIF($A$6:$A$362,$A390,$H$6:$H$362)</f>
        <v>227856</v>
      </c>
      <c r="O390" s="549"/>
      <c r="P390" s="525">
        <f t="shared" si="161"/>
        <v>440118</v>
      </c>
      <c r="AE390" s="549"/>
      <c r="AF390" s="525">
        <f t="shared" si="162"/>
        <v>0</v>
      </c>
    </row>
    <row r="391" spans="1:32">
      <c r="A391" s="345" t="s">
        <v>1327</v>
      </c>
      <c r="H391" s="525">
        <f t="shared" si="163"/>
        <v>148328</v>
      </c>
      <c r="O391" s="549"/>
      <c r="P391" s="525">
        <f t="shared" si="161"/>
        <v>417151</v>
      </c>
      <c r="AE391" s="549"/>
      <c r="AF391" s="525">
        <f t="shared" si="162"/>
        <v>10945</v>
      </c>
    </row>
    <row r="392" spans="1:32">
      <c r="A392" s="345" t="s">
        <v>1328</v>
      </c>
      <c r="H392" s="525">
        <f t="shared" si="163"/>
        <v>8313689</v>
      </c>
      <c r="O392" s="549"/>
      <c r="P392" s="525">
        <f t="shared" si="161"/>
        <v>5605239</v>
      </c>
      <c r="AE392" s="549"/>
      <c r="AF392" s="525">
        <f t="shared" si="162"/>
        <v>240960</v>
      </c>
    </row>
    <row r="393" spans="1:32">
      <c r="A393" s="345" t="s">
        <v>1329</v>
      </c>
      <c r="H393" s="525">
        <f t="shared" si="163"/>
        <v>250051</v>
      </c>
      <c r="O393" s="549"/>
      <c r="P393" s="525">
        <f t="shared" si="161"/>
        <v>125155</v>
      </c>
      <c r="AE393" s="549"/>
      <c r="AF393" s="525">
        <f t="shared" si="162"/>
        <v>2268</v>
      </c>
    </row>
    <row r="394" spans="1:32">
      <c r="A394" s="345" t="s">
        <v>1330</v>
      </c>
      <c r="H394" s="525">
        <f t="shared" si="163"/>
        <v>112684</v>
      </c>
      <c r="O394" s="549"/>
      <c r="P394" s="525">
        <f t="shared" si="161"/>
        <v>213217</v>
      </c>
      <c r="AE394" s="549"/>
      <c r="AF394" s="525">
        <f t="shared" si="162"/>
        <v>15278</v>
      </c>
    </row>
    <row r="395" spans="1:32">
      <c r="A395" s="345" t="s">
        <v>1331</v>
      </c>
      <c r="H395" s="525">
        <f t="shared" si="163"/>
        <v>244749</v>
      </c>
      <c r="O395" s="549"/>
      <c r="P395" s="525">
        <f t="shared" si="161"/>
        <v>146033</v>
      </c>
      <c r="AE395" s="549"/>
      <c r="AF395" s="525">
        <f t="shared" si="162"/>
        <v>5488</v>
      </c>
    </row>
    <row r="396" spans="1:32">
      <c r="A396" s="345" t="s">
        <v>876</v>
      </c>
      <c r="H396" s="525">
        <f>SUMIF($B$6:$B$362,$A396,$H$6:$H$362)</f>
        <v>1433</v>
      </c>
      <c r="O396" s="549"/>
      <c r="P396" s="525">
        <f>SUMIF($B$6:$B$362,$A396,$P$6:$P$362)</f>
        <v>1198</v>
      </c>
      <c r="AE396" s="549"/>
      <c r="AF396" s="525">
        <f>SUMIF($B$6:$B$362,$A396,$AF$6:$AF$362)</f>
        <v>88</v>
      </c>
    </row>
    <row r="397" spans="1:32">
      <c r="A397" s="345" t="s">
        <v>874</v>
      </c>
      <c r="H397" s="525">
        <f>SUMIF($B$6:$B$362,$A397,$H$6:$H$362)</f>
        <v>87609</v>
      </c>
      <c r="O397" s="549"/>
      <c r="P397" s="525">
        <f>SUMIF($B$6:$B$362,$A397,$P$6:$P$362)</f>
        <v>54933</v>
      </c>
      <c r="AE397" s="549"/>
      <c r="AF397" s="525">
        <f>SUMIF($B$6:$B$362,$A397,$AF$6:$AF$362)</f>
        <v>0</v>
      </c>
    </row>
    <row r="398" spans="1:32">
      <c r="A398" s="345" t="s">
        <v>1291</v>
      </c>
      <c r="H398" s="525">
        <f t="shared" si="163"/>
        <v>8004096</v>
      </c>
      <c r="O398" s="549"/>
      <c r="P398" s="525">
        <f t="shared" si="161"/>
        <v>3626004</v>
      </c>
      <c r="AE398" s="549"/>
      <c r="AF398" s="525">
        <f t="shared" si="162"/>
        <v>107649</v>
      </c>
    </row>
    <row r="399" spans="1:32">
      <c r="A399" s="345" t="s">
        <v>1332</v>
      </c>
      <c r="H399" s="525">
        <f t="shared" si="163"/>
        <v>6392492</v>
      </c>
      <c r="O399" s="549"/>
      <c r="P399" s="525">
        <f t="shared" si="161"/>
        <v>3245162</v>
      </c>
      <c r="AE399" s="549"/>
      <c r="AF399" s="525">
        <f t="shared" si="162"/>
        <v>106488</v>
      </c>
    </row>
    <row r="400" spans="1:32">
      <c r="A400" s="345" t="s">
        <v>1333</v>
      </c>
      <c r="H400" s="525">
        <f t="shared" si="163"/>
        <v>1606015</v>
      </c>
      <c r="O400" s="549"/>
      <c r="P400" s="525">
        <f t="shared" si="161"/>
        <v>360552</v>
      </c>
      <c r="AE400" s="549"/>
      <c r="AF400" s="525">
        <f t="shared" si="162"/>
        <v>881</v>
      </c>
    </row>
    <row r="401" spans="1:32">
      <c r="A401" s="345" t="s">
        <v>1334</v>
      </c>
      <c r="H401" s="525">
        <f t="shared" si="163"/>
        <v>30947125</v>
      </c>
      <c r="O401" s="549"/>
      <c r="P401" s="525">
        <f t="shared" si="161"/>
        <v>19374916</v>
      </c>
      <c r="AE401" s="549"/>
      <c r="AF401" s="525">
        <f t="shared" si="162"/>
        <v>623598</v>
      </c>
    </row>
    <row r="402" spans="1:32">
      <c r="A402" s="345" t="s">
        <v>1335</v>
      </c>
      <c r="H402" s="525">
        <f t="shared" si="163"/>
        <v>29716072</v>
      </c>
      <c r="O402" s="549"/>
      <c r="P402" s="525">
        <f t="shared" si="161"/>
        <v>17240587</v>
      </c>
      <c r="AE402" s="549"/>
      <c r="AF402" s="525">
        <f t="shared" si="162"/>
        <v>532595</v>
      </c>
    </row>
    <row r="403" spans="1:32">
      <c r="A403" s="345" t="s">
        <v>1336</v>
      </c>
      <c r="H403" s="525">
        <f t="shared" si="163"/>
        <v>525318</v>
      </c>
      <c r="O403" s="549"/>
      <c r="P403" s="525">
        <f t="shared" si="161"/>
        <v>1161977</v>
      </c>
      <c r="AE403" s="549"/>
      <c r="AF403" s="525">
        <f t="shared" si="162"/>
        <v>32957</v>
      </c>
    </row>
    <row r="404" spans="1:32">
      <c r="A404" s="345" t="s">
        <v>1337</v>
      </c>
      <c r="H404" s="525">
        <f t="shared" si="163"/>
        <v>2510</v>
      </c>
      <c r="O404" s="549"/>
      <c r="P404" s="525">
        <f t="shared" si="161"/>
        <v>1259</v>
      </c>
      <c r="AE404" s="549"/>
      <c r="AF404" s="525">
        <f t="shared" si="162"/>
        <v>200</v>
      </c>
    </row>
    <row r="405" spans="1:32">
      <c r="A405" s="345" t="s">
        <v>1338</v>
      </c>
      <c r="H405" s="525">
        <f t="shared" si="163"/>
        <v>9491</v>
      </c>
      <c r="O405" s="549"/>
      <c r="P405" s="525">
        <f t="shared" si="161"/>
        <v>3636</v>
      </c>
      <c r="AE405" s="549"/>
      <c r="AF405" s="525">
        <f t="shared" si="162"/>
        <v>0</v>
      </c>
    </row>
    <row r="406" spans="1:32">
      <c r="A406" s="345" t="s">
        <v>600</v>
      </c>
      <c r="H406" s="525">
        <f>SUMIF($B$6:$B$362,$A406,$H$6:$H$362)</f>
        <v>121371</v>
      </c>
      <c r="O406" s="549"/>
      <c r="P406" s="525">
        <f>SUMIF($B$6:$B$362,$A406,$P$6:$P$362)</f>
        <v>0</v>
      </c>
      <c r="AE406" s="549"/>
      <c r="AF406" s="525">
        <f>SUMIF($B$6:$B$362,$A406,$AF$6:$AF$362)</f>
        <v>0</v>
      </c>
    </row>
    <row r="407" spans="1:32">
      <c r="A407" s="345" t="s">
        <v>201</v>
      </c>
      <c r="H407" s="525">
        <f>SUMIF($B$6:$B$362,$A407,$H$6:$H$362)</f>
        <v>18862</v>
      </c>
      <c r="O407" s="549"/>
      <c r="P407" s="525">
        <f>SUMIF($B$6:$B$362,$A407,$P$6:$P$362)</f>
        <v>18860</v>
      </c>
      <c r="AE407" s="549"/>
      <c r="AF407" s="525">
        <f>SUMIF($B$6:$B$362,$A407,$AF$6:$AF$362)</f>
        <v>0</v>
      </c>
    </row>
    <row r="408" spans="1:32">
      <c r="A408" s="345" t="s">
        <v>1339</v>
      </c>
      <c r="H408" s="525">
        <f t="shared" si="163"/>
        <v>54690</v>
      </c>
      <c r="O408" s="549"/>
      <c r="P408" s="525">
        <f t="shared" si="161"/>
        <v>338518</v>
      </c>
      <c r="AE408" s="549"/>
      <c r="AF408" s="525">
        <f t="shared" si="162"/>
        <v>290685</v>
      </c>
    </row>
    <row r="409" spans="1:32">
      <c r="A409" s="345" t="s">
        <v>1355</v>
      </c>
      <c r="H409" s="525">
        <f>SUMIF($B$6:$B$362,$A409,$H$6:$H$362)</f>
        <v>13994</v>
      </c>
      <c r="O409" s="549"/>
      <c r="P409" s="525">
        <f>SUMIF($B$6:$B$362,$A409,$P$6:$P$362)</f>
        <v>7840</v>
      </c>
      <c r="AE409" s="549"/>
      <c r="AF409" s="525">
        <f>SUMIF($B$6:$B$362,$A409,$AF$6:$AF$362)</f>
        <v>980</v>
      </c>
    </row>
    <row r="410" spans="1:32">
      <c r="A410" s="345" t="s">
        <v>1340</v>
      </c>
      <c r="H410" s="525">
        <f t="shared" si="163"/>
        <v>15750770</v>
      </c>
      <c r="O410" s="549"/>
      <c r="P410" s="525">
        <f t="shared" si="161"/>
        <v>355680</v>
      </c>
      <c r="AE410" s="549"/>
      <c r="AF410" s="525">
        <f t="shared" si="162"/>
        <v>1183819</v>
      </c>
    </row>
    <row r="411" spans="1:32">
      <c r="A411" s="345" t="s">
        <v>1341</v>
      </c>
      <c r="H411" s="525">
        <f t="shared" si="163"/>
        <v>1998398</v>
      </c>
      <c r="O411" s="549"/>
      <c r="P411" s="525">
        <f t="shared" si="161"/>
        <v>5982028</v>
      </c>
      <c r="AE411" s="549"/>
      <c r="AF411" s="525">
        <f t="shared" si="162"/>
        <v>882413</v>
      </c>
    </row>
    <row r="412" spans="1:32">
      <c r="A412" s="345" t="s">
        <v>1342</v>
      </c>
      <c r="H412" s="525">
        <f t="shared" si="163"/>
        <v>1753786</v>
      </c>
      <c r="O412" s="549"/>
      <c r="P412" s="525">
        <f t="shared" si="161"/>
        <v>1797</v>
      </c>
      <c r="AE412" s="549"/>
      <c r="AF412" s="525">
        <f t="shared" si="162"/>
        <v>0</v>
      </c>
    </row>
    <row r="413" spans="1:32">
      <c r="A413" s="345" t="s">
        <v>1343</v>
      </c>
      <c r="H413" s="525">
        <f t="shared" si="163"/>
        <v>458386</v>
      </c>
      <c r="O413" s="549"/>
      <c r="P413" s="525">
        <f t="shared" si="161"/>
        <v>903266</v>
      </c>
      <c r="AE413" s="549"/>
      <c r="AF413" s="525">
        <f t="shared" si="162"/>
        <v>16311</v>
      </c>
    </row>
    <row r="414" spans="1:32">
      <c r="A414" s="345" t="s">
        <v>1344</v>
      </c>
      <c r="H414" s="525">
        <f t="shared" si="163"/>
        <v>68990</v>
      </c>
      <c r="O414" s="549"/>
      <c r="P414" s="525">
        <f t="shared" si="161"/>
        <v>216435</v>
      </c>
      <c r="AE414" s="549"/>
      <c r="AF414" s="525">
        <f t="shared" si="162"/>
        <v>59035</v>
      </c>
    </row>
    <row r="415" spans="1:32">
      <c r="A415" s="345" t="s">
        <v>1345</v>
      </c>
      <c r="H415" s="525">
        <f t="shared" si="163"/>
        <v>26155</v>
      </c>
      <c r="O415" s="549"/>
      <c r="P415" s="525">
        <f t="shared" si="161"/>
        <v>54472</v>
      </c>
      <c r="AE415" s="549"/>
      <c r="AF415" s="525">
        <f t="shared" si="162"/>
        <v>291</v>
      </c>
    </row>
    <row r="416" spans="1:32">
      <c r="A416" s="345" t="s">
        <v>1346</v>
      </c>
      <c r="H416" s="525">
        <f t="shared" si="163"/>
        <v>131875</v>
      </c>
      <c r="O416" s="549"/>
      <c r="P416" s="525">
        <f t="shared" si="161"/>
        <v>510800</v>
      </c>
      <c r="AE416" s="549"/>
      <c r="AF416" s="525">
        <f t="shared" si="162"/>
        <v>13845</v>
      </c>
    </row>
    <row r="417" spans="1:32">
      <c r="A417" s="345" t="s">
        <v>1347</v>
      </c>
      <c r="H417" s="525">
        <f t="shared" si="163"/>
        <v>36953</v>
      </c>
      <c r="O417" s="549"/>
      <c r="P417" s="525">
        <f t="shared" si="161"/>
        <v>87353</v>
      </c>
      <c r="AE417" s="549"/>
      <c r="AF417" s="525">
        <f t="shared" si="162"/>
        <v>4181</v>
      </c>
    </row>
    <row r="418" spans="1:32">
      <c r="A418" s="345" t="s">
        <v>1348</v>
      </c>
      <c r="H418" s="525">
        <f t="shared" si="163"/>
        <v>1792125</v>
      </c>
      <c r="O418" s="549"/>
      <c r="P418" s="525">
        <f t="shared" si="161"/>
        <v>64308</v>
      </c>
      <c r="AE418" s="549"/>
      <c r="AF418" s="525">
        <f t="shared" si="162"/>
        <v>1200</v>
      </c>
    </row>
    <row r="419" spans="1:32">
      <c r="A419" s="345" t="s">
        <v>1349</v>
      </c>
      <c r="H419" s="525">
        <f t="shared" si="163"/>
        <v>4393064</v>
      </c>
      <c r="O419" s="549"/>
      <c r="P419" s="525">
        <f t="shared" si="161"/>
        <v>730705</v>
      </c>
      <c r="AE419" s="549"/>
      <c r="AF419" s="525">
        <f t="shared" si="162"/>
        <v>114553</v>
      </c>
    </row>
    <row r="420" spans="1:32">
      <c r="A420" s="345" t="s">
        <v>194</v>
      </c>
      <c r="H420" s="525">
        <f>SUMIF($B$6:$B$362,$A420,$H$6:$H$362)</f>
        <v>58903</v>
      </c>
      <c r="O420" s="549"/>
      <c r="P420" s="525">
        <f>SUMIF($B$6:$B$362,$A420,$P$6:$P$362)</f>
        <v>63239</v>
      </c>
      <c r="AE420" s="549"/>
      <c r="AF420" s="525">
        <f>SUMIF($B$6:$B$362,$A420,$AF$6:$AF$362)</f>
        <v>2990</v>
      </c>
    </row>
    <row r="421" spans="1:32">
      <c r="A421" s="345" t="s">
        <v>1350</v>
      </c>
      <c r="H421" s="574">
        <f t="shared" si="163"/>
        <v>5661451</v>
      </c>
      <c r="I421" s="575"/>
      <c r="J421" s="575"/>
      <c r="K421" s="575"/>
      <c r="L421" s="575"/>
      <c r="M421" s="575"/>
      <c r="N421" s="575"/>
      <c r="O421" s="576"/>
      <c r="P421" s="574">
        <f t="shared" si="161"/>
        <v>2969546</v>
      </c>
      <c r="Q421" s="575"/>
      <c r="R421" s="575"/>
      <c r="S421" s="575"/>
      <c r="T421" s="575"/>
      <c r="U421" s="575"/>
      <c r="V421" s="577"/>
      <c r="W421" s="578"/>
      <c r="X421" s="575"/>
      <c r="Y421" s="575"/>
      <c r="Z421" s="575"/>
      <c r="AA421" s="575"/>
      <c r="AB421" s="575"/>
      <c r="AC421" s="575"/>
      <c r="AD421" s="575"/>
      <c r="AE421" s="576"/>
      <c r="AF421" s="574">
        <f t="shared" si="162"/>
        <v>52448</v>
      </c>
    </row>
    <row r="422" spans="1:32">
      <c r="A422" s="345" t="s">
        <v>196</v>
      </c>
      <c r="H422" s="525">
        <f>SUMIF($B$6:$B$362,$A422,$H$6:$H$362)</f>
        <v>2186</v>
      </c>
      <c r="O422" s="549"/>
      <c r="P422" s="525">
        <f>SUMIF($B$6:$B$362,$A422,$P$6:$P$362)</f>
        <v>5237</v>
      </c>
      <c r="AE422" s="549"/>
      <c r="AF422" s="525">
        <f>SUMIF($B$6:$B$362,$A422,$AF$6:$AF$362)</f>
        <v>577</v>
      </c>
    </row>
    <row r="423" spans="1:32">
      <c r="A423" s="345" t="s">
        <v>587</v>
      </c>
      <c r="H423" s="574">
        <f>SUMIF($B$6:$B$362,$A423,$H$6:$H$362)</f>
        <v>39205</v>
      </c>
      <c r="I423" s="575"/>
      <c r="J423" s="575"/>
      <c r="K423" s="575"/>
      <c r="L423" s="575"/>
      <c r="M423" s="575"/>
      <c r="N423" s="575"/>
      <c r="O423" s="576"/>
      <c r="P423" s="574">
        <f>SUMIF($B$6:$B$362,$A423,$P$6:$P$362)</f>
        <v>36046</v>
      </c>
      <c r="Q423" s="575"/>
      <c r="R423" s="575"/>
      <c r="S423" s="575"/>
      <c r="T423" s="575"/>
      <c r="U423" s="575"/>
      <c r="V423" s="577"/>
      <c r="W423" s="578"/>
      <c r="X423" s="575"/>
      <c r="Y423" s="575"/>
      <c r="Z423" s="575"/>
      <c r="AA423" s="575"/>
      <c r="AB423" s="575"/>
      <c r="AC423" s="575"/>
      <c r="AD423" s="575"/>
      <c r="AE423" s="576"/>
      <c r="AF423" s="574">
        <f>SUMIF($B$6:$B$362,$A423,$AF$6:$AF$362)</f>
        <v>507</v>
      </c>
    </row>
    <row r="424" spans="1:32">
      <c r="A424" s="345" t="s">
        <v>1351</v>
      </c>
      <c r="H424" s="525">
        <f t="shared" si="163"/>
        <v>984327</v>
      </c>
      <c r="O424" s="549"/>
      <c r="P424" s="525">
        <f t="shared" si="161"/>
        <v>1125572</v>
      </c>
      <c r="AE424" s="549"/>
      <c r="AF424" s="525">
        <f t="shared" si="162"/>
        <v>61854</v>
      </c>
    </row>
    <row r="425" spans="1:32">
      <c r="A425" s="345" t="s">
        <v>1352</v>
      </c>
      <c r="H425" s="574">
        <f t="shared" si="163"/>
        <v>439445</v>
      </c>
      <c r="O425" s="549"/>
      <c r="P425" s="525">
        <f t="shared" si="161"/>
        <v>162333</v>
      </c>
      <c r="AE425" s="549"/>
      <c r="AF425" s="525">
        <f t="shared" si="162"/>
        <v>15347</v>
      </c>
    </row>
    <row r="426" spans="1:32">
      <c r="A426" s="345" t="s">
        <v>1353</v>
      </c>
      <c r="H426" s="525">
        <f>SUMIF($A$6:$A$362,$A426,$H$6:$H$362)</f>
        <v>191708</v>
      </c>
      <c r="O426" s="549"/>
      <c r="P426" s="574">
        <f t="shared" si="161"/>
        <v>393820</v>
      </c>
      <c r="AE426" s="549"/>
      <c r="AF426" s="525">
        <f t="shared" si="162"/>
        <v>43100</v>
      </c>
    </row>
    <row r="427" spans="1:32">
      <c r="A427" s="345" t="s">
        <v>1294</v>
      </c>
    </row>
  </sheetData>
  <mergeCells count="10">
    <mergeCell ref="A4:A5"/>
    <mergeCell ref="B4:B5"/>
    <mergeCell ref="C4:C5"/>
    <mergeCell ref="D4:D5"/>
    <mergeCell ref="D2:R2"/>
    <mergeCell ref="S2:AH2"/>
    <mergeCell ref="S4:AE4"/>
    <mergeCell ref="P4:R4"/>
    <mergeCell ref="H4:O4"/>
    <mergeCell ref="AF4:AH4"/>
  </mergeCells>
  <phoneticPr fontId="19" type="noConversion"/>
  <printOptions horizontalCentered="1"/>
  <pageMargins left="0.39370078740157483" right="0.39370078740157483" top="0.39370078740157483" bottom="0.39370078740157483" header="0.19685039370078741" footer="0.43307086614173229"/>
  <pageSetup paperSize="9" scale="60" orientation="landscape" r:id="rId1"/>
  <headerFooter alignWithMargins="0"/>
  <colBreaks count="1" manualBreakCount="1">
    <brk id="18" min="1" max="371" man="1"/>
  </col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3">
    <tabColor indexed="22"/>
    <pageSetUpPr fitToPage="1"/>
  </sheetPr>
  <dimension ref="A1:L51"/>
  <sheetViews>
    <sheetView topLeftCell="A7" zoomScale="85" zoomScaleNormal="100" workbookViewId="0">
      <selection activeCell="I132" sqref="I132"/>
    </sheetView>
  </sheetViews>
  <sheetFormatPr defaultColWidth="9.75" defaultRowHeight="32.1" customHeight="1"/>
  <cols>
    <col min="1" max="1" width="30.375" style="4" customWidth="1"/>
    <col min="2" max="2" width="12.25" style="4" customWidth="1"/>
    <col min="3" max="4" width="14.375" style="5" customWidth="1"/>
    <col min="5" max="5" width="8.75" style="45" customWidth="1"/>
    <col min="6" max="7" width="9.75" style="44" customWidth="1"/>
    <col min="8" max="8" width="11.5" style="44" customWidth="1"/>
    <col min="9" max="9" width="9.75" style="44" customWidth="1"/>
    <col min="10" max="10" width="11.5" style="4" customWidth="1"/>
    <col min="11" max="11" width="11.375" style="4" bestFit="1" customWidth="1"/>
    <col min="12" max="16384" width="9.75" style="4"/>
  </cols>
  <sheetData>
    <row r="1" spans="1:12" ht="32.1" customHeight="1">
      <c r="A1" s="1" t="s">
        <v>847</v>
      </c>
      <c r="B1" s="1"/>
      <c r="C1" s="2"/>
      <c r="D1" s="2"/>
      <c r="E1" s="43"/>
    </row>
    <row r="2" spans="1:12" ht="27" customHeight="1">
      <c r="C2" s="210" t="s">
        <v>779</v>
      </c>
      <c r="D2" s="6"/>
      <c r="E2" s="218" t="s">
        <v>53</v>
      </c>
      <c r="F2" s="210" t="s">
        <v>817</v>
      </c>
      <c r="G2" s="172"/>
      <c r="H2" s="44" t="s">
        <v>352</v>
      </c>
      <c r="I2" s="210" t="s">
        <v>779</v>
      </c>
    </row>
    <row r="3" spans="1:12" ht="54" customHeight="1">
      <c r="A3" s="7" t="s">
        <v>353</v>
      </c>
      <c r="B3" s="7" t="s">
        <v>354</v>
      </c>
      <c r="C3" s="174" t="s">
        <v>355</v>
      </c>
      <c r="D3" s="163" t="s">
        <v>356</v>
      </c>
      <c r="E3" s="173" t="s">
        <v>357</v>
      </c>
      <c r="F3" s="168" t="s">
        <v>358</v>
      </c>
      <c r="G3" s="166" t="s">
        <v>359</v>
      </c>
      <c r="H3" s="168" t="s">
        <v>360</v>
      </c>
      <c r="I3" s="168" t="s">
        <v>527</v>
      </c>
      <c r="J3" s="169" t="s">
        <v>846</v>
      </c>
      <c r="K3" s="222" t="s">
        <v>554</v>
      </c>
    </row>
    <row r="4" spans="1:12" ht="23.1" customHeight="1">
      <c r="A4" s="8" t="s">
        <v>361</v>
      </c>
      <c r="B4" s="121">
        <f>SUM(B5:B9)</f>
        <v>208522</v>
      </c>
      <c r="C4" s="121">
        <f>SUM(C5:C9)</f>
        <v>338746</v>
      </c>
      <c r="D4" s="121">
        <f>SUM(D5:D9)</f>
        <v>25900</v>
      </c>
      <c r="E4" s="121">
        <f>SUM(E5:E9)</f>
        <v>-51324</v>
      </c>
      <c r="F4" s="121">
        <f>SUM(F5:F9)</f>
        <v>-102132</v>
      </c>
      <c r="G4" s="121"/>
      <c r="H4" s="121">
        <f>SUM(H5:H9)</f>
        <v>0</v>
      </c>
      <c r="I4" s="121">
        <f>SUM(I5:I9)</f>
        <v>-2668</v>
      </c>
      <c r="J4" s="114">
        <f>B4-'縣市104(法)'!B4</f>
        <v>400</v>
      </c>
      <c r="K4" s="227">
        <f>C4+D4</f>
        <v>364646</v>
      </c>
    </row>
    <row r="5" spans="1:12" ht="23.1" customHeight="1">
      <c r="A5" s="10" t="s">
        <v>362</v>
      </c>
      <c r="B5" s="121">
        <f>SUM(C5:I5)</f>
        <v>157214</v>
      </c>
      <c r="C5" s="220">
        <v>147014</v>
      </c>
      <c r="D5" s="286">
        <v>10200</v>
      </c>
      <c r="E5" s="285">
        <v>0</v>
      </c>
      <c r="F5" s="170"/>
      <c r="G5" s="285"/>
      <c r="H5" s="285"/>
      <c r="I5" s="285"/>
      <c r="J5" s="114">
        <f>B5-'縣市104(法)'!B5</f>
        <v>5722</v>
      </c>
      <c r="K5" s="222">
        <f t="shared" ref="K5:K20" si="0">C5+D5</f>
        <v>157214</v>
      </c>
      <c r="L5" s="228"/>
    </row>
    <row r="6" spans="1:12" ht="23.1" customHeight="1">
      <c r="A6" s="9" t="s">
        <v>363</v>
      </c>
      <c r="B6" s="121">
        <f>SUM(C6:I6)</f>
        <v>8868</v>
      </c>
      <c r="C6" s="220">
        <v>8168</v>
      </c>
      <c r="D6" s="286">
        <v>700</v>
      </c>
      <c r="E6" s="285">
        <v>0</v>
      </c>
      <c r="F6" s="170"/>
      <c r="G6" s="285"/>
      <c r="H6" s="285"/>
      <c r="I6" s="285"/>
      <c r="J6" s="114">
        <f>B6-'縣市104(法)'!B6</f>
        <v>-669</v>
      </c>
      <c r="K6" s="222">
        <f t="shared" si="0"/>
        <v>8868</v>
      </c>
    </row>
    <row r="7" spans="1:12" ht="23.1" customHeight="1">
      <c r="A7" s="10" t="s">
        <v>364</v>
      </c>
      <c r="B7" s="121">
        <f>SUM(C7:I7)</f>
        <v>11454</v>
      </c>
      <c r="C7" s="220">
        <v>11454</v>
      </c>
      <c r="D7" s="286"/>
      <c r="E7" s="285">
        <v>0</v>
      </c>
      <c r="F7" s="170"/>
      <c r="G7" s="285"/>
      <c r="H7" s="285"/>
      <c r="I7" s="285"/>
      <c r="J7" s="114">
        <f>B7-'縣市104(法)'!B7</f>
        <v>-197</v>
      </c>
      <c r="K7" s="222">
        <f t="shared" si="0"/>
        <v>11454</v>
      </c>
    </row>
    <row r="8" spans="1:12" ht="23.1" customHeight="1">
      <c r="A8" s="10" t="s">
        <v>365</v>
      </c>
      <c r="B8" s="121">
        <f>SUM(C8:I8)</f>
        <v>7253</v>
      </c>
      <c r="C8" s="220">
        <v>5253</v>
      </c>
      <c r="D8" s="286">
        <v>2000</v>
      </c>
      <c r="E8" s="285">
        <v>0</v>
      </c>
      <c r="F8" s="170"/>
      <c r="G8" s="285"/>
      <c r="H8" s="285"/>
      <c r="I8" s="285"/>
      <c r="J8" s="114">
        <f>B8-'縣市104(法)'!B8</f>
        <v>-1591</v>
      </c>
      <c r="K8" s="222">
        <f t="shared" si="0"/>
        <v>7253</v>
      </c>
    </row>
    <row r="9" spans="1:12" ht="23.1" customHeight="1">
      <c r="A9" s="9" t="s">
        <v>366</v>
      </c>
      <c r="B9" s="121">
        <f>SUM(C9:I9)</f>
        <v>23733</v>
      </c>
      <c r="C9" s="220">
        <v>166857</v>
      </c>
      <c r="D9" s="281">
        <v>13000</v>
      </c>
      <c r="E9" s="170">
        <v>-51324</v>
      </c>
      <c r="F9" s="170">
        <v>-102132</v>
      </c>
      <c r="G9" s="285"/>
      <c r="H9" s="285"/>
      <c r="I9" s="170">
        <v>-2668</v>
      </c>
      <c r="J9" s="114">
        <f>B9-'縣市104(法)'!B9</f>
        <v>-2865</v>
      </c>
      <c r="K9" s="222">
        <f t="shared" si="0"/>
        <v>179857</v>
      </c>
    </row>
    <row r="10" spans="1:12" ht="23.1" customHeight="1">
      <c r="A10" s="8" t="s">
        <v>367</v>
      </c>
      <c r="B10" s="121">
        <f>SUM(B11:B19)</f>
        <v>381830</v>
      </c>
      <c r="C10" s="121">
        <f>SUM(C11:C19)</f>
        <v>355330</v>
      </c>
      <c r="D10" s="121">
        <f>SUM(D11:D19)</f>
        <v>26500</v>
      </c>
      <c r="E10" s="121">
        <f>SUM(E11:E19)</f>
        <v>0</v>
      </c>
      <c r="F10" s="121">
        <f>SUM(F11:F19)</f>
        <v>0</v>
      </c>
      <c r="G10" s="121"/>
      <c r="H10" s="121">
        <f>SUM(H11:H19)</f>
        <v>0</v>
      </c>
      <c r="I10" s="121">
        <f>SUM(I11:I19)</f>
        <v>0</v>
      </c>
      <c r="K10" s="227">
        <f t="shared" si="0"/>
        <v>381830</v>
      </c>
    </row>
    <row r="11" spans="1:12" ht="23.1" customHeight="1">
      <c r="A11" s="11" t="s">
        <v>368</v>
      </c>
      <c r="B11" s="121">
        <f t="shared" ref="B11:B19" si="1">SUM(C11:I11)</f>
        <v>85335</v>
      </c>
      <c r="C11" s="220">
        <v>81335</v>
      </c>
      <c r="D11" s="282">
        <v>4000</v>
      </c>
      <c r="E11" s="285"/>
      <c r="F11" s="285"/>
      <c r="G11" s="285"/>
      <c r="H11" s="285"/>
      <c r="I11" s="288"/>
      <c r="J11" s="114">
        <f>B11-'縣市104(法)'!B11</f>
        <v>-1059</v>
      </c>
      <c r="K11" s="222">
        <f t="shared" si="0"/>
        <v>85335</v>
      </c>
      <c r="L11" s="228"/>
    </row>
    <row r="12" spans="1:12" ht="23.1" customHeight="1">
      <c r="A12" s="12" t="s">
        <v>369</v>
      </c>
      <c r="B12" s="121">
        <f t="shared" si="1"/>
        <v>0</v>
      </c>
      <c r="C12" s="220">
        <v>0</v>
      </c>
      <c r="D12" s="286"/>
      <c r="E12" s="285"/>
      <c r="F12" s="285"/>
      <c r="G12" s="285"/>
      <c r="H12" s="285"/>
      <c r="I12" s="288"/>
      <c r="J12" s="114">
        <f>B12-'縣市104(法)'!B12</f>
        <v>0</v>
      </c>
      <c r="K12" s="222">
        <f t="shared" si="0"/>
        <v>0</v>
      </c>
    </row>
    <row r="13" spans="1:12" ht="23.1" customHeight="1">
      <c r="A13" s="12" t="s">
        <v>370</v>
      </c>
      <c r="B13" s="121">
        <f t="shared" si="1"/>
        <v>109959</v>
      </c>
      <c r="C13" s="220">
        <v>104459</v>
      </c>
      <c r="D13" s="282">
        <v>5500</v>
      </c>
      <c r="E13" s="285"/>
      <c r="F13" s="285"/>
      <c r="G13" s="285"/>
      <c r="H13" s="285"/>
      <c r="I13" s="288"/>
      <c r="J13" s="114">
        <f>B13-'縣市104(法)'!B13</f>
        <v>964</v>
      </c>
      <c r="K13" s="222">
        <f t="shared" si="0"/>
        <v>109959</v>
      </c>
    </row>
    <row r="14" spans="1:12" ht="23.1" customHeight="1">
      <c r="A14" s="12" t="s">
        <v>371</v>
      </c>
      <c r="B14" s="121">
        <f t="shared" si="1"/>
        <v>65762</v>
      </c>
      <c r="C14" s="220">
        <v>55262</v>
      </c>
      <c r="D14" s="282">
        <v>10500</v>
      </c>
      <c r="E14" s="285"/>
      <c r="F14" s="285"/>
      <c r="G14" s="285"/>
      <c r="H14" s="285"/>
      <c r="I14" s="288"/>
      <c r="J14" s="114">
        <f>B14-'縣市104(法)'!B14</f>
        <v>520</v>
      </c>
      <c r="K14" s="222">
        <f t="shared" si="0"/>
        <v>65762</v>
      </c>
    </row>
    <row r="15" spans="1:12" ht="23.1" customHeight="1">
      <c r="A15" s="12" t="s">
        <v>372</v>
      </c>
      <c r="B15" s="121">
        <f t="shared" si="1"/>
        <v>47074</v>
      </c>
      <c r="C15" s="220">
        <v>42074</v>
      </c>
      <c r="D15" s="286">
        <v>5000</v>
      </c>
      <c r="E15" s="285"/>
      <c r="F15" s="285"/>
      <c r="G15" s="285"/>
      <c r="H15" s="285"/>
      <c r="I15" s="288"/>
      <c r="J15" s="114">
        <f>B15-'縣市104(法)'!B15</f>
        <v>1371</v>
      </c>
      <c r="K15" s="222">
        <f t="shared" si="0"/>
        <v>47074</v>
      </c>
    </row>
    <row r="16" spans="1:12" ht="23.1" customHeight="1">
      <c r="A16" s="12" t="s">
        <v>373</v>
      </c>
      <c r="B16" s="121">
        <f t="shared" si="1"/>
        <v>16270</v>
      </c>
      <c r="C16" s="220">
        <v>16270</v>
      </c>
      <c r="D16" s="286"/>
      <c r="E16" s="285"/>
      <c r="F16" s="285"/>
      <c r="G16" s="285"/>
      <c r="H16" s="285"/>
      <c r="I16" s="288"/>
      <c r="J16" s="114">
        <f>B16-'縣市104(法)'!B16</f>
        <v>-1145</v>
      </c>
      <c r="K16" s="222">
        <f t="shared" si="0"/>
        <v>16270</v>
      </c>
    </row>
    <row r="17" spans="1:11" ht="23.1" customHeight="1">
      <c r="A17" s="12" t="s">
        <v>374</v>
      </c>
      <c r="B17" s="121">
        <f t="shared" si="1"/>
        <v>41582</v>
      </c>
      <c r="C17" s="220">
        <v>41582</v>
      </c>
      <c r="D17" s="286"/>
      <c r="E17" s="285"/>
      <c r="F17" s="285">
        <v>0</v>
      </c>
      <c r="G17" s="285"/>
      <c r="H17" s="285"/>
      <c r="I17" s="288"/>
      <c r="J17" s="114">
        <f>B17-'縣市104(法)'!B17</f>
        <v>-30</v>
      </c>
      <c r="K17" s="222">
        <f t="shared" si="0"/>
        <v>41582</v>
      </c>
    </row>
    <row r="18" spans="1:11" ht="23.1" customHeight="1">
      <c r="A18" s="12" t="s">
        <v>375</v>
      </c>
      <c r="B18" s="121">
        <f t="shared" si="1"/>
        <v>4569</v>
      </c>
      <c r="C18" s="220">
        <v>4569</v>
      </c>
      <c r="D18" s="286"/>
      <c r="E18" s="285"/>
      <c r="F18" s="285"/>
      <c r="G18" s="285"/>
      <c r="H18" s="285"/>
      <c r="I18" s="288"/>
      <c r="J18" s="114">
        <f>B18-'縣市104(法)'!B18</f>
        <v>-3</v>
      </c>
      <c r="K18" s="222">
        <f t="shared" si="0"/>
        <v>4569</v>
      </c>
    </row>
    <row r="19" spans="1:11" ht="23.1" customHeight="1">
      <c r="A19" s="12" t="s">
        <v>376</v>
      </c>
      <c r="B19" s="121">
        <f t="shared" si="1"/>
        <v>11279</v>
      </c>
      <c r="C19" s="221">
        <v>9779</v>
      </c>
      <c r="D19" s="287">
        <v>1500</v>
      </c>
      <c r="E19" s="285"/>
      <c r="F19" s="285"/>
      <c r="G19" s="285"/>
      <c r="H19" s="285"/>
      <c r="I19" s="288"/>
      <c r="J19" s="114">
        <f>B19-'縣市104(法)'!B19</f>
        <v>404</v>
      </c>
      <c r="K19" s="222">
        <f t="shared" si="0"/>
        <v>11279</v>
      </c>
    </row>
    <row r="20" spans="1:11" ht="23.1" customHeight="1">
      <c r="A20" s="3" t="s">
        <v>377</v>
      </c>
      <c r="B20" s="121">
        <f>B4-B10</f>
        <v>-173308</v>
      </c>
      <c r="C20" s="121">
        <f>C4-C10</f>
        <v>-16584</v>
      </c>
      <c r="D20" s="121">
        <f>D4-D10</f>
        <v>-600</v>
      </c>
      <c r="E20" s="121">
        <f>E4-E10</f>
        <v>-51324</v>
      </c>
      <c r="F20" s="121">
        <f>F4-F10</f>
        <v>-102132</v>
      </c>
      <c r="G20" s="121"/>
      <c r="H20" s="121">
        <f>H4-H10</f>
        <v>0</v>
      </c>
      <c r="I20" s="121">
        <f>I4-I10</f>
        <v>-2668</v>
      </c>
      <c r="K20" s="222">
        <f t="shared" si="0"/>
        <v>-17184</v>
      </c>
    </row>
    <row r="21" spans="1:11" ht="23.1" customHeight="1">
      <c r="C21" s="229">
        <f>C20+D20</f>
        <v>-17184</v>
      </c>
    </row>
    <row r="22" spans="1:11" ht="23.1" customHeight="1"/>
    <row r="23" spans="1:11" ht="23.1" customHeight="1"/>
    <row r="24" spans="1:11" ht="23.1" customHeight="1"/>
    <row r="25" spans="1:11" ht="23.1" customHeight="1"/>
    <row r="26" spans="1:11" ht="23.1" customHeight="1"/>
    <row r="27" spans="1:11" ht="23.1" customHeight="1"/>
    <row r="28" spans="1:11" ht="23.1" customHeight="1"/>
    <row r="29" spans="1:11" ht="23.1" customHeight="1"/>
    <row r="30" spans="1:11" ht="23.1" customHeight="1"/>
    <row r="31" spans="1:11" ht="23.1" customHeight="1"/>
    <row r="32" spans="1:11"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sheetData>
  <phoneticPr fontId="5" type="noConversion"/>
  <pageMargins left="0.9055118110236221" right="0.31496062992125984" top="0.78740157480314965" bottom="0.94488188976377963" header="0.43307086614173229" footer="0.19685039370078741"/>
  <pageSetup paperSize="9" scale="62"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
    <tabColor indexed="22"/>
  </sheetPr>
  <dimension ref="A1:AJ414"/>
  <sheetViews>
    <sheetView view="pageBreakPreview" zoomScale="50" zoomScaleNormal="75" zoomScaleSheetLayoutView="75" workbookViewId="0">
      <pane xSplit="1" ySplit="5" topLeftCell="B18"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136" customWidth="1"/>
    <col min="2" max="2" width="15.5" style="136" customWidth="1"/>
    <col min="3" max="3" width="35.75" style="136" customWidth="1"/>
    <col min="4" max="4" width="7.125" style="136" customWidth="1"/>
    <col min="5" max="6" width="11.5" style="136" customWidth="1"/>
    <col min="7" max="7" width="11.625" style="136" customWidth="1"/>
    <col min="8" max="8" width="11.875" style="136" customWidth="1"/>
    <col min="9" max="15" width="8.25" style="136" customWidth="1"/>
    <col min="16" max="16" width="10.5" style="136" customWidth="1"/>
    <col min="17" max="21" width="8.25" style="136" customWidth="1"/>
    <col min="22" max="22" width="8.25" style="162" customWidth="1"/>
    <col min="23" max="23" width="8.25" style="140" customWidth="1"/>
    <col min="24" max="31" width="8.25" style="136" customWidth="1"/>
    <col min="32" max="32" width="11.25" style="136" bestFit="1" customWidth="1"/>
    <col min="33" max="34" width="8.25" style="136" customWidth="1"/>
    <col min="35" max="35" width="9.875" style="136" customWidth="1"/>
    <col min="36" max="16384" width="14.75" style="136"/>
  </cols>
  <sheetData>
    <row r="1" spans="1:36" s="129" customFormat="1" ht="42.6" customHeight="1">
      <c r="B1" s="130"/>
      <c r="C1" s="130"/>
      <c r="D1" s="130"/>
      <c r="E1" s="131" t="s">
        <v>555</v>
      </c>
      <c r="I1" s="130"/>
      <c r="J1" s="130"/>
      <c r="K1" s="130"/>
      <c r="L1" s="130"/>
      <c r="M1" s="130"/>
      <c r="N1" s="130"/>
      <c r="O1" s="130"/>
      <c r="Q1" s="130"/>
      <c r="R1" s="130"/>
      <c r="S1" s="132" t="s">
        <v>556</v>
      </c>
      <c r="T1" s="130"/>
      <c r="U1" s="130"/>
      <c r="V1" s="133"/>
      <c r="W1" s="134"/>
      <c r="AA1" s="130"/>
      <c r="AC1" s="130"/>
      <c r="AD1" s="130"/>
      <c r="AE1" s="130"/>
      <c r="AF1" s="130"/>
      <c r="AG1" s="130"/>
      <c r="AH1" s="130"/>
    </row>
    <row r="2" spans="1:36" ht="28.9" customHeight="1">
      <c r="A2" s="135"/>
      <c r="F2" s="195"/>
      <c r="H2" s="195"/>
      <c r="R2" s="137" t="s">
        <v>157</v>
      </c>
      <c r="U2" s="138"/>
      <c r="V2" s="139"/>
      <c r="AH2" s="137" t="s">
        <v>157</v>
      </c>
    </row>
    <row r="3" spans="1:36" s="146" customFormat="1" ht="35.1" customHeight="1">
      <c r="A3" s="1076" t="s">
        <v>158</v>
      </c>
      <c r="B3" s="1078" t="s">
        <v>159</v>
      </c>
      <c r="C3" s="1076" t="s">
        <v>160</v>
      </c>
      <c r="D3" s="1080" t="s">
        <v>508</v>
      </c>
      <c r="E3" s="142" t="s">
        <v>162</v>
      </c>
      <c r="F3" s="143"/>
      <c r="G3" s="144"/>
      <c r="H3" s="1073" t="s">
        <v>163</v>
      </c>
      <c r="I3" s="1074"/>
      <c r="J3" s="1074"/>
      <c r="K3" s="1074"/>
      <c r="L3" s="1074"/>
      <c r="M3" s="1074"/>
      <c r="N3" s="1074"/>
      <c r="O3" s="1075"/>
      <c r="P3" s="1073" t="s">
        <v>488</v>
      </c>
      <c r="Q3" s="1074"/>
      <c r="R3" s="1075"/>
      <c r="S3" s="145" t="s">
        <v>164</v>
      </c>
      <c r="T3" s="143"/>
      <c r="U3" s="143"/>
      <c r="V3" s="143"/>
      <c r="W3" s="143"/>
      <c r="X3" s="145"/>
      <c r="Y3" s="143"/>
      <c r="Z3" s="143"/>
      <c r="AA3" s="143"/>
      <c r="AB3" s="143"/>
      <c r="AC3" s="143"/>
      <c r="AD3" s="143"/>
      <c r="AE3" s="143"/>
      <c r="AF3" s="1073" t="s">
        <v>165</v>
      </c>
      <c r="AG3" s="1074"/>
      <c r="AH3" s="1075"/>
      <c r="AI3" s="146" t="s">
        <v>378</v>
      </c>
    </row>
    <row r="4" spans="1:36" s="146" customFormat="1" ht="35.1" customHeight="1">
      <c r="A4" s="1077"/>
      <c r="B4" s="1079"/>
      <c r="C4" s="1077"/>
      <c r="D4" s="1081"/>
      <c r="E4" s="147"/>
      <c r="F4" s="148" t="s">
        <v>166</v>
      </c>
      <c r="G4" s="148" t="s">
        <v>167</v>
      </c>
      <c r="H4" s="149"/>
      <c r="I4" s="141" t="s">
        <v>463</v>
      </c>
      <c r="J4" s="141" t="s">
        <v>169</v>
      </c>
      <c r="K4" s="141" t="s">
        <v>491</v>
      </c>
      <c r="L4" s="141" t="s">
        <v>170</v>
      </c>
      <c r="M4" s="141" t="s">
        <v>464</v>
      </c>
      <c r="N4" s="141" t="s">
        <v>172</v>
      </c>
      <c r="O4" s="148" t="s">
        <v>173</v>
      </c>
      <c r="P4" s="147"/>
      <c r="Q4" s="150" t="s">
        <v>174</v>
      </c>
      <c r="R4" s="141" t="s">
        <v>56</v>
      </c>
      <c r="S4" s="151" t="s">
        <v>57</v>
      </c>
      <c r="T4" s="151" t="s">
        <v>58</v>
      </c>
      <c r="U4" s="151" t="s">
        <v>59</v>
      </c>
      <c r="V4" s="151" t="s">
        <v>60</v>
      </c>
      <c r="W4" s="151" t="s">
        <v>61</v>
      </c>
      <c r="X4" s="151" t="s">
        <v>62</v>
      </c>
      <c r="Y4" s="151" t="s">
        <v>465</v>
      </c>
      <c r="Z4" s="151" t="s">
        <v>64</v>
      </c>
      <c r="AA4" s="151" t="s">
        <v>65</v>
      </c>
      <c r="AB4" s="151" t="s">
        <v>66</v>
      </c>
      <c r="AC4" s="151" t="s">
        <v>67</v>
      </c>
      <c r="AD4" s="151" t="s">
        <v>68</v>
      </c>
      <c r="AE4" s="149" t="s">
        <v>173</v>
      </c>
      <c r="AF4" s="152"/>
      <c r="AG4" s="141" t="s">
        <v>175</v>
      </c>
      <c r="AH4" s="141" t="s">
        <v>176</v>
      </c>
    </row>
    <row r="5" spans="1:36" s="198" customFormat="1" ht="26.1" customHeight="1">
      <c r="A5" s="185" t="s">
        <v>177</v>
      </c>
      <c r="B5" s="186"/>
      <c r="C5" s="187"/>
      <c r="D5" s="187"/>
      <c r="E5" s="289">
        <f>E7+E66+E112+E120+E164+E178+E194+E234+E322+E326+E374+E378+E397</f>
        <v>141971364</v>
      </c>
      <c r="F5" s="188">
        <f t="shared" ref="F5:AH5" si="0">F7+F66+F112+F120+F164+F178+F194+F234+F322+F326+F374+F378+F397</f>
        <v>74030160</v>
      </c>
      <c r="G5" s="188">
        <f t="shared" si="0"/>
        <v>67941204</v>
      </c>
      <c r="H5" s="289">
        <f t="shared" si="0"/>
        <v>90647224</v>
      </c>
      <c r="I5" s="188">
        <f t="shared" si="0"/>
        <v>7983</v>
      </c>
      <c r="J5" s="188">
        <f t="shared" si="0"/>
        <v>145530</v>
      </c>
      <c r="K5" s="188">
        <f t="shared" si="0"/>
        <v>302846</v>
      </c>
      <c r="L5" s="188">
        <f t="shared" si="0"/>
        <v>366938</v>
      </c>
      <c r="M5" s="188">
        <f t="shared" si="0"/>
        <v>145111</v>
      </c>
      <c r="N5" s="188">
        <f t="shared" si="0"/>
        <v>353776</v>
      </c>
      <c r="O5" s="188">
        <f t="shared" si="0"/>
        <v>100091</v>
      </c>
      <c r="P5" s="289">
        <f t="shared" si="0"/>
        <v>46883609</v>
      </c>
      <c r="Q5" s="188">
        <f t="shared" si="0"/>
        <v>199258</v>
      </c>
      <c r="R5" s="188">
        <f t="shared" si="0"/>
        <v>339735</v>
      </c>
      <c r="S5" s="188">
        <f t="shared" si="0"/>
        <v>437369</v>
      </c>
      <c r="T5" s="188">
        <f t="shared" si="0"/>
        <v>56978</v>
      </c>
      <c r="U5" s="188">
        <f t="shared" si="0"/>
        <v>196837</v>
      </c>
      <c r="V5" s="188">
        <f t="shared" si="0"/>
        <v>167638</v>
      </c>
      <c r="W5" s="188">
        <f t="shared" si="0"/>
        <v>178293</v>
      </c>
      <c r="X5" s="188">
        <f t="shared" si="0"/>
        <v>475363</v>
      </c>
      <c r="Y5" s="188">
        <f t="shared" si="0"/>
        <v>469189</v>
      </c>
      <c r="Z5" s="188">
        <f t="shared" si="0"/>
        <v>414627</v>
      </c>
      <c r="AA5" s="188">
        <f t="shared" si="0"/>
        <v>56986</v>
      </c>
      <c r="AB5" s="188">
        <f t="shared" si="0"/>
        <v>22839</v>
      </c>
      <c r="AC5" s="188">
        <f t="shared" si="0"/>
        <v>35828</v>
      </c>
      <c r="AD5" s="188">
        <f t="shared" si="0"/>
        <v>35387</v>
      </c>
      <c r="AE5" s="188">
        <f t="shared" si="0"/>
        <v>548644</v>
      </c>
      <c r="AF5" s="289">
        <f t="shared" si="0"/>
        <v>4440531</v>
      </c>
      <c r="AG5" s="188">
        <f t="shared" si="0"/>
        <v>40005</v>
      </c>
      <c r="AH5" s="188">
        <f t="shared" si="0"/>
        <v>21415</v>
      </c>
      <c r="AI5" s="197">
        <f t="shared" ref="AI5:AI16" si="1">IF(+F5+G5=E5,0,FALSE)</f>
        <v>0</v>
      </c>
    </row>
    <row r="6" spans="1:36" s="198" customFormat="1" ht="26.1" customHeight="1">
      <c r="A6" s="259" t="s">
        <v>850</v>
      </c>
      <c r="B6" s="256"/>
      <c r="C6" s="257"/>
      <c r="D6" s="257"/>
      <c r="E6" s="260">
        <f>E5-E116</f>
        <v>130084244</v>
      </c>
      <c r="F6" s="260">
        <f t="shared" ref="F6:AH6" si="2">F5-F116</f>
        <v>62143040</v>
      </c>
      <c r="G6" s="260">
        <f t="shared" si="2"/>
        <v>67941204</v>
      </c>
      <c r="H6" s="260">
        <f t="shared" si="2"/>
        <v>82837767</v>
      </c>
      <c r="I6" s="260">
        <f t="shared" si="2"/>
        <v>-1958833</v>
      </c>
      <c r="J6" s="260">
        <f t="shared" si="2"/>
        <v>-1292320</v>
      </c>
      <c r="K6" s="260">
        <f t="shared" si="2"/>
        <v>-594721</v>
      </c>
      <c r="L6" s="260">
        <f t="shared" si="2"/>
        <v>-825174</v>
      </c>
      <c r="M6" s="260">
        <f t="shared" si="2"/>
        <v>-786784</v>
      </c>
      <c r="N6" s="260">
        <f t="shared" si="2"/>
        <v>-1029441</v>
      </c>
      <c r="O6" s="260">
        <f t="shared" si="2"/>
        <v>100091</v>
      </c>
      <c r="P6" s="260">
        <f t="shared" si="2"/>
        <v>42932433</v>
      </c>
      <c r="Q6" s="260">
        <f t="shared" si="2"/>
        <v>-13537</v>
      </c>
      <c r="R6" s="260">
        <f t="shared" si="2"/>
        <v>110756</v>
      </c>
      <c r="S6" s="260">
        <f t="shared" si="2"/>
        <v>137990</v>
      </c>
      <c r="T6" s="260">
        <f t="shared" si="2"/>
        <v>-474413</v>
      </c>
      <c r="U6" s="260">
        <f t="shared" si="2"/>
        <v>-141094</v>
      </c>
      <c r="V6" s="260">
        <f t="shared" si="2"/>
        <v>-262730</v>
      </c>
      <c r="W6" s="260">
        <f t="shared" si="2"/>
        <v>-142798</v>
      </c>
      <c r="X6" s="260">
        <f t="shared" si="2"/>
        <v>-39986</v>
      </c>
      <c r="Y6" s="260">
        <f t="shared" si="2"/>
        <v>228299</v>
      </c>
      <c r="Z6" s="260">
        <f t="shared" si="2"/>
        <v>163015</v>
      </c>
      <c r="AA6" s="260">
        <f t="shared" si="2"/>
        <v>-63506</v>
      </c>
      <c r="AB6" s="260">
        <f t="shared" si="2"/>
        <v>-157645</v>
      </c>
      <c r="AC6" s="260">
        <f t="shared" si="2"/>
        <v>-135151</v>
      </c>
      <c r="AD6" s="260">
        <f t="shared" si="2"/>
        <v>-74049</v>
      </c>
      <c r="AE6" s="260">
        <f t="shared" si="2"/>
        <v>548644</v>
      </c>
      <c r="AF6" s="260">
        <f t="shared" si="2"/>
        <v>4314044</v>
      </c>
      <c r="AG6" s="260">
        <f t="shared" si="2"/>
        <v>-56176</v>
      </c>
      <c r="AH6" s="260">
        <f t="shared" si="2"/>
        <v>-8891</v>
      </c>
      <c r="AI6" s="197">
        <f t="shared" si="1"/>
        <v>0</v>
      </c>
      <c r="AJ6" s="261">
        <f>SUM(I6:O6)</f>
        <v>-6387182</v>
      </c>
    </row>
    <row r="7" spans="1:36" s="198" customFormat="1" ht="26.1" customHeight="1">
      <c r="A7" s="185"/>
      <c r="B7" s="186"/>
      <c r="C7" s="187"/>
      <c r="D7" s="187"/>
      <c r="E7" s="188">
        <f>E8+E17+E29+E65</f>
        <v>3016666</v>
      </c>
      <c r="F7" s="188">
        <f t="shared" ref="F7:AH7" si="3">F8+F17+F29+F65</f>
        <v>1909449</v>
      </c>
      <c r="G7" s="188">
        <f t="shared" si="3"/>
        <v>1107217</v>
      </c>
      <c r="H7" s="188">
        <f t="shared" si="3"/>
        <v>570793</v>
      </c>
      <c r="I7" s="188">
        <f t="shared" si="3"/>
        <v>7983</v>
      </c>
      <c r="J7" s="188">
        <f t="shared" si="3"/>
        <v>66230</v>
      </c>
      <c r="K7" s="188">
        <f t="shared" si="3"/>
        <v>50168</v>
      </c>
      <c r="L7" s="188">
        <f t="shared" si="3"/>
        <v>82138</v>
      </c>
      <c r="M7" s="188">
        <f t="shared" si="3"/>
        <v>29504</v>
      </c>
      <c r="N7" s="188">
        <f t="shared" si="3"/>
        <v>190013</v>
      </c>
      <c r="O7" s="188">
        <f t="shared" si="3"/>
        <v>100091</v>
      </c>
      <c r="P7" s="188">
        <f t="shared" si="3"/>
        <v>2444043</v>
      </c>
      <c r="Q7" s="188">
        <f t="shared" si="3"/>
        <v>161559</v>
      </c>
      <c r="R7" s="188">
        <f t="shared" si="3"/>
        <v>236523</v>
      </c>
      <c r="S7" s="188">
        <f t="shared" si="3"/>
        <v>188355</v>
      </c>
      <c r="T7" s="188">
        <f t="shared" si="3"/>
        <v>24105</v>
      </c>
      <c r="U7" s="188">
        <f t="shared" si="3"/>
        <v>144923</v>
      </c>
      <c r="V7" s="188">
        <f t="shared" si="3"/>
        <v>33579</v>
      </c>
      <c r="W7" s="188">
        <f t="shared" si="3"/>
        <v>102215</v>
      </c>
      <c r="X7" s="188">
        <f t="shared" si="3"/>
        <v>383016</v>
      </c>
      <c r="Y7" s="188">
        <f t="shared" si="3"/>
        <v>323933</v>
      </c>
      <c r="Z7" s="188">
        <f t="shared" si="3"/>
        <v>366774</v>
      </c>
      <c r="AA7" s="188">
        <f t="shared" si="3"/>
        <v>7191</v>
      </c>
      <c r="AB7" s="188">
        <f t="shared" si="3"/>
        <v>18574</v>
      </c>
      <c r="AC7" s="188">
        <f t="shared" si="3"/>
        <v>31285</v>
      </c>
      <c r="AD7" s="188">
        <f t="shared" si="3"/>
        <v>30367</v>
      </c>
      <c r="AE7" s="188">
        <f t="shared" si="3"/>
        <v>391644</v>
      </c>
      <c r="AF7" s="188">
        <f t="shared" si="3"/>
        <v>1830</v>
      </c>
      <c r="AG7" s="188">
        <f t="shared" si="3"/>
        <v>330</v>
      </c>
      <c r="AH7" s="188">
        <f t="shared" si="3"/>
        <v>1500</v>
      </c>
      <c r="AI7" s="197">
        <f t="shared" si="1"/>
        <v>0</v>
      </c>
    </row>
    <row r="8" spans="1:36" s="198" customFormat="1" ht="26.1" customHeight="1">
      <c r="A8" s="200"/>
      <c r="B8" s="191"/>
      <c r="C8" s="230"/>
      <c r="D8" s="238"/>
      <c r="E8" s="232">
        <f>SUM(E9:E16)</f>
        <v>67400</v>
      </c>
      <c r="F8" s="234">
        <f t="shared" ref="F8:AH8" si="4">SUM(F9:F16)</f>
        <v>62900</v>
      </c>
      <c r="G8" s="234">
        <f t="shared" si="4"/>
        <v>4500</v>
      </c>
      <c r="H8" s="232">
        <f t="shared" si="4"/>
        <v>16790</v>
      </c>
      <c r="I8" s="234">
        <f t="shared" si="4"/>
        <v>0</v>
      </c>
      <c r="J8" s="234">
        <f t="shared" si="4"/>
        <v>0</v>
      </c>
      <c r="K8" s="234">
        <f t="shared" si="4"/>
        <v>1000</v>
      </c>
      <c r="L8" s="234">
        <f t="shared" si="4"/>
        <v>0</v>
      </c>
      <c r="M8" s="234">
        <f t="shared" si="4"/>
        <v>0</v>
      </c>
      <c r="N8" s="234">
        <f t="shared" si="4"/>
        <v>0</v>
      </c>
      <c r="O8" s="235">
        <f t="shared" si="4"/>
        <v>15790</v>
      </c>
      <c r="P8" s="254">
        <f t="shared" si="4"/>
        <v>49110</v>
      </c>
      <c r="Q8" s="234">
        <f t="shared" si="4"/>
        <v>0</v>
      </c>
      <c r="R8" s="234">
        <f t="shared" si="4"/>
        <v>0</v>
      </c>
      <c r="S8" s="234">
        <f t="shared" si="4"/>
        <v>0</v>
      </c>
      <c r="T8" s="234">
        <f t="shared" si="4"/>
        <v>0</v>
      </c>
      <c r="U8" s="234">
        <f t="shared" si="4"/>
        <v>0</v>
      </c>
      <c r="V8" s="234">
        <f t="shared" si="4"/>
        <v>500</v>
      </c>
      <c r="W8" s="234">
        <f t="shared" si="4"/>
        <v>0</v>
      </c>
      <c r="X8" s="234">
        <f t="shared" si="4"/>
        <v>0</v>
      </c>
      <c r="Y8" s="234">
        <f t="shared" si="4"/>
        <v>550</v>
      </c>
      <c r="Z8" s="234">
        <f t="shared" si="4"/>
        <v>2575</v>
      </c>
      <c r="AA8" s="234">
        <f t="shared" si="4"/>
        <v>3375</v>
      </c>
      <c r="AB8" s="234">
        <f t="shared" si="4"/>
        <v>0</v>
      </c>
      <c r="AC8" s="234">
        <f t="shared" si="4"/>
        <v>0</v>
      </c>
      <c r="AD8" s="234">
        <f t="shared" si="4"/>
        <v>0</v>
      </c>
      <c r="AE8" s="234">
        <f t="shared" si="4"/>
        <v>42110</v>
      </c>
      <c r="AF8" s="232">
        <f t="shared" si="4"/>
        <v>1500</v>
      </c>
      <c r="AG8" s="234">
        <f t="shared" si="4"/>
        <v>0</v>
      </c>
      <c r="AH8" s="234">
        <f t="shared" si="4"/>
        <v>1500</v>
      </c>
      <c r="AI8" s="197">
        <f t="shared" si="1"/>
        <v>0</v>
      </c>
    </row>
    <row r="9" spans="1:36" s="198" customFormat="1" ht="26.1" customHeight="1">
      <c r="A9" s="200" t="s">
        <v>379</v>
      </c>
      <c r="B9" s="191" t="s">
        <v>492</v>
      </c>
      <c r="C9" s="230" t="s">
        <v>646</v>
      </c>
      <c r="D9" s="238">
        <v>4</v>
      </c>
      <c r="E9" s="234">
        <f t="shared" ref="E9:E16" si="5">SUM(H9,P9,AF9)</f>
        <v>57900</v>
      </c>
      <c r="F9" s="234">
        <v>57900</v>
      </c>
      <c r="G9" s="234"/>
      <c r="H9" s="234">
        <f t="shared" ref="H9:H16" si="6">SUM(I9:O9)</f>
        <v>15790</v>
      </c>
      <c r="I9" s="234"/>
      <c r="J9" s="234"/>
      <c r="K9" s="234"/>
      <c r="L9" s="234"/>
      <c r="M9" s="234"/>
      <c r="N9" s="234"/>
      <c r="O9" s="235">
        <v>15790</v>
      </c>
      <c r="P9" s="235">
        <f t="shared" ref="P9:P16" si="7">SUM(Q9:AE9)</f>
        <v>42110</v>
      </c>
      <c r="Q9" s="234"/>
      <c r="R9" s="234"/>
      <c r="S9" s="234"/>
      <c r="T9" s="234"/>
      <c r="U9" s="234"/>
      <c r="V9" s="234"/>
      <c r="W9" s="234"/>
      <c r="X9" s="234"/>
      <c r="Y9" s="234"/>
      <c r="Z9" s="234"/>
      <c r="AA9" s="234"/>
      <c r="AB9" s="234"/>
      <c r="AC9" s="234"/>
      <c r="AD9" s="234"/>
      <c r="AE9" s="234">
        <v>42110</v>
      </c>
      <c r="AF9" s="234">
        <f t="shared" ref="AF9:AF16" si="8">SUM(AG9:AH9)</f>
        <v>0</v>
      </c>
      <c r="AG9" s="234"/>
      <c r="AH9" s="234"/>
      <c r="AI9" s="197">
        <f t="shared" si="1"/>
        <v>0</v>
      </c>
    </row>
    <row r="10" spans="1:36" s="198" customFormat="1" ht="26.1" customHeight="1">
      <c r="A10" s="190" t="s">
        <v>379</v>
      </c>
      <c r="B10" s="191" t="s">
        <v>492</v>
      </c>
      <c r="C10" s="230" t="s">
        <v>647</v>
      </c>
      <c r="D10" s="238">
        <v>4</v>
      </c>
      <c r="E10" s="234">
        <f t="shared" si="5"/>
        <v>2575</v>
      </c>
      <c r="F10" s="234">
        <v>700</v>
      </c>
      <c r="G10" s="234">
        <v>1875</v>
      </c>
      <c r="H10" s="234">
        <f t="shared" si="6"/>
        <v>0</v>
      </c>
      <c r="I10" s="234"/>
      <c r="J10" s="234"/>
      <c r="K10" s="234"/>
      <c r="L10" s="234"/>
      <c r="M10" s="234"/>
      <c r="N10" s="234"/>
      <c r="O10" s="235"/>
      <c r="P10" s="235">
        <f t="shared" si="7"/>
        <v>2575</v>
      </c>
      <c r="Q10" s="234"/>
      <c r="R10" s="234"/>
      <c r="S10" s="234"/>
      <c r="T10" s="234"/>
      <c r="U10" s="234"/>
      <c r="V10" s="234"/>
      <c r="W10" s="234"/>
      <c r="X10" s="234"/>
      <c r="Y10" s="234"/>
      <c r="Z10" s="234">
        <v>2575</v>
      </c>
      <c r="AA10" s="234"/>
      <c r="AB10" s="234"/>
      <c r="AC10" s="234"/>
      <c r="AD10" s="234"/>
      <c r="AE10" s="234"/>
      <c r="AF10" s="234">
        <f t="shared" si="8"/>
        <v>0</v>
      </c>
      <c r="AG10" s="234"/>
      <c r="AH10" s="234"/>
      <c r="AI10" s="197">
        <f t="shared" si="1"/>
        <v>0</v>
      </c>
    </row>
    <row r="11" spans="1:36" s="198" customFormat="1" ht="26.1" customHeight="1">
      <c r="A11" s="190" t="s">
        <v>379</v>
      </c>
      <c r="B11" s="191" t="s">
        <v>492</v>
      </c>
      <c r="C11" s="230" t="s">
        <v>648</v>
      </c>
      <c r="D11" s="238">
        <v>4</v>
      </c>
      <c r="E11" s="234">
        <f t="shared" si="5"/>
        <v>550</v>
      </c>
      <c r="F11" s="234"/>
      <c r="G11" s="234">
        <v>550</v>
      </c>
      <c r="H11" s="234">
        <f t="shared" si="6"/>
        <v>0</v>
      </c>
      <c r="I11" s="234"/>
      <c r="J11" s="234"/>
      <c r="K11" s="234"/>
      <c r="L11" s="234"/>
      <c r="M11" s="234"/>
      <c r="N11" s="234"/>
      <c r="O11" s="235"/>
      <c r="P11" s="235">
        <f t="shared" si="7"/>
        <v>550</v>
      </c>
      <c r="Q11" s="234"/>
      <c r="R11" s="234"/>
      <c r="S11" s="234"/>
      <c r="T11" s="234"/>
      <c r="U11" s="234"/>
      <c r="V11" s="234"/>
      <c r="W11" s="234"/>
      <c r="X11" s="234"/>
      <c r="Y11" s="234">
        <v>550</v>
      </c>
      <c r="Z11" s="234"/>
      <c r="AA11" s="234"/>
      <c r="AB11" s="234"/>
      <c r="AC11" s="234"/>
      <c r="AD11" s="234"/>
      <c r="AE11" s="234"/>
      <c r="AF11" s="234">
        <f t="shared" si="8"/>
        <v>0</v>
      </c>
      <c r="AG11" s="234"/>
      <c r="AH11" s="234"/>
      <c r="AI11" s="197">
        <f t="shared" si="1"/>
        <v>0</v>
      </c>
    </row>
    <row r="12" spans="1:36" s="198" customFormat="1" ht="26.1" customHeight="1">
      <c r="A12" s="190" t="s">
        <v>379</v>
      </c>
      <c r="B12" s="191" t="s">
        <v>492</v>
      </c>
      <c r="C12" s="230" t="s">
        <v>649</v>
      </c>
      <c r="D12" s="238">
        <v>4</v>
      </c>
      <c r="E12" s="234">
        <f t="shared" si="5"/>
        <v>1200</v>
      </c>
      <c r="F12" s="234">
        <v>600</v>
      </c>
      <c r="G12" s="234">
        <v>600</v>
      </c>
      <c r="H12" s="234">
        <f t="shared" si="6"/>
        <v>0</v>
      </c>
      <c r="I12" s="234"/>
      <c r="J12" s="234"/>
      <c r="K12" s="234"/>
      <c r="L12" s="234"/>
      <c r="M12" s="234"/>
      <c r="N12" s="234"/>
      <c r="O12" s="235"/>
      <c r="P12" s="235">
        <f t="shared" si="7"/>
        <v>1200</v>
      </c>
      <c r="Q12" s="234"/>
      <c r="R12" s="234"/>
      <c r="S12" s="234"/>
      <c r="T12" s="234"/>
      <c r="U12" s="234"/>
      <c r="V12" s="234"/>
      <c r="W12" s="234"/>
      <c r="X12" s="234"/>
      <c r="Y12" s="234"/>
      <c r="Z12" s="234"/>
      <c r="AA12" s="234">
        <v>1200</v>
      </c>
      <c r="AB12" s="234"/>
      <c r="AC12" s="234"/>
      <c r="AD12" s="234"/>
      <c r="AE12" s="234"/>
      <c r="AF12" s="234">
        <f t="shared" si="8"/>
        <v>0</v>
      </c>
      <c r="AG12" s="234"/>
      <c r="AH12" s="234"/>
      <c r="AI12" s="197">
        <f t="shared" si="1"/>
        <v>0</v>
      </c>
    </row>
    <row r="13" spans="1:36" s="198" customFormat="1" ht="26.1" customHeight="1">
      <c r="A13" s="190" t="s">
        <v>379</v>
      </c>
      <c r="B13" s="191" t="s">
        <v>492</v>
      </c>
      <c r="C13" s="230" t="s">
        <v>650</v>
      </c>
      <c r="D13" s="238">
        <v>4</v>
      </c>
      <c r="E13" s="234">
        <f t="shared" si="5"/>
        <v>1725</v>
      </c>
      <c r="F13" s="234">
        <v>1500</v>
      </c>
      <c r="G13" s="234">
        <v>225</v>
      </c>
      <c r="H13" s="234">
        <f t="shared" si="6"/>
        <v>0</v>
      </c>
      <c r="I13" s="234"/>
      <c r="J13" s="234"/>
      <c r="K13" s="234"/>
      <c r="L13" s="234"/>
      <c r="M13" s="234"/>
      <c r="N13" s="234"/>
      <c r="O13" s="235"/>
      <c r="P13" s="235">
        <f t="shared" si="7"/>
        <v>1725</v>
      </c>
      <c r="Q13" s="234"/>
      <c r="R13" s="234"/>
      <c r="S13" s="234"/>
      <c r="T13" s="234"/>
      <c r="U13" s="234"/>
      <c r="V13" s="234"/>
      <c r="W13" s="234"/>
      <c r="X13" s="234"/>
      <c r="Y13" s="234"/>
      <c r="Z13" s="234"/>
      <c r="AA13" s="234">
        <v>1725</v>
      </c>
      <c r="AB13" s="234"/>
      <c r="AC13" s="234"/>
      <c r="AD13" s="234"/>
      <c r="AE13" s="234"/>
      <c r="AF13" s="234">
        <f t="shared" si="8"/>
        <v>0</v>
      </c>
      <c r="AG13" s="234"/>
      <c r="AH13" s="234"/>
      <c r="AI13" s="197">
        <f t="shared" si="1"/>
        <v>0</v>
      </c>
    </row>
    <row r="14" spans="1:36" s="198" customFormat="1" ht="26.1" customHeight="1">
      <c r="A14" s="190" t="s">
        <v>379</v>
      </c>
      <c r="B14" s="191" t="s">
        <v>492</v>
      </c>
      <c r="C14" s="230" t="s">
        <v>651</v>
      </c>
      <c r="D14" s="238">
        <v>4</v>
      </c>
      <c r="E14" s="234">
        <f t="shared" si="5"/>
        <v>450</v>
      </c>
      <c r="F14" s="234">
        <v>450</v>
      </c>
      <c r="G14" s="234">
        <v>0</v>
      </c>
      <c r="H14" s="234">
        <f t="shared" si="6"/>
        <v>0</v>
      </c>
      <c r="I14" s="234"/>
      <c r="J14" s="234"/>
      <c r="K14" s="234"/>
      <c r="L14" s="234"/>
      <c r="M14" s="234"/>
      <c r="N14" s="234"/>
      <c r="O14" s="235"/>
      <c r="P14" s="235">
        <f t="shared" si="7"/>
        <v>450</v>
      </c>
      <c r="Q14" s="234"/>
      <c r="R14" s="234"/>
      <c r="S14" s="234"/>
      <c r="T14" s="234"/>
      <c r="U14" s="234"/>
      <c r="V14" s="234"/>
      <c r="W14" s="234"/>
      <c r="X14" s="234"/>
      <c r="Y14" s="234"/>
      <c r="Z14" s="234"/>
      <c r="AA14" s="234">
        <v>450</v>
      </c>
      <c r="AB14" s="234"/>
      <c r="AC14" s="234"/>
      <c r="AD14" s="234"/>
      <c r="AE14" s="234"/>
      <c r="AF14" s="234">
        <f t="shared" si="8"/>
        <v>0</v>
      </c>
      <c r="AG14" s="234"/>
      <c r="AH14" s="234"/>
      <c r="AI14" s="197">
        <f t="shared" si="1"/>
        <v>0</v>
      </c>
    </row>
    <row r="15" spans="1:36" s="198" customFormat="1" ht="26.1" customHeight="1">
      <c r="A15" s="190" t="s">
        <v>379</v>
      </c>
      <c r="B15" s="191" t="s">
        <v>492</v>
      </c>
      <c r="C15" s="230" t="s">
        <v>652</v>
      </c>
      <c r="D15" s="238">
        <v>4</v>
      </c>
      <c r="E15" s="234">
        <f t="shared" si="5"/>
        <v>1500</v>
      </c>
      <c r="F15" s="234">
        <v>1000</v>
      </c>
      <c r="G15" s="234">
        <v>500</v>
      </c>
      <c r="H15" s="234">
        <f t="shared" si="6"/>
        <v>0</v>
      </c>
      <c r="I15" s="234"/>
      <c r="J15" s="234"/>
      <c r="K15" s="234"/>
      <c r="L15" s="234"/>
      <c r="M15" s="234"/>
      <c r="N15" s="234"/>
      <c r="O15" s="235"/>
      <c r="P15" s="235">
        <f t="shared" si="7"/>
        <v>0</v>
      </c>
      <c r="Q15" s="234"/>
      <c r="R15" s="234"/>
      <c r="S15" s="234"/>
      <c r="T15" s="234"/>
      <c r="U15" s="234"/>
      <c r="V15" s="234"/>
      <c r="W15" s="234"/>
      <c r="X15" s="234"/>
      <c r="Y15" s="234"/>
      <c r="Z15" s="234"/>
      <c r="AA15" s="234"/>
      <c r="AB15" s="234"/>
      <c r="AC15" s="234"/>
      <c r="AD15" s="234"/>
      <c r="AE15" s="234"/>
      <c r="AF15" s="234">
        <f t="shared" si="8"/>
        <v>1500</v>
      </c>
      <c r="AG15" s="234"/>
      <c r="AH15" s="234">
        <v>1500</v>
      </c>
      <c r="AI15" s="197">
        <f t="shared" si="1"/>
        <v>0</v>
      </c>
    </row>
    <row r="16" spans="1:36" s="198" customFormat="1" ht="26.1" customHeight="1">
      <c r="A16" s="190" t="s">
        <v>379</v>
      </c>
      <c r="B16" s="191" t="s">
        <v>492</v>
      </c>
      <c r="C16" s="230" t="s">
        <v>653</v>
      </c>
      <c r="D16" s="238">
        <v>4</v>
      </c>
      <c r="E16" s="234">
        <f t="shared" si="5"/>
        <v>1500</v>
      </c>
      <c r="F16" s="234">
        <v>750</v>
      </c>
      <c r="G16" s="234">
        <v>750</v>
      </c>
      <c r="H16" s="234">
        <f t="shared" si="6"/>
        <v>1000</v>
      </c>
      <c r="I16" s="234"/>
      <c r="J16" s="234"/>
      <c r="K16" s="234">
        <v>1000</v>
      </c>
      <c r="L16" s="234"/>
      <c r="M16" s="234"/>
      <c r="N16" s="234"/>
      <c r="O16" s="235"/>
      <c r="P16" s="235">
        <f t="shared" si="7"/>
        <v>500</v>
      </c>
      <c r="Q16" s="234"/>
      <c r="R16" s="234"/>
      <c r="S16" s="234"/>
      <c r="T16" s="234"/>
      <c r="U16" s="234"/>
      <c r="V16" s="234">
        <v>500</v>
      </c>
      <c r="W16" s="234"/>
      <c r="X16" s="234"/>
      <c r="Y16" s="234"/>
      <c r="Z16" s="234"/>
      <c r="AA16" s="234"/>
      <c r="AB16" s="234"/>
      <c r="AC16" s="234"/>
      <c r="AD16" s="234"/>
      <c r="AE16" s="234"/>
      <c r="AF16" s="234">
        <f t="shared" si="8"/>
        <v>0</v>
      </c>
      <c r="AG16" s="234"/>
      <c r="AH16" s="234"/>
      <c r="AI16" s="197">
        <f t="shared" si="1"/>
        <v>0</v>
      </c>
    </row>
    <row r="17" spans="1:36" s="198" customFormat="1" ht="26.1" customHeight="1">
      <c r="A17" s="200"/>
      <c r="B17" s="191"/>
      <c r="C17" s="230"/>
      <c r="D17" s="238"/>
      <c r="E17" s="232">
        <f t="shared" ref="E17:AH17" si="9">SUM(E18:E28)</f>
        <v>734821</v>
      </c>
      <c r="F17" s="234">
        <f t="shared" si="9"/>
        <v>381421</v>
      </c>
      <c r="G17" s="234">
        <f t="shared" si="9"/>
        <v>353400</v>
      </c>
      <c r="H17" s="232">
        <f t="shared" si="9"/>
        <v>210778</v>
      </c>
      <c r="I17" s="234">
        <f t="shared" si="9"/>
        <v>2700</v>
      </c>
      <c r="J17" s="234">
        <f t="shared" si="9"/>
        <v>32950</v>
      </c>
      <c r="K17" s="234">
        <f t="shared" si="9"/>
        <v>49168</v>
      </c>
      <c r="L17" s="234">
        <f t="shared" si="9"/>
        <v>36190</v>
      </c>
      <c r="M17" s="234">
        <f t="shared" si="9"/>
        <v>24020</v>
      </c>
      <c r="N17" s="234">
        <f t="shared" si="9"/>
        <v>64902</v>
      </c>
      <c r="O17" s="234">
        <f t="shared" si="9"/>
        <v>848</v>
      </c>
      <c r="P17" s="232">
        <f t="shared" si="9"/>
        <v>524043</v>
      </c>
      <c r="Q17" s="234">
        <f t="shared" si="9"/>
        <v>14080</v>
      </c>
      <c r="R17" s="234">
        <f t="shared" si="9"/>
        <v>85208</v>
      </c>
      <c r="S17" s="234">
        <f t="shared" si="9"/>
        <v>73818</v>
      </c>
      <c r="T17" s="234">
        <f t="shared" si="9"/>
        <v>19680</v>
      </c>
      <c r="U17" s="234">
        <f t="shared" si="9"/>
        <v>34940</v>
      </c>
      <c r="V17" s="234">
        <f t="shared" si="9"/>
        <v>31210</v>
      </c>
      <c r="W17" s="234">
        <f t="shared" si="9"/>
        <v>30930</v>
      </c>
      <c r="X17" s="234">
        <f t="shared" si="9"/>
        <v>67158</v>
      </c>
      <c r="Y17" s="234">
        <f t="shared" si="9"/>
        <v>43638</v>
      </c>
      <c r="Z17" s="234">
        <f t="shared" si="9"/>
        <v>49448</v>
      </c>
      <c r="AA17" s="234">
        <f t="shared" si="9"/>
        <v>3060</v>
      </c>
      <c r="AB17" s="234">
        <f t="shared" si="9"/>
        <v>10300</v>
      </c>
      <c r="AC17" s="234">
        <f t="shared" si="9"/>
        <v>27560</v>
      </c>
      <c r="AD17" s="234">
        <f t="shared" si="9"/>
        <v>28240</v>
      </c>
      <c r="AE17" s="234">
        <f t="shared" si="9"/>
        <v>4773</v>
      </c>
      <c r="AF17" s="232">
        <f t="shared" si="9"/>
        <v>0</v>
      </c>
      <c r="AG17" s="234">
        <f t="shared" si="9"/>
        <v>0</v>
      </c>
      <c r="AH17" s="234">
        <f t="shared" si="9"/>
        <v>0</v>
      </c>
      <c r="AI17" s="197">
        <f t="shared" ref="AI17:AI29" si="10">IF(+F17+G17=E17,0,FALSE)</f>
        <v>0</v>
      </c>
    </row>
    <row r="18" spans="1:36" s="198" customFormat="1" ht="26.1" customHeight="1">
      <c r="A18" s="200" t="s">
        <v>69</v>
      </c>
      <c r="B18" s="191" t="s">
        <v>260</v>
      </c>
      <c r="C18" s="230" t="s">
        <v>262</v>
      </c>
      <c r="D18" s="238">
        <v>1</v>
      </c>
      <c r="E18" s="234">
        <f t="shared" ref="E18:E26" si="11">SUM(H18,P18,AF18)</f>
        <v>1000</v>
      </c>
      <c r="F18" s="234">
        <v>1000</v>
      </c>
      <c r="G18" s="234"/>
      <c r="H18" s="240">
        <f t="shared" ref="H18:H28" si="12">SUM(I18:O18)</f>
        <v>500</v>
      </c>
      <c r="I18" s="234">
        <v>200</v>
      </c>
      <c r="J18" s="234"/>
      <c r="K18" s="234">
        <v>100</v>
      </c>
      <c r="L18" s="234"/>
      <c r="M18" s="234"/>
      <c r="N18" s="234">
        <v>200</v>
      </c>
      <c r="O18" s="235"/>
      <c r="P18" s="235">
        <f t="shared" ref="P18:P24" si="13">SUM(Q18:AE18)</f>
        <v>500</v>
      </c>
      <c r="Q18" s="234"/>
      <c r="R18" s="234">
        <v>150</v>
      </c>
      <c r="S18" s="234">
        <v>250</v>
      </c>
      <c r="T18" s="234"/>
      <c r="U18" s="234"/>
      <c r="V18" s="234"/>
      <c r="W18" s="234"/>
      <c r="X18" s="234">
        <v>100</v>
      </c>
      <c r="Y18" s="234"/>
      <c r="Z18" s="234"/>
      <c r="AA18" s="234"/>
      <c r="AB18" s="234"/>
      <c r="AC18" s="234"/>
      <c r="AD18" s="234"/>
      <c r="AE18" s="234"/>
      <c r="AF18" s="234">
        <f t="shared" ref="AF18:AF28" si="14">SUM(AG18:AH18)</f>
        <v>0</v>
      </c>
      <c r="AG18" s="234"/>
      <c r="AH18" s="234"/>
      <c r="AI18" s="197">
        <f>IF(+F18+G18=E18,0,FALSE)</f>
        <v>0</v>
      </c>
    </row>
    <row r="19" spans="1:36" s="198" customFormat="1" ht="26.1" customHeight="1">
      <c r="A19" s="190" t="s">
        <v>69</v>
      </c>
      <c r="B19" s="191" t="s">
        <v>260</v>
      </c>
      <c r="C19" s="230" t="s">
        <v>263</v>
      </c>
      <c r="D19" s="238">
        <v>3</v>
      </c>
      <c r="E19" s="234">
        <f t="shared" si="11"/>
        <v>5500</v>
      </c>
      <c r="F19" s="234">
        <v>5500</v>
      </c>
      <c r="G19" s="234">
        <v>0</v>
      </c>
      <c r="H19" s="240">
        <f t="shared" si="12"/>
        <v>500</v>
      </c>
      <c r="I19" s="234"/>
      <c r="J19" s="234"/>
      <c r="K19" s="234">
        <v>200</v>
      </c>
      <c r="L19" s="234">
        <v>200</v>
      </c>
      <c r="M19" s="234"/>
      <c r="N19" s="234">
        <v>100</v>
      </c>
      <c r="O19" s="235"/>
      <c r="P19" s="235">
        <f t="shared" si="13"/>
        <v>5000</v>
      </c>
      <c r="Q19" s="234">
        <v>100</v>
      </c>
      <c r="R19" s="234">
        <v>800</v>
      </c>
      <c r="S19" s="234">
        <v>800</v>
      </c>
      <c r="T19" s="234">
        <v>200</v>
      </c>
      <c r="U19" s="234">
        <v>300</v>
      </c>
      <c r="V19" s="234">
        <v>500</v>
      </c>
      <c r="W19" s="234">
        <v>200</v>
      </c>
      <c r="X19" s="234">
        <v>700</v>
      </c>
      <c r="Y19" s="234">
        <v>300</v>
      </c>
      <c r="Z19" s="234">
        <v>300</v>
      </c>
      <c r="AA19" s="234"/>
      <c r="AB19" s="234">
        <v>100</v>
      </c>
      <c r="AC19" s="234">
        <v>200</v>
      </c>
      <c r="AD19" s="234">
        <v>200</v>
      </c>
      <c r="AE19" s="234">
        <v>300</v>
      </c>
      <c r="AF19" s="234">
        <f t="shared" si="14"/>
        <v>0</v>
      </c>
      <c r="AG19" s="234"/>
      <c r="AH19" s="234"/>
      <c r="AI19" s="197">
        <f t="shared" si="10"/>
        <v>0</v>
      </c>
    </row>
    <row r="20" spans="1:36" s="198" customFormat="1" ht="26.1" customHeight="1">
      <c r="A20" s="190" t="s">
        <v>69</v>
      </c>
      <c r="B20" s="191" t="s">
        <v>260</v>
      </c>
      <c r="C20" s="230" t="s">
        <v>264</v>
      </c>
      <c r="D20" s="238">
        <v>3</v>
      </c>
      <c r="E20" s="234">
        <f t="shared" si="11"/>
        <v>51000</v>
      </c>
      <c r="F20" s="234">
        <v>50000</v>
      </c>
      <c r="G20" s="234">
        <v>1000</v>
      </c>
      <c r="H20" s="240">
        <f t="shared" si="12"/>
        <v>24500</v>
      </c>
      <c r="I20" s="234">
        <v>2500</v>
      </c>
      <c r="J20" s="234">
        <v>3800</v>
      </c>
      <c r="K20" s="234">
        <v>6000</v>
      </c>
      <c r="L20" s="234">
        <v>4000</v>
      </c>
      <c r="M20" s="234">
        <v>3000</v>
      </c>
      <c r="N20" s="234">
        <v>5200</v>
      </c>
      <c r="O20" s="235"/>
      <c r="P20" s="235">
        <f t="shared" si="13"/>
        <v>26500</v>
      </c>
      <c r="Q20" s="234">
        <v>1000</v>
      </c>
      <c r="R20" s="234">
        <v>4500</v>
      </c>
      <c r="S20" s="234">
        <v>6000</v>
      </c>
      <c r="T20" s="234">
        <v>1000</v>
      </c>
      <c r="U20" s="234">
        <v>1000</v>
      </c>
      <c r="V20" s="234">
        <v>1000</v>
      </c>
      <c r="W20" s="234">
        <v>1000</v>
      </c>
      <c r="X20" s="234">
        <v>5000</v>
      </c>
      <c r="Y20" s="234">
        <v>1500</v>
      </c>
      <c r="Z20" s="234">
        <v>2000</v>
      </c>
      <c r="AA20" s="234">
        <v>0</v>
      </c>
      <c r="AB20" s="234">
        <v>500</v>
      </c>
      <c r="AC20" s="234">
        <v>500</v>
      </c>
      <c r="AD20" s="234">
        <v>500</v>
      </c>
      <c r="AE20" s="234">
        <v>1000</v>
      </c>
      <c r="AF20" s="234">
        <f t="shared" si="14"/>
        <v>0</v>
      </c>
      <c r="AG20" s="234"/>
      <c r="AH20" s="234"/>
      <c r="AI20" s="197">
        <f t="shared" si="10"/>
        <v>0</v>
      </c>
    </row>
    <row r="21" spans="1:36" s="198" customFormat="1" ht="26.1" customHeight="1">
      <c r="A21" s="190" t="s">
        <v>69</v>
      </c>
      <c r="B21" s="191" t="s">
        <v>260</v>
      </c>
      <c r="C21" s="230" t="s">
        <v>265</v>
      </c>
      <c r="D21" s="238">
        <v>3</v>
      </c>
      <c r="E21" s="234">
        <f t="shared" si="11"/>
        <v>2000</v>
      </c>
      <c r="F21" s="234">
        <v>2000</v>
      </c>
      <c r="G21" s="234">
        <v>0</v>
      </c>
      <c r="H21" s="240">
        <f t="shared" si="12"/>
        <v>1000</v>
      </c>
      <c r="I21" s="234"/>
      <c r="J21" s="234">
        <v>200</v>
      </c>
      <c r="K21" s="234">
        <v>200</v>
      </c>
      <c r="L21" s="234">
        <v>200</v>
      </c>
      <c r="M21" s="234">
        <v>200</v>
      </c>
      <c r="N21" s="234">
        <v>200</v>
      </c>
      <c r="O21" s="235"/>
      <c r="P21" s="235">
        <f t="shared" si="13"/>
        <v>1000</v>
      </c>
      <c r="Q21" s="234"/>
      <c r="R21" s="234">
        <v>200</v>
      </c>
      <c r="S21" s="234">
        <v>200</v>
      </c>
      <c r="T21" s="234"/>
      <c r="U21" s="234"/>
      <c r="V21" s="234">
        <v>100</v>
      </c>
      <c r="W21" s="234"/>
      <c r="X21" s="234">
        <v>200</v>
      </c>
      <c r="Y21" s="234">
        <v>100</v>
      </c>
      <c r="Z21" s="234">
        <v>200</v>
      </c>
      <c r="AA21" s="234"/>
      <c r="AB21" s="234"/>
      <c r="AC21" s="234"/>
      <c r="AD21" s="234"/>
      <c r="AE21" s="234"/>
      <c r="AF21" s="234">
        <f t="shared" si="14"/>
        <v>0</v>
      </c>
      <c r="AG21" s="234"/>
      <c r="AH21" s="234"/>
      <c r="AI21" s="197">
        <f t="shared" si="10"/>
        <v>0</v>
      </c>
    </row>
    <row r="22" spans="1:36" s="198" customFormat="1" ht="26.1" customHeight="1">
      <c r="A22" s="190" t="s">
        <v>69</v>
      </c>
      <c r="B22" s="191" t="s">
        <v>260</v>
      </c>
      <c r="C22" s="230" t="s">
        <v>266</v>
      </c>
      <c r="D22" s="238">
        <v>3</v>
      </c>
      <c r="E22" s="234">
        <f t="shared" si="11"/>
        <v>1000</v>
      </c>
      <c r="F22" s="234">
        <v>1000</v>
      </c>
      <c r="G22" s="234">
        <v>0</v>
      </c>
      <c r="H22" s="240">
        <f t="shared" si="12"/>
        <v>0</v>
      </c>
      <c r="I22" s="234"/>
      <c r="J22" s="234"/>
      <c r="K22" s="234"/>
      <c r="L22" s="234"/>
      <c r="M22" s="234"/>
      <c r="N22" s="234"/>
      <c r="O22" s="235"/>
      <c r="P22" s="235">
        <f t="shared" si="13"/>
        <v>1000</v>
      </c>
      <c r="Q22" s="234"/>
      <c r="R22" s="234"/>
      <c r="S22" s="234"/>
      <c r="T22" s="234"/>
      <c r="U22" s="234"/>
      <c r="V22" s="234"/>
      <c r="W22" s="234"/>
      <c r="X22" s="234"/>
      <c r="Y22" s="234"/>
      <c r="Z22" s="234"/>
      <c r="AA22" s="234"/>
      <c r="AB22" s="234"/>
      <c r="AC22" s="234"/>
      <c r="AD22" s="234"/>
      <c r="AE22" s="234">
        <v>1000</v>
      </c>
      <c r="AF22" s="234">
        <f t="shared" si="14"/>
        <v>0</v>
      </c>
      <c r="AG22" s="234"/>
      <c r="AH22" s="234"/>
      <c r="AI22" s="197">
        <f t="shared" si="10"/>
        <v>0</v>
      </c>
    </row>
    <row r="23" spans="1:36" s="198" customFormat="1" ht="26.1" customHeight="1">
      <c r="A23" s="190" t="s">
        <v>69</v>
      </c>
      <c r="B23" s="191" t="s">
        <v>260</v>
      </c>
      <c r="C23" s="230" t="s">
        <v>267</v>
      </c>
      <c r="D23" s="238">
        <v>3</v>
      </c>
      <c r="E23" s="234">
        <f t="shared" si="11"/>
        <v>141921</v>
      </c>
      <c r="F23" s="234">
        <v>141921</v>
      </c>
      <c r="G23" s="234">
        <v>0</v>
      </c>
      <c r="H23" s="240">
        <f t="shared" si="12"/>
        <v>20348</v>
      </c>
      <c r="I23" s="234"/>
      <c r="J23" s="234">
        <v>4000</v>
      </c>
      <c r="K23" s="234">
        <v>5000</v>
      </c>
      <c r="L23" s="234">
        <v>4500</v>
      </c>
      <c r="M23" s="234">
        <v>1000</v>
      </c>
      <c r="N23" s="234">
        <v>5000</v>
      </c>
      <c r="O23" s="235">
        <v>848</v>
      </c>
      <c r="P23" s="235">
        <f t="shared" si="13"/>
        <v>121573</v>
      </c>
      <c r="Q23" s="234">
        <v>2500</v>
      </c>
      <c r="R23" s="234">
        <v>22000</v>
      </c>
      <c r="S23" s="234">
        <v>25000</v>
      </c>
      <c r="T23" s="234">
        <v>3000</v>
      </c>
      <c r="U23" s="234">
        <v>13000</v>
      </c>
      <c r="V23" s="234">
        <v>5000</v>
      </c>
      <c r="W23" s="234">
        <v>4000</v>
      </c>
      <c r="X23" s="234">
        <v>22000</v>
      </c>
      <c r="Y23" s="234">
        <v>4000</v>
      </c>
      <c r="Z23" s="234">
        <v>8000</v>
      </c>
      <c r="AA23" s="234">
        <v>0</v>
      </c>
      <c r="AB23" s="234">
        <v>3600</v>
      </c>
      <c r="AC23" s="234">
        <v>4000</v>
      </c>
      <c r="AD23" s="234">
        <v>3000</v>
      </c>
      <c r="AE23" s="234">
        <v>2473</v>
      </c>
      <c r="AF23" s="234">
        <f t="shared" si="14"/>
        <v>0</v>
      </c>
      <c r="AG23" s="234"/>
      <c r="AH23" s="234"/>
      <c r="AI23" s="197">
        <f t="shared" si="10"/>
        <v>0</v>
      </c>
    </row>
    <row r="24" spans="1:36" s="198" customFormat="1" ht="26.1" customHeight="1">
      <c r="A24" s="190" t="s">
        <v>69</v>
      </c>
      <c r="B24" s="191" t="s">
        <v>260</v>
      </c>
      <c r="C24" s="230" t="s">
        <v>261</v>
      </c>
      <c r="D24" s="238">
        <v>3</v>
      </c>
      <c r="E24" s="234">
        <f t="shared" si="11"/>
        <v>200</v>
      </c>
      <c r="F24" s="234">
        <v>200</v>
      </c>
      <c r="G24" s="234"/>
      <c r="H24" s="240">
        <f t="shared" si="12"/>
        <v>100</v>
      </c>
      <c r="I24" s="234"/>
      <c r="J24" s="234"/>
      <c r="K24" s="234">
        <v>18</v>
      </c>
      <c r="L24" s="234">
        <v>40</v>
      </c>
      <c r="M24" s="234"/>
      <c r="N24" s="234">
        <v>42</v>
      </c>
      <c r="O24" s="235"/>
      <c r="P24" s="235">
        <f t="shared" si="13"/>
        <v>100</v>
      </c>
      <c r="Q24" s="234"/>
      <c r="R24" s="234">
        <v>8</v>
      </c>
      <c r="S24" s="234">
        <v>18</v>
      </c>
      <c r="T24" s="234"/>
      <c r="U24" s="234">
        <v>10</v>
      </c>
      <c r="V24" s="234">
        <v>10</v>
      </c>
      <c r="W24" s="234"/>
      <c r="X24" s="234">
        <v>18</v>
      </c>
      <c r="Y24" s="234">
        <v>18</v>
      </c>
      <c r="Z24" s="234">
        <v>18</v>
      </c>
      <c r="AA24" s="234"/>
      <c r="AB24" s="234"/>
      <c r="AC24" s="234"/>
      <c r="AD24" s="234"/>
      <c r="AE24" s="234"/>
      <c r="AF24" s="234">
        <f t="shared" si="14"/>
        <v>0</v>
      </c>
      <c r="AG24" s="234"/>
      <c r="AH24" s="234"/>
      <c r="AI24" s="197">
        <f t="shared" si="10"/>
        <v>0</v>
      </c>
    </row>
    <row r="25" spans="1:36" s="198" customFormat="1" ht="26.1" customHeight="1">
      <c r="A25" s="190" t="s">
        <v>379</v>
      </c>
      <c r="B25" s="191" t="s">
        <v>260</v>
      </c>
      <c r="C25" s="230" t="s">
        <v>268</v>
      </c>
      <c r="D25" s="238">
        <v>3</v>
      </c>
      <c r="E25" s="234">
        <f t="shared" si="11"/>
        <v>288400</v>
      </c>
      <c r="F25" s="234">
        <v>50700</v>
      </c>
      <c r="G25" s="234">
        <v>237700</v>
      </c>
      <c r="H25" s="240">
        <f t="shared" si="12"/>
        <v>86030</v>
      </c>
      <c r="I25" s="234"/>
      <c r="J25" s="234">
        <v>10500</v>
      </c>
      <c r="K25" s="234">
        <v>21900</v>
      </c>
      <c r="L25" s="234">
        <v>14500</v>
      </c>
      <c r="M25" s="234">
        <v>11320</v>
      </c>
      <c r="N25" s="234">
        <v>27810</v>
      </c>
      <c r="O25" s="235"/>
      <c r="P25" s="235">
        <f>SUM(Q25:AE25)</f>
        <v>202370</v>
      </c>
      <c r="Q25" s="234">
        <v>7030</v>
      </c>
      <c r="R25" s="234">
        <v>25000</v>
      </c>
      <c r="S25" s="234">
        <v>19650</v>
      </c>
      <c r="T25" s="234">
        <v>9750</v>
      </c>
      <c r="U25" s="234">
        <v>11800</v>
      </c>
      <c r="V25" s="234">
        <v>11400</v>
      </c>
      <c r="W25" s="234">
        <v>15530</v>
      </c>
      <c r="X25" s="234">
        <v>21530</v>
      </c>
      <c r="Y25" s="234">
        <v>17950</v>
      </c>
      <c r="Z25" s="234">
        <v>19450</v>
      </c>
      <c r="AA25" s="234">
        <v>1100</v>
      </c>
      <c r="AB25" s="234">
        <v>4130</v>
      </c>
      <c r="AC25" s="234">
        <v>17400</v>
      </c>
      <c r="AD25" s="234">
        <v>20650</v>
      </c>
      <c r="AE25" s="234"/>
      <c r="AF25" s="234">
        <f t="shared" si="14"/>
        <v>0</v>
      </c>
      <c r="AG25" s="234"/>
      <c r="AH25" s="234"/>
      <c r="AI25" s="197">
        <f t="shared" si="10"/>
        <v>0</v>
      </c>
    </row>
    <row r="26" spans="1:36" s="198" customFormat="1" ht="26.1" customHeight="1">
      <c r="A26" s="190" t="s">
        <v>69</v>
      </c>
      <c r="B26" s="191" t="s">
        <v>260</v>
      </c>
      <c r="C26" s="230" t="s">
        <v>269</v>
      </c>
      <c r="D26" s="238">
        <v>3</v>
      </c>
      <c r="E26" s="234">
        <f t="shared" si="11"/>
        <v>120000</v>
      </c>
      <c r="F26" s="234">
        <v>44500</v>
      </c>
      <c r="G26" s="234">
        <v>75500</v>
      </c>
      <c r="H26" s="240">
        <f t="shared" si="12"/>
        <v>36950</v>
      </c>
      <c r="I26" s="234"/>
      <c r="J26" s="234">
        <v>4450</v>
      </c>
      <c r="K26" s="234">
        <v>10650</v>
      </c>
      <c r="L26" s="234">
        <v>8700</v>
      </c>
      <c r="M26" s="234">
        <v>5050</v>
      </c>
      <c r="N26" s="234">
        <v>8100</v>
      </c>
      <c r="O26" s="235"/>
      <c r="P26" s="235">
        <f>SUM(Q26:AE26)</f>
        <v>83050</v>
      </c>
      <c r="Q26" s="234">
        <v>2740</v>
      </c>
      <c r="R26" s="234">
        <v>13550</v>
      </c>
      <c r="S26" s="234">
        <v>10650</v>
      </c>
      <c r="T26" s="234">
        <v>4700</v>
      </c>
      <c r="U26" s="234">
        <v>6300</v>
      </c>
      <c r="V26" s="234">
        <v>7600</v>
      </c>
      <c r="W26" s="234">
        <v>5750</v>
      </c>
      <c r="X26" s="234">
        <v>8380</v>
      </c>
      <c r="Y26" s="234">
        <v>7400</v>
      </c>
      <c r="Z26" s="234">
        <v>7330</v>
      </c>
      <c r="AA26" s="234">
        <v>1250</v>
      </c>
      <c r="AB26" s="234">
        <v>1260</v>
      </c>
      <c r="AC26" s="234">
        <v>3400</v>
      </c>
      <c r="AD26" s="234">
        <v>2740</v>
      </c>
      <c r="AE26" s="234"/>
      <c r="AF26" s="234">
        <f t="shared" si="14"/>
        <v>0</v>
      </c>
      <c r="AG26" s="234"/>
      <c r="AH26" s="234"/>
      <c r="AI26" s="197">
        <f t="shared" si="10"/>
        <v>0</v>
      </c>
    </row>
    <row r="27" spans="1:36" s="198" customFormat="1" ht="26.1" customHeight="1">
      <c r="A27" s="190" t="s">
        <v>942</v>
      </c>
      <c r="B27" s="191" t="s">
        <v>260</v>
      </c>
      <c r="C27" s="230" t="s">
        <v>270</v>
      </c>
      <c r="D27" s="238">
        <v>3</v>
      </c>
      <c r="E27" s="234">
        <f>SUM(H27,P27,AF27)</f>
        <v>73800</v>
      </c>
      <c r="F27" s="234">
        <v>73800</v>
      </c>
      <c r="G27" s="234">
        <v>0</v>
      </c>
      <c r="H27" s="240">
        <f t="shared" si="12"/>
        <v>28800</v>
      </c>
      <c r="I27" s="234"/>
      <c r="J27" s="234">
        <v>9000</v>
      </c>
      <c r="K27" s="234">
        <v>3800</v>
      </c>
      <c r="L27" s="234">
        <v>2500</v>
      </c>
      <c r="M27" s="234">
        <v>2250</v>
      </c>
      <c r="N27" s="234">
        <v>11250</v>
      </c>
      <c r="O27" s="235"/>
      <c r="P27" s="235">
        <f>SUM(Q27:AE27)</f>
        <v>45000</v>
      </c>
      <c r="Q27" s="234">
        <v>110</v>
      </c>
      <c r="R27" s="234">
        <v>11500</v>
      </c>
      <c r="S27" s="234">
        <v>2600</v>
      </c>
      <c r="T27" s="234">
        <v>530</v>
      </c>
      <c r="U27" s="234">
        <v>530</v>
      </c>
      <c r="V27" s="234">
        <v>2600</v>
      </c>
      <c r="W27" s="234">
        <v>3150</v>
      </c>
      <c r="X27" s="234">
        <v>5230</v>
      </c>
      <c r="Y27" s="234">
        <v>8370</v>
      </c>
      <c r="Z27" s="234">
        <v>7650</v>
      </c>
      <c r="AA27" s="234">
        <v>210</v>
      </c>
      <c r="AB27" s="234">
        <v>210</v>
      </c>
      <c r="AC27" s="234">
        <v>1260</v>
      </c>
      <c r="AD27" s="234">
        <v>1050</v>
      </c>
      <c r="AE27" s="234"/>
      <c r="AF27" s="234">
        <f t="shared" si="14"/>
        <v>0</v>
      </c>
      <c r="AG27" s="234"/>
      <c r="AH27" s="234"/>
      <c r="AI27" s="197">
        <f t="shared" si="10"/>
        <v>0</v>
      </c>
    </row>
    <row r="28" spans="1:36" s="198" customFormat="1" ht="26.1" customHeight="1">
      <c r="A28" s="190" t="s">
        <v>69</v>
      </c>
      <c r="B28" s="191" t="s">
        <v>260</v>
      </c>
      <c r="C28" s="230" t="s">
        <v>271</v>
      </c>
      <c r="D28" s="238">
        <v>3</v>
      </c>
      <c r="E28" s="234">
        <f>SUM(H28,P28,AF28)</f>
        <v>50000</v>
      </c>
      <c r="F28" s="234">
        <v>10800</v>
      </c>
      <c r="G28" s="234">
        <v>39200</v>
      </c>
      <c r="H28" s="240">
        <f t="shared" si="12"/>
        <v>12050</v>
      </c>
      <c r="I28" s="234"/>
      <c r="J28" s="234">
        <v>1000</v>
      </c>
      <c r="K28" s="234">
        <v>1300</v>
      </c>
      <c r="L28" s="234">
        <v>1550</v>
      </c>
      <c r="M28" s="234">
        <v>1200</v>
      </c>
      <c r="N28" s="234">
        <v>7000</v>
      </c>
      <c r="O28" s="235"/>
      <c r="P28" s="235">
        <f>SUM(Q28:AE28)</f>
        <v>37950</v>
      </c>
      <c r="Q28" s="234">
        <v>600</v>
      </c>
      <c r="R28" s="234">
        <v>7500</v>
      </c>
      <c r="S28" s="234">
        <v>8650</v>
      </c>
      <c r="T28" s="234">
        <v>500</v>
      </c>
      <c r="U28" s="234">
        <v>2000</v>
      </c>
      <c r="V28" s="234">
        <v>3000</v>
      </c>
      <c r="W28" s="234">
        <v>1300</v>
      </c>
      <c r="X28" s="234">
        <v>4000</v>
      </c>
      <c r="Y28" s="234">
        <v>4000</v>
      </c>
      <c r="Z28" s="234">
        <v>4500</v>
      </c>
      <c r="AA28" s="234">
        <v>500</v>
      </c>
      <c r="AB28" s="234">
        <v>500</v>
      </c>
      <c r="AC28" s="234">
        <v>800</v>
      </c>
      <c r="AD28" s="234">
        <v>100</v>
      </c>
      <c r="AE28" s="234"/>
      <c r="AF28" s="234">
        <f t="shared" si="14"/>
        <v>0</v>
      </c>
      <c r="AG28" s="234"/>
      <c r="AH28" s="234"/>
      <c r="AI28" s="197">
        <f t="shared" si="10"/>
        <v>0</v>
      </c>
    </row>
    <row r="29" spans="1:36" s="198" customFormat="1" ht="26.1" customHeight="1">
      <c r="A29" s="190"/>
      <c r="B29" s="191"/>
      <c r="C29" s="230"/>
      <c r="D29" s="238"/>
      <c r="E29" s="232">
        <f>E30+E64</f>
        <v>2086645</v>
      </c>
      <c r="F29" s="234">
        <f t="shared" ref="F29:AH29" si="15">F30+F64</f>
        <v>1457628</v>
      </c>
      <c r="G29" s="234">
        <f t="shared" si="15"/>
        <v>629017</v>
      </c>
      <c r="H29" s="232">
        <f t="shared" si="15"/>
        <v>318025</v>
      </c>
      <c r="I29" s="234">
        <f t="shared" si="15"/>
        <v>5283</v>
      </c>
      <c r="J29" s="234">
        <f t="shared" si="15"/>
        <v>33280</v>
      </c>
      <c r="K29" s="234">
        <f t="shared" si="15"/>
        <v>0</v>
      </c>
      <c r="L29" s="234">
        <f t="shared" si="15"/>
        <v>45948</v>
      </c>
      <c r="M29" s="234">
        <f t="shared" si="15"/>
        <v>5484</v>
      </c>
      <c r="N29" s="234">
        <f t="shared" si="15"/>
        <v>125111</v>
      </c>
      <c r="O29" s="235">
        <f t="shared" si="15"/>
        <v>58253</v>
      </c>
      <c r="P29" s="232">
        <f t="shared" si="15"/>
        <v>1768290</v>
      </c>
      <c r="Q29" s="234">
        <f t="shared" si="15"/>
        <v>147479</v>
      </c>
      <c r="R29" s="234">
        <f t="shared" si="15"/>
        <v>151315</v>
      </c>
      <c r="S29" s="234">
        <f t="shared" si="15"/>
        <v>114537</v>
      </c>
      <c r="T29" s="234">
        <f t="shared" si="15"/>
        <v>4425</v>
      </c>
      <c r="U29" s="234">
        <f t="shared" si="15"/>
        <v>109983</v>
      </c>
      <c r="V29" s="234">
        <f t="shared" si="15"/>
        <v>1869</v>
      </c>
      <c r="W29" s="234">
        <f t="shared" si="15"/>
        <v>71285</v>
      </c>
      <c r="X29" s="234">
        <f t="shared" si="15"/>
        <v>315858</v>
      </c>
      <c r="Y29" s="234">
        <f t="shared" si="15"/>
        <v>279745</v>
      </c>
      <c r="Z29" s="234">
        <f t="shared" si="15"/>
        <v>314751</v>
      </c>
      <c r="AA29" s="234">
        <f t="shared" si="15"/>
        <v>756</v>
      </c>
      <c r="AB29" s="234">
        <f t="shared" si="15"/>
        <v>8274</v>
      </c>
      <c r="AC29" s="234">
        <f t="shared" si="15"/>
        <v>3725</v>
      </c>
      <c r="AD29" s="234">
        <f t="shared" si="15"/>
        <v>2127</v>
      </c>
      <c r="AE29" s="234">
        <f t="shared" si="15"/>
        <v>242161</v>
      </c>
      <c r="AF29" s="232">
        <f t="shared" si="15"/>
        <v>330</v>
      </c>
      <c r="AG29" s="234">
        <f t="shared" si="15"/>
        <v>330</v>
      </c>
      <c r="AH29" s="234">
        <f t="shared" si="15"/>
        <v>0</v>
      </c>
      <c r="AI29" s="197">
        <f t="shared" si="10"/>
        <v>0</v>
      </c>
    </row>
    <row r="30" spans="1:36" s="198" customFormat="1" ht="26.1" customHeight="1">
      <c r="A30" s="190"/>
      <c r="B30" s="191"/>
      <c r="C30" s="230"/>
      <c r="D30" s="238"/>
      <c r="E30" s="245">
        <f t="shared" ref="E30:J30" si="16">SUM(E31:E63)</f>
        <v>2078645</v>
      </c>
      <c r="F30" s="234">
        <f t="shared" si="16"/>
        <v>1453068</v>
      </c>
      <c r="G30" s="234">
        <f t="shared" si="16"/>
        <v>625577</v>
      </c>
      <c r="H30" s="245">
        <f t="shared" si="16"/>
        <v>318025</v>
      </c>
      <c r="I30" s="234">
        <f t="shared" si="16"/>
        <v>5283</v>
      </c>
      <c r="J30" s="234">
        <f t="shared" si="16"/>
        <v>33280</v>
      </c>
      <c r="K30" s="234"/>
      <c r="L30" s="234">
        <f t="shared" ref="L30:AH30" si="17">SUM(L31:L63)</f>
        <v>45948</v>
      </c>
      <c r="M30" s="234">
        <f t="shared" si="17"/>
        <v>5484</v>
      </c>
      <c r="N30" s="234">
        <f t="shared" si="17"/>
        <v>125111</v>
      </c>
      <c r="O30" s="234">
        <f t="shared" si="17"/>
        <v>58253</v>
      </c>
      <c r="P30" s="245">
        <f t="shared" si="17"/>
        <v>1760290</v>
      </c>
      <c r="Q30" s="234">
        <f t="shared" si="17"/>
        <v>146829</v>
      </c>
      <c r="R30" s="234">
        <f t="shared" si="17"/>
        <v>151315</v>
      </c>
      <c r="S30" s="234">
        <f t="shared" si="17"/>
        <v>113987</v>
      </c>
      <c r="T30" s="234">
        <f t="shared" si="17"/>
        <v>3925</v>
      </c>
      <c r="U30" s="234">
        <f t="shared" si="17"/>
        <v>109983</v>
      </c>
      <c r="V30" s="234">
        <f t="shared" si="17"/>
        <v>1869</v>
      </c>
      <c r="W30" s="234">
        <f t="shared" si="17"/>
        <v>71285</v>
      </c>
      <c r="X30" s="234">
        <f t="shared" si="17"/>
        <v>313988</v>
      </c>
      <c r="Y30" s="234">
        <f t="shared" si="17"/>
        <v>278895</v>
      </c>
      <c r="Z30" s="234">
        <f t="shared" si="17"/>
        <v>313851</v>
      </c>
      <c r="AA30" s="234">
        <f t="shared" si="17"/>
        <v>756</v>
      </c>
      <c r="AB30" s="234">
        <f t="shared" si="17"/>
        <v>8044</v>
      </c>
      <c r="AC30" s="234">
        <f t="shared" si="17"/>
        <v>3375</v>
      </c>
      <c r="AD30" s="234">
        <f t="shared" si="17"/>
        <v>2127</v>
      </c>
      <c r="AE30" s="234">
        <f t="shared" si="17"/>
        <v>240061</v>
      </c>
      <c r="AF30" s="245">
        <f t="shared" si="17"/>
        <v>330</v>
      </c>
      <c r="AG30" s="234">
        <f t="shared" si="17"/>
        <v>330</v>
      </c>
      <c r="AH30" s="234">
        <f t="shared" si="17"/>
        <v>0</v>
      </c>
      <c r="AI30" s="197">
        <f t="shared" ref="AI30:AI63" si="18">IF(+F30+G30=E30,0,FALSE)</f>
        <v>0</v>
      </c>
    </row>
    <row r="31" spans="1:36" s="198" customFormat="1" ht="26.1" customHeight="1">
      <c r="A31" s="200" t="s">
        <v>69</v>
      </c>
      <c r="B31" s="191" t="s">
        <v>297</v>
      </c>
      <c r="C31" s="230" t="s">
        <v>783</v>
      </c>
      <c r="D31" s="238">
        <v>1</v>
      </c>
      <c r="E31" s="234">
        <f t="shared" ref="E31:E64" si="19">SUM(H31,P31,AF31)</f>
        <v>1929</v>
      </c>
      <c r="F31" s="234">
        <v>1929</v>
      </c>
      <c r="G31" s="234"/>
      <c r="H31" s="240">
        <f t="shared" ref="H31:H63" si="20">SUM(I31:O31)</f>
        <v>300</v>
      </c>
      <c r="I31" s="234"/>
      <c r="J31" s="234">
        <v>40</v>
      </c>
      <c r="K31" s="234">
        <v>40</v>
      </c>
      <c r="L31" s="234">
        <v>40</v>
      </c>
      <c r="M31" s="234"/>
      <c r="N31" s="234">
        <v>120</v>
      </c>
      <c r="O31" s="235">
        <v>60</v>
      </c>
      <c r="P31" s="235">
        <f t="shared" ref="P31:P63" si="21">SUM(Q31:AE31)</f>
        <v>1629</v>
      </c>
      <c r="Q31" s="234">
        <v>80</v>
      </c>
      <c r="R31" s="234">
        <v>120</v>
      </c>
      <c r="S31" s="234">
        <v>120</v>
      </c>
      <c r="T31" s="234"/>
      <c r="U31" s="234">
        <v>120</v>
      </c>
      <c r="V31" s="234"/>
      <c r="W31" s="234">
        <v>40</v>
      </c>
      <c r="X31" s="234">
        <v>360</v>
      </c>
      <c r="Y31" s="234">
        <v>399</v>
      </c>
      <c r="Z31" s="234">
        <v>390</v>
      </c>
      <c r="AA31" s="234"/>
      <c r="AB31" s="234"/>
      <c r="AC31" s="234"/>
      <c r="AD31" s="234"/>
      <c r="AE31" s="234"/>
      <c r="AF31" s="234">
        <f t="shared" ref="AF31:AF63" si="22">SUM(AG31:AH31)</f>
        <v>0</v>
      </c>
      <c r="AG31" s="234"/>
      <c r="AH31" s="234"/>
      <c r="AI31" s="197">
        <f t="shared" si="18"/>
        <v>0</v>
      </c>
      <c r="AJ31" s="261" t="e">
        <f>E31-'[22]報表-政事別表'!E6</f>
        <v>#REF!</v>
      </c>
    </row>
    <row r="32" spans="1:36" s="198" customFormat="1" ht="26.1" customHeight="1">
      <c r="A32" s="190" t="s">
        <v>69</v>
      </c>
      <c r="B32" s="191" t="s">
        <v>297</v>
      </c>
      <c r="C32" s="230" t="s">
        <v>784</v>
      </c>
      <c r="D32" s="238">
        <v>1</v>
      </c>
      <c r="E32" s="234">
        <f t="shared" si="19"/>
        <v>257787</v>
      </c>
      <c r="F32" s="234">
        <v>107120</v>
      </c>
      <c r="G32" s="234">
        <v>150667</v>
      </c>
      <c r="H32" s="240">
        <f t="shared" si="20"/>
        <v>46960</v>
      </c>
      <c r="I32" s="234"/>
      <c r="J32" s="234"/>
      <c r="K32" s="234"/>
      <c r="L32" s="234"/>
      <c r="M32" s="234"/>
      <c r="N32" s="234">
        <v>37900</v>
      </c>
      <c r="O32" s="235">
        <v>9060</v>
      </c>
      <c r="P32" s="235">
        <f t="shared" si="21"/>
        <v>210827</v>
      </c>
      <c r="Q32" s="234">
        <v>6670</v>
      </c>
      <c r="R32" s="234">
        <v>12514</v>
      </c>
      <c r="S32" s="234">
        <v>11097</v>
      </c>
      <c r="T32" s="234"/>
      <c r="U32" s="234">
        <v>6670</v>
      </c>
      <c r="V32" s="234"/>
      <c r="W32" s="234">
        <v>12966</v>
      </c>
      <c r="X32" s="234">
        <v>60906</v>
      </c>
      <c r="Y32" s="234">
        <v>13350</v>
      </c>
      <c r="Z32" s="234">
        <v>35960</v>
      </c>
      <c r="AA32" s="234"/>
      <c r="AB32" s="234"/>
      <c r="AC32" s="234"/>
      <c r="AD32" s="234"/>
      <c r="AE32" s="234">
        <v>50694</v>
      </c>
      <c r="AF32" s="234">
        <f t="shared" si="22"/>
        <v>0</v>
      </c>
      <c r="AG32" s="234"/>
      <c r="AH32" s="234"/>
      <c r="AI32" s="197">
        <f t="shared" si="18"/>
        <v>0</v>
      </c>
      <c r="AJ32" s="261" t="e">
        <f>E32-'[22]報表-政事別表'!E7</f>
        <v>#VALUE!</v>
      </c>
    </row>
    <row r="33" spans="1:36" s="198" customFormat="1" ht="26.1" customHeight="1">
      <c r="A33" s="190" t="s">
        <v>69</v>
      </c>
      <c r="B33" s="191" t="s">
        <v>297</v>
      </c>
      <c r="C33" s="230" t="s">
        <v>785</v>
      </c>
      <c r="D33" s="238">
        <v>1</v>
      </c>
      <c r="E33" s="234">
        <f t="shared" si="19"/>
        <v>9700</v>
      </c>
      <c r="F33" s="234">
        <v>9700</v>
      </c>
      <c r="G33" s="234"/>
      <c r="H33" s="240">
        <f t="shared" si="20"/>
        <v>1940</v>
      </c>
      <c r="I33" s="234">
        <v>300</v>
      </c>
      <c r="J33" s="234">
        <v>90</v>
      </c>
      <c r="K33" s="234">
        <v>300</v>
      </c>
      <c r="L33" s="234">
        <v>370</v>
      </c>
      <c r="M33" s="234">
        <v>150</v>
      </c>
      <c r="N33" s="234">
        <v>730</v>
      </c>
      <c r="O33" s="235"/>
      <c r="P33" s="235">
        <f t="shared" si="21"/>
        <v>7760</v>
      </c>
      <c r="Q33" s="234">
        <v>800</v>
      </c>
      <c r="R33" s="234">
        <v>1000</v>
      </c>
      <c r="S33" s="234">
        <v>600</v>
      </c>
      <c r="T33" s="234"/>
      <c r="U33" s="234">
        <v>1000</v>
      </c>
      <c r="V33" s="234"/>
      <c r="W33" s="234">
        <v>460</v>
      </c>
      <c r="X33" s="234">
        <v>1300</v>
      </c>
      <c r="Y33" s="234">
        <v>1200</v>
      </c>
      <c r="Z33" s="234">
        <v>1400</v>
      </c>
      <c r="AA33" s="234"/>
      <c r="AB33" s="234"/>
      <c r="AC33" s="234"/>
      <c r="AD33" s="234"/>
      <c r="AE33" s="234"/>
      <c r="AF33" s="234">
        <f t="shared" si="22"/>
        <v>0</v>
      </c>
      <c r="AG33" s="234"/>
      <c r="AH33" s="234"/>
      <c r="AI33" s="197">
        <f t="shared" si="18"/>
        <v>0</v>
      </c>
      <c r="AJ33" s="261" t="e">
        <f>E33-'[22]報表-政事別表'!E8</f>
        <v>#VALUE!</v>
      </c>
    </row>
    <row r="34" spans="1:36" s="198" customFormat="1" ht="26.1" customHeight="1">
      <c r="A34" s="190" t="s">
        <v>69</v>
      </c>
      <c r="B34" s="191" t="s">
        <v>297</v>
      </c>
      <c r="C34" s="230" t="s">
        <v>786</v>
      </c>
      <c r="D34" s="238">
        <v>1</v>
      </c>
      <c r="E34" s="234">
        <f t="shared" si="19"/>
        <v>5000</v>
      </c>
      <c r="F34" s="234">
        <v>5000</v>
      </c>
      <c r="G34" s="234"/>
      <c r="H34" s="240">
        <f t="shared" si="20"/>
        <v>0</v>
      </c>
      <c r="I34" s="234"/>
      <c r="J34" s="234"/>
      <c r="K34" s="234"/>
      <c r="L34" s="234"/>
      <c r="M34" s="234"/>
      <c r="N34" s="234"/>
      <c r="O34" s="235"/>
      <c r="P34" s="235">
        <f t="shared" si="21"/>
        <v>5000</v>
      </c>
      <c r="Q34" s="234"/>
      <c r="R34" s="234"/>
      <c r="S34" s="234"/>
      <c r="T34" s="234"/>
      <c r="U34" s="234"/>
      <c r="V34" s="234"/>
      <c r="W34" s="234"/>
      <c r="X34" s="234"/>
      <c r="Y34" s="234">
        <v>2500</v>
      </c>
      <c r="Z34" s="234">
        <v>2500</v>
      </c>
      <c r="AA34" s="234"/>
      <c r="AB34" s="234"/>
      <c r="AC34" s="234"/>
      <c r="AD34" s="234"/>
      <c r="AE34" s="234"/>
      <c r="AF34" s="234">
        <f t="shared" si="22"/>
        <v>0</v>
      </c>
      <c r="AG34" s="234"/>
      <c r="AH34" s="234"/>
      <c r="AI34" s="197">
        <f t="shared" si="18"/>
        <v>0</v>
      </c>
      <c r="AJ34" s="261" t="e">
        <f>E34-'[22]報表-政事別表'!E9</f>
        <v>#VALUE!</v>
      </c>
    </row>
    <row r="35" spans="1:36" s="198" customFormat="1" ht="26.1" customHeight="1">
      <c r="A35" s="190" t="s">
        <v>69</v>
      </c>
      <c r="B35" s="191" t="s">
        <v>297</v>
      </c>
      <c r="C35" s="230" t="s">
        <v>787</v>
      </c>
      <c r="D35" s="238">
        <v>1</v>
      </c>
      <c r="E35" s="234">
        <f t="shared" si="19"/>
        <v>20732</v>
      </c>
      <c r="F35" s="234">
        <v>20732</v>
      </c>
      <c r="G35" s="234"/>
      <c r="H35" s="240">
        <f t="shared" si="20"/>
        <v>580</v>
      </c>
      <c r="I35" s="234"/>
      <c r="J35" s="234">
        <v>20</v>
      </c>
      <c r="K35" s="234">
        <v>20</v>
      </c>
      <c r="L35" s="234">
        <v>20</v>
      </c>
      <c r="M35" s="234"/>
      <c r="N35" s="234">
        <v>20</v>
      </c>
      <c r="O35" s="235">
        <v>500</v>
      </c>
      <c r="P35" s="235">
        <f t="shared" si="21"/>
        <v>20152</v>
      </c>
      <c r="Q35" s="234">
        <v>20</v>
      </c>
      <c r="R35" s="234">
        <v>50</v>
      </c>
      <c r="S35" s="234">
        <v>60</v>
      </c>
      <c r="T35" s="234"/>
      <c r="U35" s="234">
        <v>90</v>
      </c>
      <c r="V35" s="234"/>
      <c r="W35" s="234">
        <v>55</v>
      </c>
      <c r="X35" s="234">
        <v>1050</v>
      </c>
      <c r="Y35" s="234">
        <v>3970</v>
      </c>
      <c r="Z35" s="234">
        <v>4760</v>
      </c>
      <c r="AA35" s="234"/>
      <c r="AB35" s="234"/>
      <c r="AC35" s="234"/>
      <c r="AD35" s="234"/>
      <c r="AE35" s="234">
        <v>10097</v>
      </c>
      <c r="AF35" s="234">
        <f t="shared" si="22"/>
        <v>0</v>
      </c>
      <c r="AG35" s="234"/>
      <c r="AH35" s="234"/>
      <c r="AI35" s="197">
        <f t="shared" si="18"/>
        <v>0</v>
      </c>
      <c r="AJ35" s="261">
        <f>E35-'[22]報表-政事別表'!E10</f>
        <v>-3299979268</v>
      </c>
    </row>
    <row r="36" spans="1:36" s="198" customFormat="1" ht="26.1" customHeight="1">
      <c r="A36" s="190" t="s">
        <v>69</v>
      </c>
      <c r="B36" s="191" t="s">
        <v>297</v>
      </c>
      <c r="C36" s="230" t="s">
        <v>788</v>
      </c>
      <c r="D36" s="238">
        <v>1</v>
      </c>
      <c r="E36" s="234">
        <f t="shared" si="19"/>
        <v>32154</v>
      </c>
      <c r="F36" s="234">
        <v>32154</v>
      </c>
      <c r="G36" s="234"/>
      <c r="H36" s="240">
        <f t="shared" si="20"/>
        <v>7230</v>
      </c>
      <c r="I36" s="234"/>
      <c r="J36" s="234"/>
      <c r="K36" s="234">
        <v>76</v>
      </c>
      <c r="L36" s="234">
        <v>129</v>
      </c>
      <c r="M36" s="234"/>
      <c r="N36" s="234">
        <v>189</v>
      </c>
      <c r="O36" s="235">
        <v>6836</v>
      </c>
      <c r="P36" s="235">
        <f t="shared" si="21"/>
        <v>24924</v>
      </c>
      <c r="Q36" s="234">
        <v>117</v>
      </c>
      <c r="R36" s="234">
        <v>77</v>
      </c>
      <c r="S36" s="234">
        <v>71</v>
      </c>
      <c r="T36" s="234"/>
      <c r="U36" s="234">
        <v>297</v>
      </c>
      <c r="V36" s="234"/>
      <c r="W36" s="234">
        <v>123</v>
      </c>
      <c r="X36" s="234">
        <v>650</v>
      </c>
      <c r="Y36" s="234">
        <v>1951</v>
      </c>
      <c r="Z36" s="234">
        <v>930</v>
      </c>
      <c r="AA36" s="234"/>
      <c r="AB36" s="234"/>
      <c r="AC36" s="234"/>
      <c r="AD36" s="234"/>
      <c r="AE36" s="234">
        <v>20708</v>
      </c>
      <c r="AF36" s="234">
        <f t="shared" si="22"/>
        <v>0</v>
      </c>
      <c r="AG36" s="234"/>
      <c r="AH36" s="234"/>
      <c r="AI36" s="197">
        <f t="shared" si="18"/>
        <v>0</v>
      </c>
      <c r="AJ36" s="261" t="e">
        <f>E36-'[22]報表-政事別表'!E11</f>
        <v>#VALUE!</v>
      </c>
    </row>
    <row r="37" spans="1:36" s="198" customFormat="1" ht="26.1" customHeight="1">
      <c r="A37" s="190" t="s">
        <v>69</v>
      </c>
      <c r="B37" s="191" t="s">
        <v>297</v>
      </c>
      <c r="C37" s="230" t="s">
        <v>789</v>
      </c>
      <c r="D37" s="238">
        <v>1</v>
      </c>
      <c r="E37" s="234">
        <f t="shared" si="19"/>
        <v>15510</v>
      </c>
      <c r="F37" s="234">
        <v>9000</v>
      </c>
      <c r="G37" s="234">
        <v>6510</v>
      </c>
      <c r="H37" s="240">
        <f t="shared" si="20"/>
        <v>3923</v>
      </c>
      <c r="I37" s="234"/>
      <c r="J37" s="234"/>
      <c r="K37" s="234">
        <v>81</v>
      </c>
      <c r="L37" s="234">
        <v>2088</v>
      </c>
      <c r="M37" s="234"/>
      <c r="N37" s="234">
        <v>18</v>
      </c>
      <c r="O37" s="235">
        <v>1736</v>
      </c>
      <c r="P37" s="235">
        <f t="shared" si="21"/>
        <v>11587</v>
      </c>
      <c r="Q37" s="234">
        <v>32</v>
      </c>
      <c r="R37" s="234">
        <v>450</v>
      </c>
      <c r="S37" s="234">
        <v>446</v>
      </c>
      <c r="T37" s="234"/>
      <c r="U37" s="234">
        <v>2757</v>
      </c>
      <c r="V37" s="234"/>
      <c r="W37" s="234">
        <v>24</v>
      </c>
      <c r="X37" s="234">
        <v>518</v>
      </c>
      <c r="Y37" s="234">
        <v>581</v>
      </c>
      <c r="Z37" s="234">
        <v>504</v>
      </c>
      <c r="AA37" s="234"/>
      <c r="AB37" s="234"/>
      <c r="AC37" s="234"/>
      <c r="AD37" s="234"/>
      <c r="AE37" s="234">
        <v>6275</v>
      </c>
      <c r="AF37" s="234">
        <f t="shared" si="22"/>
        <v>0</v>
      </c>
      <c r="AG37" s="234"/>
      <c r="AH37" s="234"/>
      <c r="AI37" s="197">
        <f t="shared" si="18"/>
        <v>0</v>
      </c>
      <c r="AJ37" s="261">
        <f>E37-'[22]報表-政事別表'!E12</f>
        <v>-3302994490</v>
      </c>
    </row>
    <row r="38" spans="1:36" s="198" customFormat="1" ht="26.1" customHeight="1">
      <c r="A38" s="190" t="s">
        <v>69</v>
      </c>
      <c r="B38" s="191" t="s">
        <v>297</v>
      </c>
      <c r="C38" s="230" t="s">
        <v>790</v>
      </c>
      <c r="D38" s="238">
        <v>1</v>
      </c>
      <c r="E38" s="234">
        <f t="shared" si="19"/>
        <v>1000</v>
      </c>
      <c r="F38" s="234">
        <v>1000</v>
      </c>
      <c r="G38" s="234"/>
      <c r="H38" s="240">
        <f t="shared" si="20"/>
        <v>0</v>
      </c>
      <c r="I38" s="234"/>
      <c r="J38" s="234"/>
      <c r="K38" s="234"/>
      <c r="L38" s="234"/>
      <c r="M38" s="234"/>
      <c r="N38" s="234"/>
      <c r="O38" s="235"/>
      <c r="P38" s="235">
        <f t="shared" si="21"/>
        <v>1000</v>
      </c>
      <c r="Q38" s="234"/>
      <c r="R38" s="234"/>
      <c r="S38" s="234"/>
      <c r="T38" s="234"/>
      <c r="U38" s="234"/>
      <c r="V38" s="234"/>
      <c r="W38" s="234"/>
      <c r="X38" s="234"/>
      <c r="Y38" s="234"/>
      <c r="Z38" s="234"/>
      <c r="AA38" s="234"/>
      <c r="AB38" s="234"/>
      <c r="AC38" s="234"/>
      <c r="AD38" s="234"/>
      <c r="AE38" s="234">
        <v>1000</v>
      </c>
      <c r="AF38" s="234">
        <f t="shared" si="22"/>
        <v>0</v>
      </c>
      <c r="AG38" s="234"/>
      <c r="AH38" s="234"/>
      <c r="AI38" s="197">
        <f t="shared" si="18"/>
        <v>0</v>
      </c>
      <c r="AJ38" s="261" t="e">
        <f>E38-'[22]報表-政事別表'!E13</f>
        <v>#VALUE!</v>
      </c>
    </row>
    <row r="39" spans="1:36" s="198" customFormat="1" ht="26.1" customHeight="1">
      <c r="A39" s="190" t="s">
        <v>69</v>
      </c>
      <c r="B39" s="191" t="s">
        <v>297</v>
      </c>
      <c r="C39" s="230" t="s">
        <v>791</v>
      </c>
      <c r="D39" s="238">
        <v>1</v>
      </c>
      <c r="E39" s="234">
        <f t="shared" si="19"/>
        <v>2000</v>
      </c>
      <c r="F39" s="234">
        <v>2000</v>
      </c>
      <c r="G39" s="234"/>
      <c r="H39" s="240">
        <f t="shared" si="20"/>
        <v>1400</v>
      </c>
      <c r="I39" s="234">
        <v>750</v>
      </c>
      <c r="J39" s="234"/>
      <c r="K39" s="234"/>
      <c r="L39" s="234"/>
      <c r="M39" s="234"/>
      <c r="N39" s="234">
        <v>646</v>
      </c>
      <c r="O39" s="235">
        <v>4</v>
      </c>
      <c r="P39" s="235">
        <f t="shared" si="21"/>
        <v>600</v>
      </c>
      <c r="Q39" s="234"/>
      <c r="R39" s="234"/>
      <c r="S39" s="234"/>
      <c r="T39" s="234"/>
      <c r="U39" s="234"/>
      <c r="V39" s="234"/>
      <c r="W39" s="234"/>
      <c r="X39" s="234"/>
      <c r="Y39" s="234"/>
      <c r="Z39" s="234"/>
      <c r="AA39" s="234"/>
      <c r="AB39" s="234"/>
      <c r="AC39" s="234"/>
      <c r="AD39" s="234"/>
      <c r="AE39" s="234">
        <v>600</v>
      </c>
      <c r="AF39" s="234">
        <f t="shared" si="22"/>
        <v>0</v>
      </c>
      <c r="AG39" s="234"/>
      <c r="AH39" s="234"/>
      <c r="AI39" s="197">
        <f t="shared" si="18"/>
        <v>0</v>
      </c>
      <c r="AJ39" s="261">
        <f>E39-'[22]報表-政事別表'!E14</f>
        <v>-3303010500</v>
      </c>
    </row>
    <row r="40" spans="1:36" s="198" customFormat="1" ht="26.1" customHeight="1">
      <c r="A40" s="190" t="s">
        <v>69</v>
      </c>
      <c r="B40" s="191" t="s">
        <v>297</v>
      </c>
      <c r="C40" s="230" t="s">
        <v>792</v>
      </c>
      <c r="D40" s="238">
        <v>1</v>
      </c>
      <c r="E40" s="234">
        <f t="shared" si="19"/>
        <v>3000</v>
      </c>
      <c r="F40" s="234">
        <v>3000</v>
      </c>
      <c r="G40" s="234"/>
      <c r="H40" s="240">
        <f t="shared" si="20"/>
        <v>1100</v>
      </c>
      <c r="I40" s="234">
        <v>200</v>
      </c>
      <c r="J40" s="234">
        <v>200</v>
      </c>
      <c r="K40" s="234">
        <v>200</v>
      </c>
      <c r="L40" s="234">
        <v>200</v>
      </c>
      <c r="M40" s="234">
        <v>100</v>
      </c>
      <c r="N40" s="234">
        <v>200</v>
      </c>
      <c r="O40" s="235">
        <v>0</v>
      </c>
      <c r="P40" s="235">
        <f t="shared" si="21"/>
        <v>1820</v>
      </c>
      <c r="Q40" s="234">
        <v>190</v>
      </c>
      <c r="R40" s="234">
        <v>190</v>
      </c>
      <c r="S40" s="234">
        <v>90</v>
      </c>
      <c r="T40" s="234">
        <v>50</v>
      </c>
      <c r="U40" s="234">
        <v>190</v>
      </c>
      <c r="V40" s="234">
        <v>50</v>
      </c>
      <c r="W40" s="234">
        <v>90</v>
      </c>
      <c r="X40" s="234">
        <v>190</v>
      </c>
      <c r="Y40" s="234">
        <v>250</v>
      </c>
      <c r="Z40" s="234">
        <v>250</v>
      </c>
      <c r="AA40" s="234">
        <v>20</v>
      </c>
      <c r="AB40" s="234">
        <v>160</v>
      </c>
      <c r="AC40" s="234">
        <v>50</v>
      </c>
      <c r="AD40" s="234">
        <v>50</v>
      </c>
      <c r="AE40" s="234"/>
      <c r="AF40" s="234">
        <f t="shared" si="22"/>
        <v>80</v>
      </c>
      <c r="AG40" s="234">
        <v>80</v>
      </c>
      <c r="AH40" s="234"/>
      <c r="AI40" s="197">
        <f t="shared" si="18"/>
        <v>0</v>
      </c>
      <c r="AJ40" s="261" t="e">
        <f>E40-'[22]報表-政事別表'!E15</f>
        <v>#VALUE!</v>
      </c>
    </row>
    <row r="41" spans="1:36" s="198" customFormat="1" ht="26.1" customHeight="1">
      <c r="A41" s="190" t="s">
        <v>69</v>
      </c>
      <c r="B41" s="191" t="s">
        <v>297</v>
      </c>
      <c r="C41" s="230" t="s">
        <v>793</v>
      </c>
      <c r="D41" s="238">
        <v>1</v>
      </c>
      <c r="E41" s="234">
        <f t="shared" si="19"/>
        <v>72000</v>
      </c>
      <c r="F41" s="234"/>
      <c r="G41" s="234">
        <v>72000</v>
      </c>
      <c r="H41" s="240">
        <f t="shared" si="20"/>
        <v>36000</v>
      </c>
      <c r="I41" s="234">
        <v>500</v>
      </c>
      <c r="J41" s="234">
        <v>3900</v>
      </c>
      <c r="K41" s="234">
        <v>9000</v>
      </c>
      <c r="L41" s="234">
        <v>6200</v>
      </c>
      <c r="M41" s="234">
        <v>1100</v>
      </c>
      <c r="N41" s="234">
        <v>7100</v>
      </c>
      <c r="O41" s="235">
        <v>8200</v>
      </c>
      <c r="P41" s="235">
        <f t="shared" si="21"/>
        <v>35750</v>
      </c>
      <c r="Q41" s="234">
        <v>4200</v>
      </c>
      <c r="R41" s="234">
        <v>4500</v>
      </c>
      <c r="S41" s="234">
        <v>1500</v>
      </c>
      <c r="T41" s="234">
        <v>200</v>
      </c>
      <c r="U41" s="234">
        <v>6200</v>
      </c>
      <c r="V41" s="234">
        <v>200</v>
      </c>
      <c r="W41" s="234">
        <v>200</v>
      </c>
      <c r="X41" s="234">
        <v>750</v>
      </c>
      <c r="Y41" s="234">
        <v>7500</v>
      </c>
      <c r="Z41" s="234">
        <v>9000</v>
      </c>
      <c r="AA41" s="234">
        <v>200</v>
      </c>
      <c r="AB41" s="234">
        <v>900</v>
      </c>
      <c r="AC41" s="234">
        <v>200</v>
      </c>
      <c r="AD41" s="234">
        <v>200</v>
      </c>
      <c r="AE41" s="234"/>
      <c r="AF41" s="234">
        <f t="shared" si="22"/>
        <v>250</v>
      </c>
      <c r="AG41" s="234">
        <v>250</v>
      </c>
      <c r="AH41" s="234"/>
      <c r="AI41" s="197">
        <f t="shared" si="18"/>
        <v>0</v>
      </c>
      <c r="AJ41" s="261">
        <f>E41-'[22]報表-政事別表'!E16</f>
        <v>-3499928000</v>
      </c>
    </row>
    <row r="42" spans="1:36" s="198" customFormat="1" ht="26.1" customHeight="1">
      <c r="A42" s="190" t="s">
        <v>69</v>
      </c>
      <c r="B42" s="191" t="s">
        <v>297</v>
      </c>
      <c r="C42" s="230" t="s">
        <v>794</v>
      </c>
      <c r="D42" s="238">
        <v>1</v>
      </c>
      <c r="E42" s="234">
        <f t="shared" si="19"/>
        <v>2000</v>
      </c>
      <c r="F42" s="234"/>
      <c r="G42" s="234">
        <v>2000</v>
      </c>
      <c r="H42" s="240">
        <f t="shared" si="20"/>
        <v>2000</v>
      </c>
      <c r="I42" s="234"/>
      <c r="J42" s="234"/>
      <c r="K42" s="234"/>
      <c r="L42" s="234">
        <v>2000</v>
      </c>
      <c r="M42" s="234"/>
      <c r="N42" s="234"/>
      <c r="O42" s="235"/>
      <c r="P42" s="235">
        <f t="shared" si="21"/>
        <v>0</v>
      </c>
      <c r="Q42" s="234"/>
      <c r="R42" s="234"/>
      <c r="S42" s="234"/>
      <c r="T42" s="234"/>
      <c r="U42" s="234"/>
      <c r="V42" s="234"/>
      <c r="W42" s="234"/>
      <c r="X42" s="234"/>
      <c r="Y42" s="234"/>
      <c r="Z42" s="234"/>
      <c r="AA42" s="234"/>
      <c r="AB42" s="234"/>
      <c r="AC42" s="234"/>
      <c r="AD42" s="234"/>
      <c r="AE42" s="234"/>
      <c r="AF42" s="234">
        <f t="shared" si="22"/>
        <v>0</v>
      </c>
      <c r="AG42" s="234"/>
      <c r="AH42" s="234"/>
      <c r="AI42" s="197">
        <f t="shared" si="18"/>
        <v>0</v>
      </c>
      <c r="AJ42" s="261" t="e">
        <f>E42-'[22]報表-政事別表'!E17</f>
        <v>#VALUE!</v>
      </c>
    </row>
    <row r="43" spans="1:36" s="198" customFormat="1" ht="26.1" customHeight="1">
      <c r="A43" s="190" t="s">
        <v>69</v>
      </c>
      <c r="B43" s="191" t="s">
        <v>297</v>
      </c>
      <c r="C43" s="230" t="s">
        <v>795</v>
      </c>
      <c r="D43" s="238">
        <v>1</v>
      </c>
      <c r="E43" s="234">
        <f t="shared" si="19"/>
        <v>7500</v>
      </c>
      <c r="F43" s="234">
        <v>2000</v>
      </c>
      <c r="G43" s="234">
        <v>5500</v>
      </c>
      <c r="H43" s="240">
        <f t="shared" si="20"/>
        <v>3500</v>
      </c>
      <c r="I43" s="234"/>
      <c r="J43" s="234"/>
      <c r="K43" s="234"/>
      <c r="L43" s="234"/>
      <c r="M43" s="234"/>
      <c r="N43" s="234"/>
      <c r="O43" s="235">
        <v>3500</v>
      </c>
      <c r="P43" s="235">
        <f t="shared" si="21"/>
        <v>4000</v>
      </c>
      <c r="Q43" s="234"/>
      <c r="R43" s="234"/>
      <c r="S43" s="234"/>
      <c r="T43" s="234"/>
      <c r="U43" s="234"/>
      <c r="V43" s="234"/>
      <c r="W43" s="234"/>
      <c r="X43" s="234"/>
      <c r="Y43" s="234"/>
      <c r="Z43" s="234"/>
      <c r="AA43" s="234"/>
      <c r="AB43" s="234"/>
      <c r="AC43" s="234"/>
      <c r="AD43" s="234"/>
      <c r="AE43" s="234">
        <v>4000</v>
      </c>
      <c r="AF43" s="234">
        <f t="shared" si="22"/>
        <v>0</v>
      </c>
      <c r="AG43" s="234"/>
      <c r="AH43" s="234"/>
      <c r="AI43" s="197">
        <f t="shared" si="18"/>
        <v>0</v>
      </c>
      <c r="AJ43" s="261">
        <f>E43-'[22]報表-政事別表'!E18</f>
        <v>-3523002500</v>
      </c>
    </row>
    <row r="44" spans="1:36" s="198" customFormat="1" ht="26.1" customHeight="1">
      <c r="A44" s="190" t="s">
        <v>69</v>
      </c>
      <c r="B44" s="191" t="s">
        <v>297</v>
      </c>
      <c r="C44" s="230" t="s">
        <v>796</v>
      </c>
      <c r="D44" s="238">
        <v>1</v>
      </c>
      <c r="E44" s="234">
        <f t="shared" si="19"/>
        <v>477100</v>
      </c>
      <c r="F44" s="234">
        <v>477100</v>
      </c>
      <c r="G44" s="234"/>
      <c r="H44" s="240">
        <f t="shared" si="20"/>
        <v>35419</v>
      </c>
      <c r="I44" s="234"/>
      <c r="J44" s="234"/>
      <c r="K44" s="234">
        <v>4840</v>
      </c>
      <c r="L44" s="234">
        <v>8000</v>
      </c>
      <c r="M44" s="234"/>
      <c r="N44" s="234">
        <v>22579</v>
      </c>
      <c r="O44" s="235"/>
      <c r="P44" s="235">
        <f t="shared" si="21"/>
        <v>441681</v>
      </c>
      <c r="Q44" s="234">
        <v>88799</v>
      </c>
      <c r="R44" s="234">
        <v>70405</v>
      </c>
      <c r="S44" s="234">
        <v>42907</v>
      </c>
      <c r="T44" s="234"/>
      <c r="U44" s="234">
        <v>35395</v>
      </c>
      <c r="V44" s="234"/>
      <c r="W44" s="234">
        <v>34698</v>
      </c>
      <c r="X44" s="234">
        <v>54330</v>
      </c>
      <c r="Y44" s="234">
        <v>57286</v>
      </c>
      <c r="Z44" s="234">
        <v>24595</v>
      </c>
      <c r="AA44" s="234"/>
      <c r="AB44" s="234"/>
      <c r="AC44" s="234"/>
      <c r="AD44" s="234"/>
      <c r="AE44" s="234">
        <v>33266</v>
      </c>
      <c r="AF44" s="234">
        <f t="shared" si="22"/>
        <v>0</v>
      </c>
      <c r="AG44" s="234"/>
      <c r="AH44" s="234"/>
      <c r="AI44" s="197">
        <f t="shared" si="18"/>
        <v>0</v>
      </c>
      <c r="AJ44" s="261" t="e">
        <f>E44-'[22]報表-政事別表'!E19</f>
        <v>#VALUE!</v>
      </c>
    </row>
    <row r="45" spans="1:36" s="198" customFormat="1" ht="26.1" customHeight="1">
      <c r="A45" s="190" t="s">
        <v>69</v>
      </c>
      <c r="B45" s="191" t="s">
        <v>297</v>
      </c>
      <c r="C45" s="230" t="s">
        <v>797</v>
      </c>
      <c r="D45" s="238">
        <v>1</v>
      </c>
      <c r="E45" s="234">
        <f t="shared" si="19"/>
        <v>172800</v>
      </c>
      <c r="F45" s="234">
        <v>20000</v>
      </c>
      <c r="G45" s="234">
        <v>152800</v>
      </c>
      <c r="H45" s="240">
        <f t="shared" si="20"/>
        <v>14000</v>
      </c>
      <c r="I45" s="234"/>
      <c r="J45" s="234">
        <v>3000</v>
      </c>
      <c r="K45" s="234">
        <v>5000</v>
      </c>
      <c r="L45" s="234">
        <v>3000</v>
      </c>
      <c r="M45" s="234"/>
      <c r="N45" s="234">
        <v>3000</v>
      </c>
      <c r="O45" s="235"/>
      <c r="P45" s="235">
        <f t="shared" si="21"/>
        <v>158800</v>
      </c>
      <c r="Q45" s="234">
        <v>5000</v>
      </c>
      <c r="R45" s="234">
        <v>6000</v>
      </c>
      <c r="S45" s="234">
        <v>8000</v>
      </c>
      <c r="T45" s="234"/>
      <c r="U45" s="234">
        <v>8000</v>
      </c>
      <c r="V45" s="234"/>
      <c r="W45" s="234">
        <v>3800</v>
      </c>
      <c r="X45" s="234">
        <v>28000</v>
      </c>
      <c r="Y45" s="234">
        <v>50000</v>
      </c>
      <c r="Z45" s="234">
        <v>50000</v>
      </c>
      <c r="AA45" s="234"/>
      <c r="AB45" s="234"/>
      <c r="AC45" s="234"/>
      <c r="AD45" s="234"/>
      <c r="AE45" s="234"/>
      <c r="AF45" s="234">
        <f t="shared" si="22"/>
        <v>0</v>
      </c>
      <c r="AG45" s="234"/>
      <c r="AH45" s="234"/>
      <c r="AI45" s="197">
        <f t="shared" si="18"/>
        <v>0</v>
      </c>
      <c r="AJ45" s="261">
        <f>E45-'[22]報表-政事別表'!E20</f>
        <v>-3522841200</v>
      </c>
    </row>
    <row r="46" spans="1:36" s="198" customFormat="1" ht="26.1" customHeight="1">
      <c r="A46" s="190" t="s">
        <v>69</v>
      </c>
      <c r="B46" s="191" t="s">
        <v>297</v>
      </c>
      <c r="C46" s="230" t="s">
        <v>798</v>
      </c>
      <c r="D46" s="238">
        <v>1</v>
      </c>
      <c r="E46" s="234">
        <f t="shared" si="19"/>
        <v>16000</v>
      </c>
      <c r="F46" s="234"/>
      <c r="G46" s="234">
        <v>16000</v>
      </c>
      <c r="H46" s="240">
        <f t="shared" si="20"/>
        <v>9000</v>
      </c>
      <c r="I46" s="234"/>
      <c r="J46" s="234"/>
      <c r="K46" s="234"/>
      <c r="L46" s="234"/>
      <c r="M46" s="234"/>
      <c r="N46" s="234"/>
      <c r="O46" s="235">
        <v>9000</v>
      </c>
      <c r="P46" s="235">
        <f t="shared" si="21"/>
        <v>7000</v>
      </c>
      <c r="Q46" s="234"/>
      <c r="R46" s="234"/>
      <c r="S46" s="234"/>
      <c r="T46" s="234"/>
      <c r="U46" s="234"/>
      <c r="V46" s="234"/>
      <c r="W46" s="234"/>
      <c r="X46" s="234"/>
      <c r="Y46" s="234"/>
      <c r="Z46" s="234"/>
      <c r="AA46" s="234"/>
      <c r="AB46" s="234"/>
      <c r="AC46" s="234"/>
      <c r="AD46" s="234"/>
      <c r="AE46" s="234">
        <v>7000</v>
      </c>
      <c r="AF46" s="234">
        <f t="shared" si="22"/>
        <v>0</v>
      </c>
      <c r="AG46" s="234"/>
      <c r="AH46" s="234"/>
      <c r="AI46" s="197">
        <f t="shared" si="18"/>
        <v>0</v>
      </c>
      <c r="AJ46" s="261" t="e">
        <f>E46-'[22]報表-政事別表'!E21</f>
        <v>#VALUE!</v>
      </c>
    </row>
    <row r="47" spans="1:36" s="198" customFormat="1" ht="26.1" customHeight="1">
      <c r="A47" s="190" t="s">
        <v>69</v>
      </c>
      <c r="B47" s="191" t="s">
        <v>297</v>
      </c>
      <c r="C47" s="230" t="s">
        <v>799</v>
      </c>
      <c r="D47" s="238">
        <v>1</v>
      </c>
      <c r="E47" s="234">
        <f t="shared" si="19"/>
        <v>590000</v>
      </c>
      <c r="F47" s="234">
        <v>390000</v>
      </c>
      <c r="G47" s="234">
        <v>200000</v>
      </c>
      <c r="H47" s="240">
        <f t="shared" si="20"/>
        <v>59000</v>
      </c>
      <c r="I47" s="234"/>
      <c r="J47" s="234">
        <v>9293</v>
      </c>
      <c r="K47" s="234">
        <v>2236</v>
      </c>
      <c r="L47" s="234">
        <v>11575</v>
      </c>
      <c r="M47" s="234"/>
      <c r="N47" s="234">
        <v>35896</v>
      </c>
      <c r="O47" s="235"/>
      <c r="P47" s="235">
        <f t="shared" si="21"/>
        <v>531000</v>
      </c>
      <c r="Q47" s="234">
        <v>27686</v>
      </c>
      <c r="R47" s="234">
        <v>45039</v>
      </c>
      <c r="S47" s="234">
        <v>36374</v>
      </c>
      <c r="T47" s="234"/>
      <c r="U47" s="234">
        <v>32493</v>
      </c>
      <c r="V47" s="234"/>
      <c r="W47" s="234">
        <v>13055</v>
      </c>
      <c r="X47" s="234">
        <v>121590</v>
      </c>
      <c r="Y47" s="234">
        <v>106846</v>
      </c>
      <c r="Z47" s="234">
        <v>147917</v>
      </c>
      <c r="AA47" s="234">
        <v>0</v>
      </c>
      <c r="AB47" s="234"/>
      <c r="AC47" s="234"/>
      <c r="AD47" s="234"/>
      <c r="AE47" s="234"/>
      <c r="AF47" s="234">
        <f t="shared" si="22"/>
        <v>0</v>
      </c>
      <c r="AG47" s="234"/>
      <c r="AH47" s="234"/>
      <c r="AI47" s="197">
        <f t="shared" si="18"/>
        <v>0</v>
      </c>
      <c r="AJ47" s="261">
        <f>E47-'[22]報表-政事別表'!E22</f>
        <v>-3799410000</v>
      </c>
    </row>
    <row r="48" spans="1:36" s="198" customFormat="1" ht="26.1" customHeight="1">
      <c r="A48" s="190" t="s">
        <v>69</v>
      </c>
      <c r="B48" s="191" t="s">
        <v>297</v>
      </c>
      <c r="C48" s="230" t="s">
        <v>800</v>
      </c>
      <c r="D48" s="238">
        <v>3</v>
      </c>
      <c r="E48" s="234">
        <f t="shared" si="19"/>
        <v>14831</v>
      </c>
      <c r="F48" s="234">
        <v>10831</v>
      </c>
      <c r="G48" s="234">
        <v>4000</v>
      </c>
      <c r="H48" s="240">
        <f t="shared" si="20"/>
        <v>5215</v>
      </c>
      <c r="I48" s="234"/>
      <c r="J48" s="234"/>
      <c r="K48" s="234">
        <v>200</v>
      </c>
      <c r="L48" s="234">
        <v>200</v>
      </c>
      <c r="M48" s="234"/>
      <c r="N48" s="234">
        <v>325</v>
      </c>
      <c r="O48" s="235">
        <v>4490</v>
      </c>
      <c r="P48" s="235">
        <f t="shared" si="21"/>
        <v>9616</v>
      </c>
      <c r="Q48" s="234">
        <v>380</v>
      </c>
      <c r="R48" s="234">
        <v>420</v>
      </c>
      <c r="S48" s="234">
        <v>1510</v>
      </c>
      <c r="T48" s="234"/>
      <c r="U48" s="234">
        <v>240</v>
      </c>
      <c r="V48" s="234"/>
      <c r="W48" s="234">
        <v>350</v>
      </c>
      <c r="X48" s="234">
        <v>2406</v>
      </c>
      <c r="Y48" s="234">
        <v>2590</v>
      </c>
      <c r="Z48" s="234">
        <v>1520</v>
      </c>
      <c r="AA48" s="234"/>
      <c r="AB48" s="234"/>
      <c r="AC48" s="234"/>
      <c r="AD48" s="234">
        <v>200</v>
      </c>
      <c r="AE48" s="234"/>
      <c r="AF48" s="234">
        <f t="shared" si="22"/>
        <v>0</v>
      </c>
      <c r="AG48" s="234"/>
      <c r="AH48" s="234"/>
      <c r="AI48" s="197">
        <f t="shared" si="18"/>
        <v>0</v>
      </c>
      <c r="AJ48" s="261" t="e">
        <f>E48-'[22]報表-政事別表'!E23</f>
        <v>#VALUE!</v>
      </c>
    </row>
    <row r="49" spans="1:36" s="198" customFormat="1" ht="26.1" customHeight="1">
      <c r="A49" s="190" t="s">
        <v>69</v>
      </c>
      <c r="B49" s="191" t="s">
        <v>297</v>
      </c>
      <c r="C49" s="230" t="s">
        <v>801</v>
      </c>
      <c r="D49" s="238">
        <v>3</v>
      </c>
      <c r="E49" s="234">
        <f t="shared" si="19"/>
        <v>138900</v>
      </c>
      <c r="F49" s="234">
        <v>134400</v>
      </c>
      <c r="G49" s="234">
        <v>4500</v>
      </c>
      <c r="H49" s="240">
        <f t="shared" si="20"/>
        <v>11180</v>
      </c>
      <c r="I49" s="234"/>
      <c r="J49" s="234">
        <v>1000</v>
      </c>
      <c r="K49" s="234">
        <v>3800</v>
      </c>
      <c r="L49" s="234">
        <v>1000</v>
      </c>
      <c r="M49" s="234"/>
      <c r="N49" s="234">
        <v>4000</v>
      </c>
      <c r="O49" s="235">
        <v>1380</v>
      </c>
      <c r="P49" s="235">
        <f t="shared" si="21"/>
        <v>127720</v>
      </c>
      <c r="Q49" s="234">
        <v>5000</v>
      </c>
      <c r="R49" s="234">
        <v>4000</v>
      </c>
      <c r="S49" s="234">
        <v>1900</v>
      </c>
      <c r="T49" s="234"/>
      <c r="U49" s="234">
        <v>6500</v>
      </c>
      <c r="V49" s="234"/>
      <c r="W49" s="234">
        <v>1000</v>
      </c>
      <c r="X49" s="234">
        <v>21000</v>
      </c>
      <c r="Y49" s="234">
        <v>16000</v>
      </c>
      <c r="Z49" s="234">
        <v>20000</v>
      </c>
      <c r="AA49" s="234"/>
      <c r="AB49" s="234"/>
      <c r="AC49" s="234"/>
      <c r="AD49" s="234"/>
      <c r="AE49" s="234">
        <v>52320</v>
      </c>
      <c r="AF49" s="234">
        <f t="shared" si="22"/>
        <v>0</v>
      </c>
      <c r="AG49" s="234"/>
      <c r="AH49" s="234"/>
      <c r="AI49" s="197">
        <f t="shared" si="18"/>
        <v>0</v>
      </c>
      <c r="AJ49" s="261">
        <f>E49-'[22]報表-政事別表'!E24</f>
        <v>-3803471100</v>
      </c>
    </row>
    <row r="50" spans="1:36" s="198" customFormat="1" ht="26.1" customHeight="1">
      <c r="A50" s="190" t="s">
        <v>69</v>
      </c>
      <c r="B50" s="191" t="s">
        <v>297</v>
      </c>
      <c r="C50" s="230" t="s">
        <v>802</v>
      </c>
      <c r="D50" s="238">
        <v>3</v>
      </c>
      <c r="E50" s="234">
        <f t="shared" si="19"/>
        <v>26400</v>
      </c>
      <c r="F50" s="234">
        <v>26400</v>
      </c>
      <c r="G50" s="234"/>
      <c r="H50" s="240">
        <f t="shared" si="20"/>
        <v>5300</v>
      </c>
      <c r="I50" s="234">
        <v>600</v>
      </c>
      <c r="J50" s="234">
        <v>1000</v>
      </c>
      <c r="K50" s="234">
        <v>1000</v>
      </c>
      <c r="L50" s="234">
        <v>1000</v>
      </c>
      <c r="M50" s="234">
        <v>700</v>
      </c>
      <c r="N50" s="234">
        <v>1000</v>
      </c>
      <c r="O50" s="235"/>
      <c r="P50" s="235">
        <f t="shared" si="21"/>
        <v>21100</v>
      </c>
      <c r="Q50" s="234">
        <v>2000</v>
      </c>
      <c r="R50" s="234">
        <v>2000</v>
      </c>
      <c r="S50" s="234">
        <v>1600</v>
      </c>
      <c r="T50" s="234"/>
      <c r="U50" s="234">
        <v>2300</v>
      </c>
      <c r="V50" s="234"/>
      <c r="W50" s="234">
        <v>1400</v>
      </c>
      <c r="X50" s="234">
        <v>2350</v>
      </c>
      <c r="Y50" s="234">
        <v>2000</v>
      </c>
      <c r="Z50" s="234"/>
      <c r="AA50" s="234"/>
      <c r="AB50" s="234">
        <v>1600</v>
      </c>
      <c r="AC50" s="234"/>
      <c r="AD50" s="234"/>
      <c r="AE50" s="234">
        <v>5850</v>
      </c>
      <c r="AF50" s="234">
        <f t="shared" si="22"/>
        <v>0</v>
      </c>
      <c r="AG50" s="234"/>
      <c r="AH50" s="234"/>
      <c r="AI50" s="197">
        <f t="shared" si="18"/>
        <v>0</v>
      </c>
      <c r="AJ50" s="261" t="e">
        <f>E50-'[22]報表-政事別表'!E25</f>
        <v>#VALUE!</v>
      </c>
    </row>
    <row r="51" spans="1:36" s="198" customFormat="1" ht="26.1" customHeight="1">
      <c r="A51" s="190" t="s">
        <v>69</v>
      </c>
      <c r="B51" s="191" t="s">
        <v>297</v>
      </c>
      <c r="C51" s="230" t="s">
        <v>803</v>
      </c>
      <c r="D51" s="238">
        <v>3</v>
      </c>
      <c r="E51" s="234">
        <f t="shared" si="19"/>
        <v>1000</v>
      </c>
      <c r="F51" s="234">
        <v>1000</v>
      </c>
      <c r="G51" s="234"/>
      <c r="H51" s="240">
        <f t="shared" si="20"/>
        <v>0</v>
      </c>
      <c r="I51" s="234"/>
      <c r="J51" s="234"/>
      <c r="K51" s="234"/>
      <c r="L51" s="234"/>
      <c r="M51" s="234"/>
      <c r="N51" s="234"/>
      <c r="O51" s="235"/>
      <c r="P51" s="235">
        <f t="shared" si="21"/>
        <v>1000</v>
      </c>
      <c r="Q51" s="234"/>
      <c r="R51" s="234"/>
      <c r="S51" s="234"/>
      <c r="T51" s="234"/>
      <c r="U51" s="234"/>
      <c r="V51" s="234"/>
      <c r="W51" s="234"/>
      <c r="X51" s="234"/>
      <c r="Y51" s="234">
        <v>406</v>
      </c>
      <c r="Z51" s="234"/>
      <c r="AA51" s="234"/>
      <c r="AB51" s="234"/>
      <c r="AC51" s="234"/>
      <c r="AD51" s="234"/>
      <c r="AE51" s="234">
        <v>594</v>
      </c>
      <c r="AF51" s="234">
        <f t="shared" si="22"/>
        <v>0</v>
      </c>
      <c r="AG51" s="234"/>
      <c r="AH51" s="234"/>
      <c r="AI51" s="197">
        <f t="shared" si="18"/>
        <v>0</v>
      </c>
      <c r="AJ51" s="261">
        <f>E51-'[22]報表-政事別表'!E26</f>
        <v>-3803609400</v>
      </c>
    </row>
    <row r="52" spans="1:36" s="198" customFormat="1" ht="26.1" customHeight="1">
      <c r="A52" s="190" t="s">
        <v>69</v>
      </c>
      <c r="B52" s="191" t="s">
        <v>297</v>
      </c>
      <c r="C52" s="230" t="s">
        <v>804</v>
      </c>
      <c r="D52" s="238">
        <v>3</v>
      </c>
      <c r="E52" s="234">
        <f t="shared" si="19"/>
        <v>7100</v>
      </c>
      <c r="F52" s="234">
        <v>7100</v>
      </c>
      <c r="G52" s="234"/>
      <c r="H52" s="240">
        <f t="shared" si="20"/>
        <v>0</v>
      </c>
      <c r="I52" s="234"/>
      <c r="J52" s="234"/>
      <c r="K52" s="234"/>
      <c r="L52" s="234"/>
      <c r="M52" s="234"/>
      <c r="N52" s="234"/>
      <c r="O52" s="235"/>
      <c r="P52" s="235">
        <f t="shared" si="21"/>
        <v>7100</v>
      </c>
      <c r="Q52" s="234"/>
      <c r="R52" s="234"/>
      <c r="S52" s="234"/>
      <c r="T52" s="234"/>
      <c r="U52" s="234"/>
      <c r="V52" s="234"/>
      <c r="W52" s="234"/>
      <c r="X52" s="234"/>
      <c r="Y52" s="234"/>
      <c r="Z52" s="234"/>
      <c r="AA52" s="234"/>
      <c r="AB52" s="234"/>
      <c r="AC52" s="234"/>
      <c r="AD52" s="234"/>
      <c r="AE52" s="234">
        <v>7100</v>
      </c>
      <c r="AF52" s="234">
        <f t="shared" si="22"/>
        <v>0</v>
      </c>
      <c r="AG52" s="234"/>
      <c r="AH52" s="234"/>
      <c r="AI52" s="197">
        <f t="shared" si="18"/>
        <v>0</v>
      </c>
      <c r="AJ52" s="261" t="e">
        <f>E52-'[22]報表-政事別表'!E27</f>
        <v>#VALUE!</v>
      </c>
    </row>
    <row r="53" spans="1:36" s="198" customFormat="1" ht="26.1" customHeight="1">
      <c r="A53" s="190" t="s">
        <v>69</v>
      </c>
      <c r="B53" s="191" t="s">
        <v>297</v>
      </c>
      <c r="C53" s="230" t="s">
        <v>805</v>
      </c>
      <c r="D53" s="238">
        <v>3</v>
      </c>
      <c r="E53" s="234">
        <f t="shared" si="19"/>
        <v>108922</v>
      </c>
      <c r="F53" s="234">
        <v>108922</v>
      </c>
      <c r="G53" s="234"/>
      <c r="H53" s="240">
        <f t="shared" si="20"/>
        <v>46663</v>
      </c>
      <c r="I53" s="234">
        <v>2150</v>
      </c>
      <c r="J53" s="234">
        <v>11366</v>
      </c>
      <c r="K53" s="234">
        <v>13284</v>
      </c>
      <c r="L53" s="234">
        <v>7650</v>
      </c>
      <c r="M53" s="234">
        <v>3079</v>
      </c>
      <c r="N53" s="234">
        <v>7835</v>
      </c>
      <c r="O53" s="235">
        <v>1299</v>
      </c>
      <c r="P53" s="235">
        <f t="shared" si="21"/>
        <v>62259</v>
      </c>
      <c r="Q53" s="234">
        <v>4857</v>
      </c>
      <c r="R53" s="234">
        <v>3378</v>
      </c>
      <c r="S53" s="234">
        <v>3879</v>
      </c>
      <c r="T53" s="234">
        <v>3429</v>
      </c>
      <c r="U53" s="234">
        <v>5675</v>
      </c>
      <c r="V53" s="234">
        <v>1447</v>
      </c>
      <c r="W53" s="234">
        <v>2167</v>
      </c>
      <c r="X53" s="234">
        <v>10308</v>
      </c>
      <c r="Y53" s="234">
        <v>844</v>
      </c>
      <c r="Z53" s="234">
        <v>1160</v>
      </c>
      <c r="AA53" s="234">
        <v>413</v>
      </c>
      <c r="AB53" s="234">
        <v>4331</v>
      </c>
      <c r="AC53" s="234">
        <v>2938</v>
      </c>
      <c r="AD53" s="234">
        <v>1535</v>
      </c>
      <c r="AE53" s="234">
        <v>15898</v>
      </c>
      <c r="AF53" s="234">
        <f t="shared" si="22"/>
        <v>0</v>
      </c>
      <c r="AG53" s="234"/>
      <c r="AH53" s="234"/>
      <c r="AI53" s="197">
        <f t="shared" si="18"/>
        <v>0</v>
      </c>
      <c r="AJ53" s="261">
        <f>E53-'[22]報表-政事別表'!E28</f>
        <v>-3803501578</v>
      </c>
    </row>
    <row r="54" spans="1:36" s="198" customFormat="1" ht="26.1" customHeight="1">
      <c r="A54" s="190" t="s">
        <v>69</v>
      </c>
      <c r="B54" s="191" t="s">
        <v>297</v>
      </c>
      <c r="C54" s="230" t="s">
        <v>806</v>
      </c>
      <c r="D54" s="238">
        <v>3</v>
      </c>
      <c r="E54" s="234">
        <f t="shared" si="19"/>
        <v>6526</v>
      </c>
      <c r="F54" s="234">
        <v>6526</v>
      </c>
      <c r="G54" s="234"/>
      <c r="H54" s="240">
        <f t="shared" si="20"/>
        <v>2031</v>
      </c>
      <c r="I54" s="234"/>
      <c r="J54" s="234"/>
      <c r="K54" s="234"/>
      <c r="L54" s="234"/>
      <c r="M54" s="234"/>
      <c r="N54" s="234"/>
      <c r="O54" s="235">
        <v>2031</v>
      </c>
      <c r="P54" s="235">
        <f t="shared" si="21"/>
        <v>4495</v>
      </c>
      <c r="Q54" s="234"/>
      <c r="R54" s="234"/>
      <c r="S54" s="234"/>
      <c r="T54" s="234"/>
      <c r="U54" s="234"/>
      <c r="V54" s="234"/>
      <c r="W54" s="234"/>
      <c r="X54" s="234"/>
      <c r="Y54" s="234"/>
      <c r="Z54" s="234"/>
      <c r="AA54" s="234"/>
      <c r="AB54" s="234"/>
      <c r="AC54" s="234"/>
      <c r="AD54" s="234"/>
      <c r="AE54" s="234">
        <v>4495</v>
      </c>
      <c r="AF54" s="234">
        <f t="shared" si="22"/>
        <v>0</v>
      </c>
      <c r="AG54" s="234"/>
      <c r="AH54" s="234"/>
      <c r="AI54" s="197">
        <f t="shared" si="18"/>
        <v>0</v>
      </c>
      <c r="AJ54" s="261" t="e">
        <f>E54-'[22]報表-政事別表'!E29</f>
        <v>#VALUE!</v>
      </c>
    </row>
    <row r="55" spans="1:36" s="198" customFormat="1" ht="26.1" customHeight="1">
      <c r="A55" s="190" t="s">
        <v>69</v>
      </c>
      <c r="B55" s="191" t="s">
        <v>297</v>
      </c>
      <c r="C55" s="230" t="s">
        <v>807</v>
      </c>
      <c r="D55" s="238">
        <v>3</v>
      </c>
      <c r="E55" s="234">
        <f t="shared" si="19"/>
        <v>32616</v>
      </c>
      <c r="F55" s="234">
        <v>22536</v>
      </c>
      <c r="G55" s="234">
        <v>10080</v>
      </c>
      <c r="H55" s="240">
        <f t="shared" si="20"/>
        <v>13452</v>
      </c>
      <c r="I55" s="234"/>
      <c r="J55" s="234"/>
      <c r="K55" s="234">
        <v>1690</v>
      </c>
      <c r="L55" s="234"/>
      <c r="M55" s="234"/>
      <c r="N55" s="234">
        <v>1690</v>
      </c>
      <c r="O55" s="235">
        <v>10072</v>
      </c>
      <c r="P55" s="235">
        <f t="shared" si="21"/>
        <v>19164</v>
      </c>
      <c r="Q55" s="234"/>
      <c r="R55" s="234"/>
      <c r="S55" s="234">
        <v>2680</v>
      </c>
      <c r="T55" s="234"/>
      <c r="U55" s="234">
        <v>990</v>
      </c>
      <c r="V55" s="234"/>
      <c r="W55" s="234"/>
      <c r="X55" s="234">
        <v>5964</v>
      </c>
      <c r="Y55" s="234">
        <v>4660</v>
      </c>
      <c r="Z55" s="234">
        <v>4870</v>
      </c>
      <c r="AA55" s="234"/>
      <c r="AB55" s="234"/>
      <c r="AC55" s="234"/>
      <c r="AD55" s="234"/>
      <c r="AE55" s="234"/>
      <c r="AF55" s="234">
        <f t="shared" si="22"/>
        <v>0</v>
      </c>
      <c r="AG55" s="234"/>
      <c r="AH55" s="234"/>
      <c r="AI55" s="197">
        <f t="shared" si="18"/>
        <v>0</v>
      </c>
      <c r="AJ55" s="261">
        <f>E55-'[22]報表-政事別表'!E30</f>
        <v>-3807977384</v>
      </c>
    </row>
    <row r="56" spans="1:36" s="198" customFormat="1" ht="26.1" customHeight="1">
      <c r="A56" s="190" t="s">
        <v>69</v>
      </c>
      <c r="B56" s="191" t="s">
        <v>297</v>
      </c>
      <c r="C56" s="230" t="s">
        <v>808</v>
      </c>
      <c r="D56" s="238">
        <v>3</v>
      </c>
      <c r="E56" s="234">
        <f t="shared" si="19"/>
        <v>500</v>
      </c>
      <c r="F56" s="234">
        <v>500</v>
      </c>
      <c r="G56" s="234"/>
      <c r="H56" s="240">
        <f t="shared" si="20"/>
        <v>0</v>
      </c>
      <c r="I56" s="234"/>
      <c r="J56" s="234"/>
      <c r="K56" s="234"/>
      <c r="L56" s="234"/>
      <c r="M56" s="234"/>
      <c r="N56" s="234"/>
      <c r="O56" s="235"/>
      <c r="P56" s="235">
        <f t="shared" si="21"/>
        <v>500</v>
      </c>
      <c r="Q56" s="234"/>
      <c r="R56" s="234"/>
      <c r="S56" s="234"/>
      <c r="T56" s="234"/>
      <c r="U56" s="234"/>
      <c r="V56" s="234"/>
      <c r="W56" s="234"/>
      <c r="X56" s="234"/>
      <c r="Y56" s="234"/>
      <c r="Z56" s="234">
        <v>500</v>
      </c>
      <c r="AA56" s="234"/>
      <c r="AB56" s="234"/>
      <c r="AC56" s="234"/>
      <c r="AD56" s="234"/>
      <c r="AE56" s="234"/>
      <c r="AF56" s="234">
        <f t="shared" si="22"/>
        <v>0</v>
      </c>
      <c r="AG56" s="234"/>
      <c r="AH56" s="234"/>
      <c r="AI56" s="197">
        <f t="shared" si="18"/>
        <v>0</v>
      </c>
      <c r="AJ56" s="261" t="e">
        <f>E56-'[22]報表-政事別表'!E31</f>
        <v>#VALUE!</v>
      </c>
    </row>
    <row r="57" spans="1:36" s="198" customFormat="1" ht="26.1" customHeight="1">
      <c r="A57" s="190" t="s">
        <v>69</v>
      </c>
      <c r="B57" s="191" t="s">
        <v>297</v>
      </c>
      <c r="C57" s="230" t="s">
        <v>809</v>
      </c>
      <c r="D57" s="238">
        <v>5</v>
      </c>
      <c r="E57" s="234">
        <f t="shared" si="19"/>
        <v>20000</v>
      </c>
      <c r="F57" s="234">
        <v>20000</v>
      </c>
      <c r="G57" s="234"/>
      <c r="H57" s="240">
        <f t="shared" si="20"/>
        <v>0</v>
      </c>
      <c r="I57" s="234"/>
      <c r="J57" s="234"/>
      <c r="K57" s="234"/>
      <c r="L57" s="234"/>
      <c r="M57" s="234"/>
      <c r="N57" s="234"/>
      <c r="O57" s="235"/>
      <c r="P57" s="235">
        <f t="shared" si="21"/>
        <v>20000</v>
      </c>
      <c r="Q57" s="234"/>
      <c r="R57" s="234"/>
      <c r="S57" s="234"/>
      <c r="T57" s="234"/>
      <c r="U57" s="234"/>
      <c r="V57" s="234"/>
      <c r="W57" s="234"/>
      <c r="X57" s="234"/>
      <c r="Y57" s="234">
        <v>114</v>
      </c>
      <c r="Z57" s="234">
        <v>114</v>
      </c>
      <c r="AA57" s="234"/>
      <c r="AB57" s="234"/>
      <c r="AC57" s="234"/>
      <c r="AD57" s="234"/>
      <c r="AE57" s="234">
        <v>19772</v>
      </c>
      <c r="AF57" s="234">
        <f t="shared" si="22"/>
        <v>0</v>
      </c>
      <c r="AG57" s="234"/>
      <c r="AH57" s="234"/>
      <c r="AI57" s="197">
        <f t="shared" si="18"/>
        <v>0</v>
      </c>
      <c r="AJ57" s="261">
        <f>E57-'[22]報表-政事別表'!E32</f>
        <v>-3807991000</v>
      </c>
    </row>
    <row r="58" spans="1:36" s="198" customFormat="1" ht="26.1" customHeight="1">
      <c r="A58" s="190" t="s">
        <v>69</v>
      </c>
      <c r="B58" s="191" t="s">
        <v>297</v>
      </c>
      <c r="C58" s="230" t="s">
        <v>810</v>
      </c>
      <c r="D58" s="238">
        <v>5</v>
      </c>
      <c r="E58" s="234">
        <f t="shared" si="19"/>
        <v>1520</v>
      </c>
      <c r="F58" s="234"/>
      <c r="G58" s="234">
        <v>1520</v>
      </c>
      <c r="H58" s="240">
        <f t="shared" si="20"/>
        <v>271</v>
      </c>
      <c r="I58" s="234">
        <v>50</v>
      </c>
      <c r="J58" s="234">
        <v>75</v>
      </c>
      <c r="K58" s="234">
        <v>25</v>
      </c>
      <c r="L58" s="234">
        <v>50</v>
      </c>
      <c r="M58" s="234"/>
      <c r="N58" s="234">
        <v>71</v>
      </c>
      <c r="O58" s="235"/>
      <c r="P58" s="235">
        <f t="shared" si="21"/>
        <v>1249</v>
      </c>
      <c r="Q58" s="234">
        <v>50</v>
      </c>
      <c r="R58" s="234">
        <v>50</v>
      </c>
      <c r="S58" s="234">
        <v>75</v>
      </c>
      <c r="T58" s="234"/>
      <c r="U58" s="234">
        <v>50</v>
      </c>
      <c r="V58" s="234"/>
      <c r="W58" s="234">
        <v>25</v>
      </c>
      <c r="X58" s="234">
        <v>199</v>
      </c>
      <c r="Y58" s="234">
        <v>399</v>
      </c>
      <c r="Z58" s="234">
        <v>324</v>
      </c>
      <c r="AA58" s="234"/>
      <c r="AB58" s="234">
        <v>25</v>
      </c>
      <c r="AC58" s="234"/>
      <c r="AD58" s="234"/>
      <c r="AE58" s="234">
        <v>52</v>
      </c>
      <c r="AF58" s="234">
        <f t="shared" si="22"/>
        <v>0</v>
      </c>
      <c r="AG58" s="234"/>
      <c r="AH58" s="234"/>
      <c r="AI58" s="197">
        <f t="shared" si="18"/>
        <v>0</v>
      </c>
      <c r="AJ58" s="261" t="e">
        <f>E58-'[22]報表-政事別表'!E33</f>
        <v>#VALUE!</v>
      </c>
    </row>
    <row r="59" spans="1:36" s="198" customFormat="1" ht="26.1" customHeight="1">
      <c r="A59" s="190" t="s">
        <v>69</v>
      </c>
      <c r="B59" s="191" t="s">
        <v>297</v>
      </c>
      <c r="C59" s="230" t="s">
        <v>811</v>
      </c>
      <c r="D59" s="238">
        <v>5</v>
      </c>
      <c r="E59" s="234">
        <f t="shared" si="19"/>
        <v>19835</v>
      </c>
      <c r="F59" s="234">
        <v>19835</v>
      </c>
      <c r="G59" s="234"/>
      <c r="H59" s="240">
        <f t="shared" si="20"/>
        <v>3297</v>
      </c>
      <c r="I59" s="234"/>
      <c r="J59" s="234">
        <v>1099</v>
      </c>
      <c r="K59" s="234">
        <v>550</v>
      </c>
      <c r="L59" s="234">
        <v>1098</v>
      </c>
      <c r="M59" s="234"/>
      <c r="N59" s="234">
        <v>550</v>
      </c>
      <c r="O59" s="235"/>
      <c r="P59" s="235">
        <f t="shared" si="21"/>
        <v>16538</v>
      </c>
      <c r="Q59" s="234">
        <v>550</v>
      </c>
      <c r="R59" s="234">
        <v>550</v>
      </c>
      <c r="S59" s="234">
        <v>550</v>
      </c>
      <c r="T59" s="234"/>
      <c r="U59" s="234">
        <v>550</v>
      </c>
      <c r="V59" s="234"/>
      <c r="W59" s="234">
        <v>550</v>
      </c>
      <c r="X59" s="234">
        <v>1099</v>
      </c>
      <c r="Y59" s="234">
        <v>5496</v>
      </c>
      <c r="Z59" s="234">
        <v>6643</v>
      </c>
      <c r="AA59" s="234"/>
      <c r="AB59" s="234">
        <v>550</v>
      </c>
      <c r="AC59" s="234"/>
      <c r="AD59" s="234"/>
      <c r="AE59" s="234"/>
      <c r="AF59" s="234">
        <f t="shared" si="22"/>
        <v>0</v>
      </c>
      <c r="AG59" s="234">
        <v>0</v>
      </c>
      <c r="AH59" s="234"/>
      <c r="AI59" s="197">
        <f t="shared" si="18"/>
        <v>0</v>
      </c>
      <c r="AJ59" s="261">
        <f>E59-'[22]報表-政事別表'!E34</f>
        <v>-3807992165</v>
      </c>
    </row>
    <row r="60" spans="1:36" s="198" customFormat="1" ht="26.1" customHeight="1">
      <c r="A60" s="190" t="s">
        <v>69</v>
      </c>
      <c r="B60" s="191" t="s">
        <v>297</v>
      </c>
      <c r="C60" s="230" t="s">
        <v>812</v>
      </c>
      <c r="D60" s="238">
        <v>5</v>
      </c>
      <c r="E60" s="234">
        <f t="shared" si="19"/>
        <v>1200</v>
      </c>
      <c r="F60" s="234">
        <v>1200</v>
      </c>
      <c r="G60" s="234"/>
      <c r="H60" s="240">
        <f t="shared" si="20"/>
        <v>440</v>
      </c>
      <c r="I60" s="234"/>
      <c r="J60" s="234">
        <v>90</v>
      </c>
      <c r="K60" s="234">
        <v>150</v>
      </c>
      <c r="L60" s="234">
        <v>60</v>
      </c>
      <c r="M60" s="234"/>
      <c r="N60" s="234">
        <v>80</v>
      </c>
      <c r="O60" s="235">
        <v>60</v>
      </c>
      <c r="P60" s="235">
        <f t="shared" si="21"/>
        <v>760</v>
      </c>
      <c r="Q60" s="234">
        <v>40</v>
      </c>
      <c r="R60" s="234">
        <v>60</v>
      </c>
      <c r="S60" s="234">
        <v>40</v>
      </c>
      <c r="T60" s="234"/>
      <c r="U60" s="234">
        <v>60</v>
      </c>
      <c r="V60" s="234"/>
      <c r="W60" s="234">
        <v>60</v>
      </c>
      <c r="X60" s="234">
        <v>150</v>
      </c>
      <c r="Y60" s="234">
        <v>170</v>
      </c>
      <c r="Z60" s="234">
        <v>180</v>
      </c>
      <c r="AA60" s="234"/>
      <c r="AB60" s="234"/>
      <c r="AC60" s="234"/>
      <c r="AD60" s="234"/>
      <c r="AE60" s="234"/>
      <c r="AF60" s="234">
        <f t="shared" si="22"/>
        <v>0</v>
      </c>
      <c r="AG60" s="234"/>
      <c r="AH60" s="234"/>
      <c r="AI60" s="197">
        <f t="shared" si="18"/>
        <v>0</v>
      </c>
      <c r="AJ60" s="261" t="e">
        <f>E60-'[22]報表-政事別表'!E35</f>
        <v>#VALUE!</v>
      </c>
    </row>
    <row r="61" spans="1:36" s="198" customFormat="1" ht="26.1" customHeight="1">
      <c r="A61" s="190" t="s">
        <v>69</v>
      </c>
      <c r="B61" s="191" t="s">
        <v>297</v>
      </c>
      <c r="C61" s="230" t="s">
        <v>813</v>
      </c>
      <c r="D61" s="238">
        <v>5</v>
      </c>
      <c r="E61" s="234">
        <f t="shared" si="19"/>
        <v>840</v>
      </c>
      <c r="F61" s="234">
        <v>840</v>
      </c>
      <c r="G61" s="234"/>
      <c r="H61" s="240">
        <f t="shared" si="20"/>
        <v>0</v>
      </c>
      <c r="I61" s="234"/>
      <c r="J61" s="234"/>
      <c r="K61" s="234"/>
      <c r="L61" s="234"/>
      <c r="M61" s="234"/>
      <c r="N61" s="234"/>
      <c r="O61" s="235"/>
      <c r="P61" s="235">
        <f t="shared" si="21"/>
        <v>840</v>
      </c>
      <c r="Q61" s="234">
        <v>25</v>
      </c>
      <c r="R61" s="234">
        <v>42</v>
      </c>
      <c r="S61" s="234">
        <v>34</v>
      </c>
      <c r="T61" s="234"/>
      <c r="U61" s="234">
        <v>34</v>
      </c>
      <c r="V61" s="234"/>
      <c r="W61" s="234">
        <v>17</v>
      </c>
      <c r="X61" s="234">
        <v>84</v>
      </c>
      <c r="Y61" s="234">
        <v>160</v>
      </c>
      <c r="Z61" s="234">
        <v>134</v>
      </c>
      <c r="AA61" s="234"/>
      <c r="AB61" s="234"/>
      <c r="AC61" s="234"/>
      <c r="AD61" s="234"/>
      <c r="AE61" s="234">
        <v>310</v>
      </c>
      <c r="AF61" s="234">
        <f t="shared" si="22"/>
        <v>0</v>
      </c>
      <c r="AG61" s="234"/>
      <c r="AH61" s="234"/>
      <c r="AI61" s="197">
        <f t="shared" si="18"/>
        <v>0</v>
      </c>
      <c r="AJ61" s="261">
        <f>E61-'[22]報表-政事別表'!E36</f>
        <v>-3808209160</v>
      </c>
    </row>
    <row r="62" spans="1:36" s="198" customFormat="1" ht="26.1" customHeight="1">
      <c r="A62" s="190" t="s">
        <v>69</v>
      </c>
      <c r="B62" s="191" t="s">
        <v>297</v>
      </c>
      <c r="C62" s="230" t="s">
        <v>814</v>
      </c>
      <c r="D62" s="238">
        <v>5</v>
      </c>
      <c r="E62" s="234">
        <f t="shared" si="19"/>
        <v>8864</v>
      </c>
      <c r="F62" s="234">
        <v>8864</v>
      </c>
      <c r="G62" s="234"/>
      <c r="H62" s="240">
        <f t="shared" si="20"/>
        <v>6116</v>
      </c>
      <c r="I62" s="234">
        <v>541</v>
      </c>
      <c r="J62" s="234">
        <v>1741</v>
      </c>
      <c r="K62" s="234">
        <v>1792</v>
      </c>
      <c r="L62" s="234">
        <v>953</v>
      </c>
      <c r="M62" s="234">
        <v>245</v>
      </c>
      <c r="N62" s="234">
        <v>844</v>
      </c>
      <c r="O62" s="235"/>
      <c r="P62" s="235">
        <f t="shared" si="21"/>
        <v>2748</v>
      </c>
      <c r="Q62" s="234">
        <v>216</v>
      </c>
      <c r="R62" s="234">
        <v>301</v>
      </c>
      <c r="S62" s="234">
        <v>338</v>
      </c>
      <c r="T62" s="234">
        <v>187</v>
      </c>
      <c r="U62" s="234">
        <v>219</v>
      </c>
      <c r="V62" s="234">
        <v>133</v>
      </c>
      <c r="W62" s="234">
        <v>133</v>
      </c>
      <c r="X62" s="234">
        <v>486</v>
      </c>
      <c r="Y62" s="234"/>
      <c r="Z62" s="234"/>
      <c r="AA62" s="234">
        <v>105</v>
      </c>
      <c r="AB62" s="234">
        <v>358</v>
      </c>
      <c r="AC62" s="234">
        <v>137</v>
      </c>
      <c r="AD62" s="234">
        <v>105</v>
      </c>
      <c r="AE62" s="234">
        <v>30</v>
      </c>
      <c r="AF62" s="234">
        <f t="shared" si="22"/>
        <v>0</v>
      </c>
      <c r="AG62" s="234"/>
      <c r="AH62" s="234"/>
      <c r="AI62" s="197">
        <f t="shared" si="18"/>
        <v>0</v>
      </c>
      <c r="AJ62" s="261" t="e">
        <f>E62-'[22]報表-政事別表'!E37</f>
        <v>#VALUE!</v>
      </c>
    </row>
    <row r="63" spans="1:36" s="198" customFormat="1" ht="26.1" customHeight="1">
      <c r="A63" s="190" t="s">
        <v>69</v>
      </c>
      <c r="B63" s="191" t="s">
        <v>297</v>
      </c>
      <c r="C63" s="230" t="s">
        <v>815</v>
      </c>
      <c r="D63" s="238">
        <v>5</v>
      </c>
      <c r="E63" s="234">
        <f t="shared" si="19"/>
        <v>3379</v>
      </c>
      <c r="F63" s="234">
        <v>3379</v>
      </c>
      <c r="G63" s="234"/>
      <c r="H63" s="240">
        <f t="shared" si="20"/>
        <v>1708</v>
      </c>
      <c r="I63" s="234">
        <v>192</v>
      </c>
      <c r="J63" s="234">
        <v>366</v>
      </c>
      <c r="K63" s="234">
        <v>382</v>
      </c>
      <c r="L63" s="234">
        <v>315</v>
      </c>
      <c r="M63" s="234">
        <v>110</v>
      </c>
      <c r="N63" s="234">
        <v>318</v>
      </c>
      <c r="O63" s="235">
        <v>25</v>
      </c>
      <c r="P63" s="235">
        <f t="shared" si="21"/>
        <v>1671</v>
      </c>
      <c r="Q63" s="234">
        <v>117</v>
      </c>
      <c r="R63" s="234">
        <v>169</v>
      </c>
      <c r="S63" s="234">
        <v>116</v>
      </c>
      <c r="T63" s="234">
        <v>59</v>
      </c>
      <c r="U63" s="234">
        <v>153</v>
      </c>
      <c r="V63" s="234">
        <v>39</v>
      </c>
      <c r="W63" s="234">
        <v>72</v>
      </c>
      <c r="X63" s="234">
        <v>298</v>
      </c>
      <c r="Y63" s="234">
        <v>223</v>
      </c>
      <c r="Z63" s="234">
        <v>200</v>
      </c>
      <c r="AA63" s="234">
        <v>18</v>
      </c>
      <c r="AB63" s="234">
        <v>120</v>
      </c>
      <c r="AC63" s="234">
        <v>50</v>
      </c>
      <c r="AD63" s="234">
        <v>37</v>
      </c>
      <c r="AE63" s="234"/>
      <c r="AF63" s="234">
        <f t="shared" si="22"/>
        <v>0</v>
      </c>
      <c r="AG63" s="234"/>
      <c r="AH63" s="234"/>
      <c r="AI63" s="197">
        <f t="shared" si="18"/>
        <v>0</v>
      </c>
      <c r="AJ63" s="261">
        <f>E63-'[22]報表-政事別表'!E38</f>
        <v>-3808208621</v>
      </c>
    </row>
    <row r="64" spans="1:36" s="198" customFormat="1" ht="26.1" customHeight="1">
      <c r="A64" s="200" t="s">
        <v>69</v>
      </c>
      <c r="B64" s="191" t="s">
        <v>380</v>
      </c>
      <c r="C64" s="230" t="s">
        <v>782</v>
      </c>
      <c r="D64" s="238">
        <v>1</v>
      </c>
      <c r="E64" s="245">
        <f t="shared" si="19"/>
        <v>8000</v>
      </c>
      <c r="F64" s="234">
        <v>4560</v>
      </c>
      <c r="G64" s="234">
        <v>3440</v>
      </c>
      <c r="H64" s="233">
        <f>SUM(I64:O64)</f>
        <v>0</v>
      </c>
      <c r="I64" s="234"/>
      <c r="J64" s="234"/>
      <c r="K64" s="234"/>
      <c r="L64" s="234"/>
      <c r="M64" s="234"/>
      <c r="N64" s="234"/>
      <c r="O64" s="235"/>
      <c r="P64" s="246">
        <f>SUM(Q64:AE64)</f>
        <v>8000</v>
      </c>
      <c r="Q64" s="234">
        <v>650</v>
      </c>
      <c r="R64" s="234"/>
      <c r="S64" s="234">
        <v>550</v>
      </c>
      <c r="T64" s="234">
        <v>500</v>
      </c>
      <c r="U64" s="234"/>
      <c r="V64" s="234"/>
      <c r="W64" s="234"/>
      <c r="X64" s="234">
        <v>1870</v>
      </c>
      <c r="Y64" s="234">
        <v>850</v>
      </c>
      <c r="Z64" s="234">
        <v>900</v>
      </c>
      <c r="AA64" s="234"/>
      <c r="AB64" s="234">
        <v>230</v>
      </c>
      <c r="AC64" s="234">
        <v>350</v>
      </c>
      <c r="AD64" s="234"/>
      <c r="AE64" s="234">
        <v>2100</v>
      </c>
      <c r="AF64" s="245">
        <f>SUM(AG64:AH64)</f>
        <v>0</v>
      </c>
      <c r="AG64" s="234"/>
      <c r="AH64" s="234"/>
      <c r="AI64" s="197">
        <f>IF(+F64+G64=E64,0,FALSE)</f>
        <v>0</v>
      </c>
    </row>
    <row r="65" spans="1:35" s="198" customFormat="1" ht="26.1" customHeight="1">
      <c r="A65" s="200" t="s">
        <v>69</v>
      </c>
      <c r="B65" s="239" t="s">
        <v>780</v>
      </c>
      <c r="C65" s="230" t="s">
        <v>781</v>
      </c>
      <c r="D65" s="202">
        <v>3</v>
      </c>
      <c r="E65" s="232">
        <f>SUM(H65,P65,AF65)</f>
        <v>127800</v>
      </c>
      <c r="F65" s="234">
        <v>7500</v>
      </c>
      <c r="G65" s="234">
        <v>120300</v>
      </c>
      <c r="H65" s="232">
        <f>SUM(I65:O65)</f>
        <v>25200</v>
      </c>
      <c r="I65" s="234"/>
      <c r="J65" s="234"/>
      <c r="K65" s="234"/>
      <c r="L65" s="234"/>
      <c r="M65" s="234"/>
      <c r="N65" s="234"/>
      <c r="O65" s="235">
        <v>25200</v>
      </c>
      <c r="P65" s="254">
        <f>SUM(Q65:AE65)</f>
        <v>102600</v>
      </c>
      <c r="Q65" s="234"/>
      <c r="R65" s="234"/>
      <c r="S65" s="234"/>
      <c r="T65" s="234"/>
      <c r="U65" s="234"/>
      <c r="V65" s="234"/>
      <c r="W65" s="234"/>
      <c r="X65" s="234"/>
      <c r="Y65" s="234"/>
      <c r="Z65" s="234"/>
      <c r="AA65" s="234"/>
      <c r="AB65" s="234"/>
      <c r="AC65" s="234"/>
      <c r="AD65" s="234"/>
      <c r="AE65" s="234">
        <v>102600</v>
      </c>
      <c r="AF65" s="234">
        <f>SUM(AG65:AH65)</f>
        <v>0</v>
      </c>
      <c r="AG65" s="234"/>
      <c r="AH65" s="234"/>
      <c r="AI65" s="197">
        <f>IF(+F65+G65=E65,0,FALSE)</f>
        <v>0</v>
      </c>
    </row>
    <row r="66" spans="1:35" s="198" customFormat="1" ht="26.1" customHeight="1">
      <c r="A66" s="190"/>
      <c r="B66" s="191"/>
      <c r="C66" s="230"/>
      <c r="D66" s="238"/>
      <c r="E66" s="232">
        <f>E67+E77+E91+E106+E111</f>
        <v>19900079</v>
      </c>
      <c r="F66" s="233">
        <f>F67+F77+F91+F106+F111</f>
        <v>1313204</v>
      </c>
      <c r="G66" s="233">
        <f>G67+G77+G91+G106+G111</f>
        <v>18586875</v>
      </c>
      <c r="H66" s="232">
        <f>H67+H77+H91+H106+H111</f>
        <v>11248638</v>
      </c>
      <c r="I66" s="234"/>
      <c r="J66" s="234"/>
      <c r="K66" s="234"/>
      <c r="L66" s="234"/>
      <c r="M66" s="234"/>
      <c r="N66" s="234"/>
      <c r="O66" s="235"/>
      <c r="P66" s="232">
        <f>P67+P77+P91+P106+P111</f>
        <v>8236474</v>
      </c>
      <c r="Q66" s="234"/>
      <c r="R66" s="234"/>
      <c r="S66" s="234"/>
      <c r="T66" s="234"/>
      <c r="U66" s="234"/>
      <c r="V66" s="234"/>
      <c r="W66" s="234"/>
      <c r="X66" s="234"/>
      <c r="Y66" s="234"/>
      <c r="Z66" s="234"/>
      <c r="AA66" s="234"/>
      <c r="AB66" s="234"/>
      <c r="AC66" s="234"/>
      <c r="AD66" s="234"/>
      <c r="AE66" s="234"/>
      <c r="AF66" s="232">
        <f>AF67+AF77+AF91+AF106+AF111</f>
        <v>414967</v>
      </c>
      <c r="AG66" s="234"/>
      <c r="AH66" s="234"/>
      <c r="AI66" s="197">
        <f>IF(+F66+G66=E66,0,FALSE)</f>
        <v>0</v>
      </c>
    </row>
    <row r="67" spans="1:35" s="198" customFormat="1" ht="26.1" customHeight="1">
      <c r="A67" s="190"/>
      <c r="B67" s="191"/>
      <c r="C67" s="230"/>
      <c r="D67" s="238"/>
      <c r="E67" s="245">
        <f t="shared" ref="E67:J67" si="23">SUM(E68:E76)</f>
        <v>685425</v>
      </c>
      <c r="F67" s="234">
        <f>SUM(F68:F76)</f>
        <v>267425</v>
      </c>
      <c r="G67" s="234">
        <f t="shared" si="23"/>
        <v>418000</v>
      </c>
      <c r="H67" s="245">
        <f t="shared" si="23"/>
        <v>175772</v>
      </c>
      <c r="I67" s="234">
        <f t="shared" si="23"/>
        <v>996</v>
      </c>
      <c r="J67" s="234">
        <f t="shared" si="23"/>
        <v>31836</v>
      </c>
      <c r="K67" s="234"/>
      <c r="L67" s="234">
        <f t="shared" ref="L67:AH67" si="24">SUM(L68:L76)</f>
        <v>31020</v>
      </c>
      <c r="M67" s="234">
        <f t="shared" si="24"/>
        <v>25746</v>
      </c>
      <c r="N67" s="234">
        <f t="shared" si="24"/>
        <v>25380</v>
      </c>
      <c r="O67" s="234">
        <f t="shared" si="24"/>
        <v>4000</v>
      </c>
      <c r="P67" s="245">
        <f t="shared" si="24"/>
        <v>490925</v>
      </c>
      <c r="Q67" s="234">
        <f t="shared" si="24"/>
        <v>16516</v>
      </c>
      <c r="R67" s="234">
        <f t="shared" si="24"/>
        <v>39996</v>
      </c>
      <c r="S67" s="234">
        <f t="shared" si="24"/>
        <v>69470</v>
      </c>
      <c r="T67" s="234">
        <f t="shared" si="24"/>
        <v>25036</v>
      </c>
      <c r="U67" s="234">
        <f t="shared" si="24"/>
        <v>46016</v>
      </c>
      <c r="V67" s="234">
        <f t="shared" si="24"/>
        <v>22396</v>
      </c>
      <c r="W67" s="234">
        <f t="shared" si="24"/>
        <v>34724</v>
      </c>
      <c r="X67" s="234">
        <f t="shared" si="24"/>
        <v>94868</v>
      </c>
      <c r="Y67" s="234">
        <f t="shared" si="24"/>
        <v>56031</v>
      </c>
      <c r="Z67" s="234">
        <f t="shared" si="24"/>
        <v>41471</v>
      </c>
      <c r="AA67" s="234">
        <f t="shared" si="24"/>
        <v>15038</v>
      </c>
      <c r="AB67" s="234">
        <f t="shared" si="24"/>
        <v>4411</v>
      </c>
      <c r="AC67" s="234">
        <f t="shared" si="24"/>
        <v>9234</v>
      </c>
      <c r="AD67" s="234">
        <f t="shared" si="24"/>
        <v>3218</v>
      </c>
      <c r="AE67" s="234">
        <f t="shared" si="24"/>
        <v>12500</v>
      </c>
      <c r="AF67" s="245">
        <f>SUM(AF68:AF76)</f>
        <v>18728</v>
      </c>
      <c r="AG67" s="234">
        <f t="shared" si="24"/>
        <v>18728</v>
      </c>
      <c r="AH67" s="234">
        <f t="shared" si="24"/>
        <v>0</v>
      </c>
      <c r="AI67" s="197">
        <f t="shared" ref="AI67:AI76" si="25">IF(+F67+G67=E67,0,FALSE)</f>
        <v>0</v>
      </c>
    </row>
    <row r="68" spans="1:35" s="198" customFormat="1" ht="26.1" customHeight="1">
      <c r="A68" s="200" t="s">
        <v>116</v>
      </c>
      <c r="B68" s="191" t="s">
        <v>80</v>
      </c>
      <c r="C68" s="230" t="s">
        <v>239</v>
      </c>
      <c r="D68" s="238">
        <v>1</v>
      </c>
      <c r="E68" s="234">
        <f t="shared" ref="E68:E76" si="26">SUM(H68,P68,AF68)</f>
        <v>311700</v>
      </c>
      <c r="F68" s="234"/>
      <c r="G68" s="234">
        <v>311700</v>
      </c>
      <c r="H68" s="240">
        <f t="shared" ref="H68:H76" si="27">SUM(I68:O68)</f>
        <v>36000</v>
      </c>
      <c r="I68" s="234"/>
      <c r="J68" s="234">
        <v>8000</v>
      </c>
      <c r="K68" s="234">
        <v>6000</v>
      </c>
      <c r="L68" s="234">
        <v>8000</v>
      </c>
      <c r="M68" s="234">
        <v>4000</v>
      </c>
      <c r="N68" s="234">
        <v>6000</v>
      </c>
      <c r="O68" s="235">
        <v>4000</v>
      </c>
      <c r="P68" s="235">
        <f t="shared" ref="P68:P76" si="28">SUM(Q68:AE68)</f>
        <v>267700</v>
      </c>
      <c r="Q68" s="234">
        <v>10000</v>
      </c>
      <c r="R68" s="234">
        <v>23000</v>
      </c>
      <c r="S68" s="234">
        <v>59000</v>
      </c>
      <c r="T68" s="234">
        <v>10000</v>
      </c>
      <c r="U68" s="234">
        <v>10000</v>
      </c>
      <c r="V68" s="234">
        <v>10000</v>
      </c>
      <c r="W68" s="234">
        <v>21000</v>
      </c>
      <c r="X68" s="234">
        <v>35000</v>
      </c>
      <c r="Y68" s="234">
        <v>45000</v>
      </c>
      <c r="Z68" s="234">
        <v>19000</v>
      </c>
      <c r="AA68" s="234">
        <v>4500</v>
      </c>
      <c r="AB68" s="234">
        <v>4000</v>
      </c>
      <c r="AC68" s="234">
        <v>4000</v>
      </c>
      <c r="AD68" s="234">
        <v>2000</v>
      </c>
      <c r="AE68" s="234">
        <v>11200</v>
      </c>
      <c r="AF68" s="234">
        <f>SUM(AG68:AH68)</f>
        <v>8000</v>
      </c>
      <c r="AG68" s="234">
        <v>8000</v>
      </c>
      <c r="AH68" s="234"/>
      <c r="AI68" s="197">
        <f t="shared" si="25"/>
        <v>0</v>
      </c>
    </row>
    <row r="69" spans="1:35" s="198" customFormat="1" ht="26.1" customHeight="1">
      <c r="A69" s="190" t="s">
        <v>116</v>
      </c>
      <c r="B69" s="191" t="s">
        <v>80</v>
      </c>
      <c r="C69" s="230" t="s">
        <v>512</v>
      </c>
      <c r="D69" s="238">
        <v>1</v>
      </c>
      <c r="E69" s="234">
        <f t="shared" si="26"/>
        <v>12808</v>
      </c>
      <c r="F69" s="234">
        <v>12808</v>
      </c>
      <c r="G69" s="234"/>
      <c r="H69" s="240">
        <f>SUM(I69:O69)</f>
        <v>246</v>
      </c>
      <c r="I69" s="234"/>
      <c r="J69" s="234"/>
      <c r="K69" s="234"/>
      <c r="L69" s="234"/>
      <c r="M69" s="234"/>
      <c r="N69" s="234">
        <v>246</v>
      </c>
      <c r="O69" s="235"/>
      <c r="P69" s="235">
        <f t="shared" si="28"/>
        <v>12562</v>
      </c>
      <c r="Q69" s="234">
        <v>1600</v>
      </c>
      <c r="R69" s="234"/>
      <c r="S69" s="234">
        <v>1200</v>
      </c>
      <c r="T69" s="234">
        <v>1200</v>
      </c>
      <c r="U69" s="234">
        <v>2562</v>
      </c>
      <c r="V69" s="234"/>
      <c r="W69" s="234">
        <v>2000</v>
      </c>
      <c r="X69" s="234">
        <v>1600</v>
      </c>
      <c r="Y69" s="234">
        <v>1200</v>
      </c>
      <c r="Z69" s="234">
        <v>1200</v>
      </c>
      <c r="AA69" s="234"/>
      <c r="AB69" s="234"/>
      <c r="AC69" s="234"/>
      <c r="AD69" s="234"/>
      <c r="AE69" s="234"/>
      <c r="AF69" s="234">
        <f>SUM(AG69:AH69)</f>
        <v>0</v>
      </c>
      <c r="AG69" s="234"/>
      <c r="AH69" s="234"/>
      <c r="AI69" s="197">
        <f t="shared" si="25"/>
        <v>0</v>
      </c>
    </row>
    <row r="70" spans="1:35" s="198" customFormat="1" ht="26.1" customHeight="1">
      <c r="A70" s="190" t="s">
        <v>116</v>
      </c>
      <c r="B70" s="191" t="s">
        <v>80</v>
      </c>
      <c r="C70" s="230" t="s">
        <v>513</v>
      </c>
      <c r="D70" s="238">
        <v>1</v>
      </c>
      <c r="E70" s="234">
        <f t="shared" si="26"/>
        <v>101300</v>
      </c>
      <c r="F70" s="234"/>
      <c r="G70" s="234">
        <v>101300</v>
      </c>
      <c r="H70" s="240">
        <f t="shared" si="27"/>
        <v>20000</v>
      </c>
      <c r="I70" s="234"/>
      <c r="J70" s="234"/>
      <c r="K70" s="234">
        <v>20000</v>
      </c>
      <c r="L70" s="234"/>
      <c r="M70" s="234"/>
      <c r="N70" s="234"/>
      <c r="O70" s="235"/>
      <c r="P70" s="235">
        <f t="shared" si="28"/>
        <v>71300</v>
      </c>
      <c r="Q70" s="234"/>
      <c r="R70" s="234">
        <v>10000</v>
      </c>
      <c r="S70" s="234"/>
      <c r="T70" s="234"/>
      <c r="U70" s="234">
        <v>20000</v>
      </c>
      <c r="V70" s="234"/>
      <c r="W70" s="234"/>
      <c r="X70" s="234">
        <v>40000</v>
      </c>
      <c r="Y70" s="234"/>
      <c r="Z70" s="234"/>
      <c r="AA70" s="234"/>
      <c r="AB70" s="234"/>
      <c r="AC70" s="234"/>
      <c r="AD70" s="234"/>
      <c r="AE70" s="234">
        <v>1300</v>
      </c>
      <c r="AF70" s="234">
        <f t="shared" ref="AF70:AF76" si="29">SUM(AG70:AH70)</f>
        <v>10000</v>
      </c>
      <c r="AG70" s="234">
        <v>10000</v>
      </c>
      <c r="AH70" s="234"/>
      <c r="AI70" s="197">
        <f t="shared" si="25"/>
        <v>0</v>
      </c>
    </row>
    <row r="71" spans="1:35" s="198" customFormat="1" ht="26.1" customHeight="1">
      <c r="A71" s="190" t="s">
        <v>116</v>
      </c>
      <c r="B71" s="191" t="s">
        <v>80</v>
      </c>
      <c r="C71" s="230" t="s">
        <v>487</v>
      </c>
      <c r="D71" s="238">
        <v>1</v>
      </c>
      <c r="E71" s="234">
        <f t="shared" si="26"/>
        <v>21639</v>
      </c>
      <c r="F71" s="234">
        <v>21639</v>
      </c>
      <c r="G71" s="234"/>
      <c r="H71" s="240">
        <f t="shared" si="27"/>
        <v>11627</v>
      </c>
      <c r="I71" s="234">
        <v>826</v>
      </c>
      <c r="J71" s="234">
        <v>3793</v>
      </c>
      <c r="K71" s="234">
        <v>2032</v>
      </c>
      <c r="L71" s="234">
        <v>1569</v>
      </c>
      <c r="M71" s="234">
        <v>2601</v>
      </c>
      <c r="N71" s="234">
        <v>806</v>
      </c>
      <c r="O71" s="235"/>
      <c r="P71" s="235">
        <f t="shared" si="28"/>
        <v>9284</v>
      </c>
      <c r="Q71" s="234">
        <v>943</v>
      </c>
      <c r="R71" s="234">
        <v>716</v>
      </c>
      <c r="S71" s="234">
        <v>930</v>
      </c>
      <c r="T71" s="234">
        <v>1803</v>
      </c>
      <c r="U71" s="234">
        <v>573</v>
      </c>
      <c r="V71" s="234">
        <v>481</v>
      </c>
      <c r="W71" s="234">
        <v>920</v>
      </c>
      <c r="X71" s="234">
        <v>876</v>
      </c>
      <c r="Y71" s="234">
        <v>212</v>
      </c>
      <c r="Z71" s="234">
        <v>299</v>
      </c>
      <c r="AA71" s="234">
        <v>813</v>
      </c>
      <c r="AB71" s="234">
        <v>241</v>
      </c>
      <c r="AC71" s="234">
        <v>261</v>
      </c>
      <c r="AD71" s="234">
        <v>216</v>
      </c>
      <c r="AE71" s="234"/>
      <c r="AF71" s="234">
        <f t="shared" si="29"/>
        <v>728</v>
      </c>
      <c r="AG71" s="234">
        <v>728</v>
      </c>
      <c r="AH71" s="234"/>
      <c r="AI71" s="197">
        <f t="shared" si="25"/>
        <v>0</v>
      </c>
    </row>
    <row r="72" spans="1:35" s="198" customFormat="1" ht="26.1" customHeight="1">
      <c r="A72" s="190" t="s">
        <v>116</v>
      </c>
      <c r="B72" s="191" t="s">
        <v>80</v>
      </c>
      <c r="C72" s="230" t="s">
        <v>670</v>
      </c>
      <c r="D72" s="238">
        <v>1</v>
      </c>
      <c r="E72" s="234">
        <f t="shared" si="26"/>
        <v>3400</v>
      </c>
      <c r="F72" s="234"/>
      <c r="G72" s="234">
        <v>3400</v>
      </c>
      <c r="H72" s="240">
        <f t="shared" si="27"/>
        <v>1020</v>
      </c>
      <c r="I72" s="234">
        <v>170</v>
      </c>
      <c r="J72" s="234">
        <v>170</v>
      </c>
      <c r="K72" s="234">
        <v>170</v>
      </c>
      <c r="L72" s="234">
        <v>170</v>
      </c>
      <c r="M72" s="234">
        <v>170</v>
      </c>
      <c r="N72" s="234">
        <v>170</v>
      </c>
      <c r="O72" s="235"/>
      <c r="P72" s="235">
        <f t="shared" si="28"/>
        <v>2380</v>
      </c>
      <c r="Q72" s="234">
        <v>170</v>
      </c>
      <c r="R72" s="234">
        <v>170</v>
      </c>
      <c r="S72" s="234">
        <v>170</v>
      </c>
      <c r="T72" s="234">
        <v>170</v>
      </c>
      <c r="U72" s="234">
        <v>170</v>
      </c>
      <c r="V72" s="234">
        <v>170</v>
      </c>
      <c r="W72" s="234">
        <v>170</v>
      </c>
      <c r="X72" s="234">
        <v>170</v>
      </c>
      <c r="Y72" s="234">
        <v>170</v>
      </c>
      <c r="Z72" s="234">
        <v>170</v>
      </c>
      <c r="AA72" s="234">
        <v>170</v>
      </c>
      <c r="AB72" s="234">
        <v>170</v>
      </c>
      <c r="AC72" s="234">
        <v>170</v>
      </c>
      <c r="AD72" s="234">
        <v>170</v>
      </c>
      <c r="AE72" s="234"/>
      <c r="AF72" s="234">
        <f t="shared" si="29"/>
        <v>0</v>
      </c>
      <c r="AG72" s="234"/>
      <c r="AH72" s="234"/>
      <c r="AI72" s="197">
        <f t="shared" si="25"/>
        <v>0</v>
      </c>
    </row>
    <row r="73" spans="1:35" s="198" customFormat="1" ht="26.1" customHeight="1">
      <c r="A73" s="190" t="s">
        <v>116</v>
      </c>
      <c r="B73" s="191" t="s">
        <v>80</v>
      </c>
      <c r="C73" s="230" t="s">
        <v>671</v>
      </c>
      <c r="D73" s="238">
        <v>1</v>
      </c>
      <c r="E73" s="234">
        <f t="shared" si="26"/>
        <v>12000</v>
      </c>
      <c r="F73" s="234">
        <v>10400</v>
      </c>
      <c r="G73" s="234">
        <v>1600</v>
      </c>
      <c r="H73" s="240">
        <f t="shared" si="27"/>
        <v>1600</v>
      </c>
      <c r="I73" s="234"/>
      <c r="J73" s="234"/>
      <c r="K73" s="234"/>
      <c r="L73" s="234">
        <v>1600</v>
      </c>
      <c r="M73" s="234"/>
      <c r="N73" s="234"/>
      <c r="O73" s="235"/>
      <c r="P73" s="235">
        <f t="shared" si="28"/>
        <v>10400</v>
      </c>
      <c r="Q73" s="234">
        <v>2800</v>
      </c>
      <c r="R73" s="234"/>
      <c r="S73" s="234"/>
      <c r="T73" s="234"/>
      <c r="U73" s="234">
        <v>2000</v>
      </c>
      <c r="V73" s="234"/>
      <c r="W73" s="234"/>
      <c r="X73" s="234"/>
      <c r="Y73" s="234">
        <v>2800</v>
      </c>
      <c r="Z73" s="234"/>
      <c r="AA73" s="234"/>
      <c r="AB73" s="234"/>
      <c r="AC73" s="234">
        <v>2800</v>
      </c>
      <c r="AD73" s="234"/>
      <c r="AE73" s="234"/>
      <c r="AF73" s="234">
        <f t="shared" si="29"/>
        <v>0</v>
      </c>
      <c r="AG73" s="234"/>
      <c r="AH73" s="234"/>
      <c r="AI73" s="197">
        <f t="shared" si="25"/>
        <v>0</v>
      </c>
    </row>
    <row r="74" spans="1:35" s="198" customFormat="1" ht="26.1" customHeight="1">
      <c r="A74" s="190" t="s">
        <v>116</v>
      </c>
      <c r="B74" s="191" t="s">
        <v>80</v>
      </c>
      <c r="C74" s="230" t="s">
        <v>514</v>
      </c>
      <c r="D74" s="238">
        <v>5</v>
      </c>
      <c r="E74" s="234">
        <f t="shared" si="26"/>
        <v>615</v>
      </c>
      <c r="F74" s="234">
        <v>615</v>
      </c>
      <c r="G74" s="234"/>
      <c r="H74" s="240">
        <f t="shared" si="27"/>
        <v>0</v>
      </c>
      <c r="I74" s="234"/>
      <c r="J74" s="234"/>
      <c r="K74" s="234"/>
      <c r="L74" s="234"/>
      <c r="M74" s="234"/>
      <c r="N74" s="234"/>
      <c r="O74" s="235"/>
      <c r="P74" s="235">
        <f t="shared" si="28"/>
        <v>615</v>
      </c>
      <c r="Q74" s="234"/>
      <c r="R74" s="234"/>
      <c r="S74" s="234"/>
      <c r="T74" s="234"/>
      <c r="U74" s="234"/>
      <c r="V74" s="234"/>
      <c r="W74" s="234"/>
      <c r="X74" s="234"/>
      <c r="Y74" s="234">
        <v>615</v>
      </c>
      <c r="Z74" s="234"/>
      <c r="AA74" s="234"/>
      <c r="AB74" s="234"/>
      <c r="AC74" s="234"/>
      <c r="AD74" s="234"/>
      <c r="AE74" s="234"/>
      <c r="AF74" s="234">
        <f t="shared" si="29"/>
        <v>0</v>
      </c>
      <c r="AG74" s="234"/>
      <c r="AH74" s="234"/>
      <c r="AI74" s="197">
        <f t="shared" si="25"/>
        <v>0</v>
      </c>
    </row>
    <row r="75" spans="1:35" s="198" customFormat="1" ht="26.1" customHeight="1">
      <c r="A75" s="190" t="s">
        <v>116</v>
      </c>
      <c r="B75" s="191" t="s">
        <v>80</v>
      </c>
      <c r="C75" s="230" t="s">
        <v>672</v>
      </c>
      <c r="D75" s="238">
        <v>1</v>
      </c>
      <c r="E75" s="234">
        <f t="shared" si="26"/>
        <v>193565</v>
      </c>
      <c r="F75" s="234">
        <v>193565</v>
      </c>
      <c r="G75" s="234"/>
      <c r="H75" s="240">
        <f t="shared" si="27"/>
        <v>91300</v>
      </c>
      <c r="I75" s="234"/>
      <c r="J75" s="234">
        <v>18133</v>
      </c>
      <c r="K75" s="234">
        <v>24446</v>
      </c>
      <c r="L75" s="234">
        <v>14876</v>
      </c>
      <c r="M75" s="234">
        <v>18223</v>
      </c>
      <c r="N75" s="234">
        <v>15622</v>
      </c>
      <c r="O75" s="235"/>
      <c r="P75" s="235">
        <f t="shared" si="28"/>
        <v>102265</v>
      </c>
      <c r="Q75" s="234"/>
      <c r="R75" s="234">
        <v>6110</v>
      </c>
      <c r="S75" s="234">
        <v>7220</v>
      </c>
      <c r="T75" s="234">
        <v>11505</v>
      </c>
      <c r="U75" s="234">
        <v>9135</v>
      </c>
      <c r="V75" s="234">
        <v>11745</v>
      </c>
      <c r="W75" s="234">
        <v>8190</v>
      </c>
      <c r="X75" s="234">
        <v>16380</v>
      </c>
      <c r="Y75" s="234">
        <v>5460</v>
      </c>
      <c r="Z75" s="234">
        <v>16965</v>
      </c>
      <c r="AA75" s="234">
        <v>9555</v>
      </c>
      <c r="AB75" s="234"/>
      <c r="AC75" s="234"/>
      <c r="AD75" s="234"/>
      <c r="AE75" s="234"/>
      <c r="AF75" s="234">
        <f t="shared" si="29"/>
        <v>0</v>
      </c>
      <c r="AG75" s="234"/>
      <c r="AH75" s="234"/>
      <c r="AI75" s="197">
        <f t="shared" si="25"/>
        <v>0</v>
      </c>
    </row>
    <row r="76" spans="1:35" s="198" customFormat="1" ht="26.1" customHeight="1">
      <c r="A76" s="190" t="s">
        <v>116</v>
      </c>
      <c r="B76" s="191" t="s">
        <v>80</v>
      </c>
      <c r="C76" s="230" t="s">
        <v>673</v>
      </c>
      <c r="D76" s="238">
        <v>1</v>
      </c>
      <c r="E76" s="234">
        <f t="shared" si="26"/>
        <v>28398</v>
      </c>
      <c r="F76" s="234">
        <v>28398</v>
      </c>
      <c r="G76" s="234"/>
      <c r="H76" s="240">
        <f t="shared" si="27"/>
        <v>13979</v>
      </c>
      <c r="I76" s="234"/>
      <c r="J76" s="234">
        <v>1740</v>
      </c>
      <c r="K76" s="234">
        <v>4146</v>
      </c>
      <c r="L76" s="234">
        <v>4805</v>
      </c>
      <c r="M76" s="234">
        <v>752</v>
      </c>
      <c r="N76" s="234">
        <v>2536</v>
      </c>
      <c r="O76" s="235"/>
      <c r="P76" s="235">
        <f t="shared" si="28"/>
        <v>14419</v>
      </c>
      <c r="Q76" s="234">
        <v>1003</v>
      </c>
      <c r="R76" s="234"/>
      <c r="S76" s="234">
        <v>950</v>
      </c>
      <c r="T76" s="234">
        <v>358</v>
      </c>
      <c r="U76" s="234">
        <v>1576</v>
      </c>
      <c r="V76" s="234"/>
      <c r="W76" s="234">
        <v>2444</v>
      </c>
      <c r="X76" s="234">
        <v>842</v>
      </c>
      <c r="Y76" s="234">
        <v>574</v>
      </c>
      <c r="Z76" s="234">
        <v>3837</v>
      </c>
      <c r="AA76" s="234"/>
      <c r="AB76" s="234"/>
      <c r="AC76" s="234">
        <v>2003</v>
      </c>
      <c r="AD76" s="234">
        <v>832</v>
      </c>
      <c r="AE76" s="234"/>
      <c r="AF76" s="234">
        <f t="shared" si="29"/>
        <v>0</v>
      </c>
      <c r="AG76" s="234"/>
      <c r="AH76" s="234"/>
      <c r="AI76" s="197">
        <f t="shared" si="25"/>
        <v>0</v>
      </c>
    </row>
    <row r="77" spans="1:35" s="198" customFormat="1" ht="26.1" customHeight="1">
      <c r="A77" s="190"/>
      <c r="B77" s="191"/>
      <c r="C77" s="230"/>
      <c r="D77" s="238"/>
      <c r="E77" s="245">
        <f t="shared" ref="E77:J77" si="30">SUM(E78:E90)</f>
        <v>18481638</v>
      </c>
      <c r="F77" s="234">
        <f t="shared" si="30"/>
        <v>425032</v>
      </c>
      <c r="G77" s="234">
        <f t="shared" si="30"/>
        <v>18056606</v>
      </c>
      <c r="H77" s="245">
        <f t="shared" si="30"/>
        <v>10666260</v>
      </c>
      <c r="I77" s="234">
        <f t="shared" si="30"/>
        <v>48600</v>
      </c>
      <c r="J77" s="234">
        <f t="shared" si="30"/>
        <v>3011895</v>
      </c>
      <c r="K77" s="234"/>
      <c r="L77" s="234">
        <f t="shared" ref="L77:AH77" si="31">SUM(L78:L90)</f>
        <v>2310109</v>
      </c>
      <c r="M77" s="234">
        <f t="shared" si="31"/>
        <v>1393260</v>
      </c>
      <c r="N77" s="234">
        <f t="shared" si="31"/>
        <v>2732776</v>
      </c>
      <c r="O77" s="234">
        <f t="shared" si="31"/>
        <v>379300</v>
      </c>
      <c r="P77" s="245">
        <f t="shared" si="31"/>
        <v>7432370</v>
      </c>
      <c r="Q77" s="234">
        <f t="shared" si="31"/>
        <v>936025</v>
      </c>
      <c r="R77" s="234">
        <f t="shared" si="31"/>
        <v>229445</v>
      </c>
      <c r="S77" s="234">
        <f t="shared" si="31"/>
        <v>671677</v>
      </c>
      <c r="T77" s="234">
        <f t="shared" si="31"/>
        <v>289185</v>
      </c>
      <c r="U77" s="234">
        <f t="shared" si="31"/>
        <v>494705</v>
      </c>
      <c r="V77" s="234">
        <f t="shared" si="31"/>
        <v>279123</v>
      </c>
      <c r="W77" s="234">
        <f t="shared" si="31"/>
        <v>337720</v>
      </c>
      <c r="X77" s="234">
        <f t="shared" si="31"/>
        <v>744819</v>
      </c>
      <c r="Y77" s="234">
        <f t="shared" si="31"/>
        <v>389711</v>
      </c>
      <c r="Z77" s="234">
        <f t="shared" si="31"/>
        <v>799385</v>
      </c>
      <c r="AA77" s="234">
        <f t="shared" si="31"/>
        <v>160309</v>
      </c>
      <c r="AB77" s="234">
        <f t="shared" si="31"/>
        <v>709066</v>
      </c>
      <c r="AC77" s="234">
        <f t="shared" si="31"/>
        <v>249482</v>
      </c>
      <c r="AD77" s="234">
        <f t="shared" si="31"/>
        <v>130091</v>
      </c>
      <c r="AE77" s="234">
        <f t="shared" si="31"/>
        <v>1011627</v>
      </c>
      <c r="AF77" s="245">
        <f t="shared" si="31"/>
        <v>383008</v>
      </c>
      <c r="AG77" s="234">
        <f t="shared" si="31"/>
        <v>256080</v>
      </c>
      <c r="AH77" s="234">
        <f t="shared" si="31"/>
        <v>126928</v>
      </c>
      <c r="AI77" s="197">
        <f t="shared" ref="AI77:AI91" si="32">IF(+F77+G77=E77,0,FALSE)</f>
        <v>0</v>
      </c>
    </row>
    <row r="78" spans="1:35" s="198" customFormat="1" ht="26.1" customHeight="1">
      <c r="A78" s="190" t="s">
        <v>116</v>
      </c>
      <c r="B78" s="191" t="s">
        <v>114</v>
      </c>
      <c r="C78" s="230" t="s">
        <v>86</v>
      </c>
      <c r="D78" s="238">
        <v>4</v>
      </c>
      <c r="E78" s="234">
        <f t="shared" ref="E78:E90" si="33">SUM(H78,P78,AF78)</f>
        <v>3000</v>
      </c>
      <c r="F78" s="234">
        <v>3000</v>
      </c>
      <c r="G78" s="234"/>
      <c r="H78" s="240">
        <f t="shared" ref="H78:H90" si="34">SUM(I78:O78)</f>
        <v>0</v>
      </c>
      <c r="I78" s="234"/>
      <c r="J78" s="234"/>
      <c r="K78" s="234"/>
      <c r="L78" s="234"/>
      <c r="M78" s="234"/>
      <c r="N78" s="234"/>
      <c r="O78" s="235"/>
      <c r="P78" s="235">
        <f t="shared" ref="P78:P90" si="35">SUM(Q78:AE78)</f>
        <v>2000</v>
      </c>
      <c r="Q78" s="234"/>
      <c r="R78" s="234"/>
      <c r="S78" s="234"/>
      <c r="T78" s="234"/>
      <c r="U78" s="234"/>
      <c r="V78" s="234"/>
      <c r="W78" s="234"/>
      <c r="X78" s="234"/>
      <c r="Y78" s="234"/>
      <c r="Z78" s="234"/>
      <c r="AA78" s="234"/>
      <c r="AB78" s="234"/>
      <c r="AC78" s="234"/>
      <c r="AD78" s="234"/>
      <c r="AE78" s="234">
        <v>2000</v>
      </c>
      <c r="AF78" s="234">
        <f t="shared" ref="AF78:AF90" si="36">SUM(AG78:AH78)</f>
        <v>1000</v>
      </c>
      <c r="AG78" s="234">
        <v>500</v>
      </c>
      <c r="AH78" s="234">
        <v>500</v>
      </c>
      <c r="AI78" s="197">
        <f t="shared" si="32"/>
        <v>0</v>
      </c>
    </row>
    <row r="79" spans="1:35" s="198" customFormat="1" ht="26.1" customHeight="1">
      <c r="A79" s="190" t="s">
        <v>116</v>
      </c>
      <c r="B79" s="191" t="s">
        <v>114</v>
      </c>
      <c r="C79" s="230" t="s">
        <v>87</v>
      </c>
      <c r="D79" s="238">
        <v>4</v>
      </c>
      <c r="E79" s="234">
        <f t="shared" si="33"/>
        <v>1280</v>
      </c>
      <c r="F79" s="234">
        <v>1280</v>
      </c>
      <c r="G79" s="234"/>
      <c r="H79" s="240">
        <f t="shared" si="34"/>
        <v>1280</v>
      </c>
      <c r="I79" s="234"/>
      <c r="J79" s="234"/>
      <c r="K79" s="234"/>
      <c r="L79" s="234">
        <v>1280</v>
      </c>
      <c r="M79" s="234"/>
      <c r="N79" s="234"/>
      <c r="O79" s="235"/>
      <c r="P79" s="235">
        <f t="shared" si="35"/>
        <v>0</v>
      </c>
      <c r="Q79" s="234"/>
      <c r="R79" s="234"/>
      <c r="S79" s="234"/>
      <c r="T79" s="234"/>
      <c r="U79" s="234"/>
      <c r="V79" s="234"/>
      <c r="W79" s="234"/>
      <c r="X79" s="234"/>
      <c r="Y79" s="234"/>
      <c r="Z79" s="234"/>
      <c r="AA79" s="234"/>
      <c r="AB79" s="234"/>
      <c r="AC79" s="234"/>
      <c r="AD79" s="234"/>
      <c r="AE79" s="234"/>
      <c r="AF79" s="234">
        <f t="shared" si="36"/>
        <v>0</v>
      </c>
      <c r="AG79" s="234"/>
      <c r="AH79" s="234"/>
      <c r="AI79" s="197">
        <f t="shared" si="32"/>
        <v>0</v>
      </c>
    </row>
    <row r="80" spans="1:35" s="198" customFormat="1" ht="26.1" customHeight="1">
      <c r="A80" s="190" t="s">
        <v>116</v>
      </c>
      <c r="B80" s="191" t="s">
        <v>114</v>
      </c>
      <c r="C80" s="230" t="s">
        <v>88</v>
      </c>
      <c r="D80" s="238">
        <v>4</v>
      </c>
      <c r="E80" s="234">
        <f t="shared" si="33"/>
        <v>10752</v>
      </c>
      <c r="F80" s="234">
        <v>10752</v>
      </c>
      <c r="G80" s="234"/>
      <c r="H80" s="240">
        <f t="shared" si="34"/>
        <v>3600</v>
      </c>
      <c r="I80" s="234">
        <v>600</v>
      </c>
      <c r="J80" s="234">
        <v>600</v>
      </c>
      <c r="K80" s="234">
        <v>600</v>
      </c>
      <c r="L80" s="234">
        <v>600</v>
      </c>
      <c r="M80" s="234">
        <v>600</v>
      </c>
      <c r="N80" s="234">
        <v>600</v>
      </c>
      <c r="O80" s="235"/>
      <c r="P80" s="235">
        <f t="shared" si="35"/>
        <v>6790</v>
      </c>
      <c r="Q80" s="234">
        <v>485</v>
      </c>
      <c r="R80" s="234">
        <v>485</v>
      </c>
      <c r="S80" s="234">
        <v>485</v>
      </c>
      <c r="T80" s="234">
        <v>485</v>
      </c>
      <c r="U80" s="234">
        <v>485</v>
      </c>
      <c r="V80" s="234">
        <v>485</v>
      </c>
      <c r="W80" s="234">
        <v>485</v>
      </c>
      <c r="X80" s="234">
        <v>485</v>
      </c>
      <c r="Y80" s="234">
        <v>485</v>
      </c>
      <c r="Z80" s="234">
        <v>485</v>
      </c>
      <c r="AA80" s="234">
        <v>485</v>
      </c>
      <c r="AB80" s="234">
        <v>485</v>
      </c>
      <c r="AC80" s="234">
        <v>485</v>
      </c>
      <c r="AD80" s="234">
        <v>485</v>
      </c>
      <c r="AE80" s="234"/>
      <c r="AF80" s="234">
        <f t="shared" si="36"/>
        <v>362</v>
      </c>
      <c r="AG80" s="234">
        <v>181</v>
      </c>
      <c r="AH80" s="234">
        <v>181</v>
      </c>
      <c r="AI80" s="197">
        <f t="shared" si="32"/>
        <v>0</v>
      </c>
    </row>
    <row r="81" spans="1:35" s="198" customFormat="1" ht="26.1" customHeight="1">
      <c r="A81" s="190" t="s">
        <v>116</v>
      </c>
      <c r="B81" s="191" t="s">
        <v>114</v>
      </c>
      <c r="C81" s="230" t="s">
        <v>674</v>
      </c>
      <c r="D81" s="238">
        <v>4</v>
      </c>
      <c r="E81" s="234">
        <f t="shared" si="33"/>
        <v>23500</v>
      </c>
      <c r="F81" s="234">
        <v>23500</v>
      </c>
      <c r="G81" s="234"/>
      <c r="H81" s="240">
        <f t="shared" si="34"/>
        <v>10000</v>
      </c>
      <c r="I81" s="234"/>
      <c r="J81" s="234"/>
      <c r="K81" s="234"/>
      <c r="L81" s="234"/>
      <c r="M81" s="234"/>
      <c r="N81" s="234"/>
      <c r="O81" s="235">
        <v>10000</v>
      </c>
      <c r="P81" s="235">
        <f t="shared" si="35"/>
        <v>13000</v>
      </c>
      <c r="Q81" s="234"/>
      <c r="R81" s="234"/>
      <c r="S81" s="234"/>
      <c r="T81" s="234"/>
      <c r="U81" s="234"/>
      <c r="V81" s="234"/>
      <c r="W81" s="234"/>
      <c r="X81" s="234"/>
      <c r="Y81" s="234"/>
      <c r="Z81" s="234"/>
      <c r="AA81" s="234"/>
      <c r="AB81" s="234"/>
      <c r="AC81" s="234"/>
      <c r="AD81" s="234"/>
      <c r="AE81" s="234">
        <v>13000</v>
      </c>
      <c r="AF81" s="234">
        <f t="shared" si="36"/>
        <v>500</v>
      </c>
      <c r="AG81" s="234">
        <v>500</v>
      </c>
      <c r="AH81" s="234"/>
      <c r="AI81" s="197">
        <f t="shared" si="32"/>
        <v>0</v>
      </c>
    </row>
    <row r="82" spans="1:35" s="198" customFormat="1" ht="26.1" customHeight="1">
      <c r="A82" s="190" t="s">
        <v>116</v>
      </c>
      <c r="B82" s="191" t="s">
        <v>114</v>
      </c>
      <c r="C82" s="230" t="s">
        <v>675</v>
      </c>
      <c r="D82" s="238">
        <v>4</v>
      </c>
      <c r="E82" s="234">
        <f t="shared" si="33"/>
        <v>82000</v>
      </c>
      <c r="F82" s="234"/>
      <c r="G82" s="234">
        <v>82000</v>
      </c>
      <c r="H82" s="240">
        <f t="shared" si="34"/>
        <v>32500</v>
      </c>
      <c r="I82" s="234"/>
      <c r="J82" s="234">
        <v>5000</v>
      </c>
      <c r="K82" s="234">
        <v>3000</v>
      </c>
      <c r="L82" s="234">
        <v>8000</v>
      </c>
      <c r="M82" s="234">
        <v>8500</v>
      </c>
      <c r="N82" s="234">
        <v>8000</v>
      </c>
      <c r="O82" s="235"/>
      <c r="P82" s="235">
        <f t="shared" si="35"/>
        <v>47500</v>
      </c>
      <c r="Q82" s="234">
        <v>4000</v>
      </c>
      <c r="R82" s="234">
        <v>4500</v>
      </c>
      <c r="S82" s="234">
        <v>3500</v>
      </c>
      <c r="T82" s="234">
        <v>3500</v>
      </c>
      <c r="U82" s="234">
        <v>3500</v>
      </c>
      <c r="V82" s="234">
        <v>3500</v>
      </c>
      <c r="W82" s="234">
        <v>5000</v>
      </c>
      <c r="X82" s="234">
        <v>5500</v>
      </c>
      <c r="Y82" s="234">
        <v>4000</v>
      </c>
      <c r="Z82" s="234">
        <v>3000</v>
      </c>
      <c r="AA82" s="234"/>
      <c r="AB82" s="234">
        <v>1500</v>
      </c>
      <c r="AC82" s="234">
        <v>3000</v>
      </c>
      <c r="AD82" s="234">
        <v>3000</v>
      </c>
      <c r="AE82" s="234"/>
      <c r="AF82" s="234">
        <f t="shared" si="36"/>
        <v>2000</v>
      </c>
      <c r="AG82" s="234"/>
      <c r="AH82" s="234">
        <v>2000</v>
      </c>
      <c r="AI82" s="197">
        <f t="shared" si="32"/>
        <v>0</v>
      </c>
    </row>
    <row r="83" spans="1:35" s="198" customFormat="1" ht="26.1" customHeight="1">
      <c r="A83" s="190" t="s">
        <v>116</v>
      </c>
      <c r="B83" s="191" t="s">
        <v>114</v>
      </c>
      <c r="C83" s="230" t="s">
        <v>515</v>
      </c>
      <c r="D83" s="238">
        <v>4</v>
      </c>
      <c r="E83" s="234">
        <f t="shared" si="33"/>
        <v>889006</v>
      </c>
      <c r="F83" s="234">
        <v>55000</v>
      </c>
      <c r="G83" s="234">
        <v>834006</v>
      </c>
      <c r="H83" s="240">
        <f t="shared" si="34"/>
        <v>240000</v>
      </c>
      <c r="I83" s="234">
        <v>40000</v>
      </c>
      <c r="J83" s="234">
        <v>40000</v>
      </c>
      <c r="K83" s="234">
        <v>40000</v>
      </c>
      <c r="L83" s="234">
        <v>40000</v>
      </c>
      <c r="M83" s="234">
        <v>40000</v>
      </c>
      <c r="N83" s="234">
        <v>40000</v>
      </c>
      <c r="O83" s="235"/>
      <c r="P83" s="235">
        <f t="shared" si="35"/>
        <v>576800</v>
      </c>
      <c r="Q83" s="234">
        <v>45000</v>
      </c>
      <c r="R83" s="234">
        <v>41200</v>
      </c>
      <c r="S83" s="234">
        <v>41200</v>
      </c>
      <c r="T83" s="234">
        <v>41200</v>
      </c>
      <c r="U83" s="234">
        <v>41200</v>
      </c>
      <c r="V83" s="234">
        <v>41200</v>
      </c>
      <c r="W83" s="234">
        <v>41200</v>
      </c>
      <c r="X83" s="234">
        <v>41200</v>
      </c>
      <c r="Y83" s="234">
        <v>41200</v>
      </c>
      <c r="Z83" s="234">
        <v>41200</v>
      </c>
      <c r="AA83" s="234">
        <v>41200</v>
      </c>
      <c r="AB83" s="234">
        <v>41397</v>
      </c>
      <c r="AC83" s="234">
        <v>41397</v>
      </c>
      <c r="AD83" s="234">
        <v>37006</v>
      </c>
      <c r="AE83" s="234"/>
      <c r="AF83" s="234">
        <f t="shared" si="36"/>
        <v>72206</v>
      </c>
      <c r="AG83" s="234">
        <v>36130</v>
      </c>
      <c r="AH83" s="234">
        <v>36076</v>
      </c>
      <c r="AI83" s="197">
        <f t="shared" si="32"/>
        <v>0</v>
      </c>
    </row>
    <row r="84" spans="1:35" s="198" customFormat="1" ht="26.1" customHeight="1">
      <c r="A84" s="190" t="s">
        <v>116</v>
      </c>
      <c r="B84" s="191" t="s">
        <v>114</v>
      </c>
      <c r="C84" s="230" t="s">
        <v>516</v>
      </c>
      <c r="D84" s="238">
        <v>4</v>
      </c>
      <c r="E84" s="234">
        <f t="shared" si="33"/>
        <v>98500</v>
      </c>
      <c r="F84" s="234">
        <v>0</v>
      </c>
      <c r="G84" s="234">
        <v>98500</v>
      </c>
      <c r="H84" s="240">
        <f t="shared" si="34"/>
        <v>42000</v>
      </c>
      <c r="I84" s="234">
        <v>7000</v>
      </c>
      <c r="J84" s="234">
        <v>7000</v>
      </c>
      <c r="K84" s="234">
        <v>7000</v>
      </c>
      <c r="L84" s="234">
        <v>7000</v>
      </c>
      <c r="M84" s="234">
        <v>7000</v>
      </c>
      <c r="N84" s="234">
        <v>7000</v>
      </c>
      <c r="O84" s="235">
        <v>0</v>
      </c>
      <c r="P84" s="235">
        <f t="shared" si="35"/>
        <v>53200</v>
      </c>
      <c r="Q84" s="234">
        <v>3800</v>
      </c>
      <c r="R84" s="234">
        <v>3800</v>
      </c>
      <c r="S84" s="234">
        <v>3800</v>
      </c>
      <c r="T84" s="234">
        <v>3800</v>
      </c>
      <c r="U84" s="234">
        <v>3800</v>
      </c>
      <c r="V84" s="234">
        <v>3800</v>
      </c>
      <c r="W84" s="234">
        <v>3800</v>
      </c>
      <c r="X84" s="234">
        <v>3800</v>
      </c>
      <c r="Y84" s="234">
        <v>3800</v>
      </c>
      <c r="Z84" s="234">
        <v>3800</v>
      </c>
      <c r="AA84" s="234">
        <v>3800</v>
      </c>
      <c r="AB84" s="234">
        <v>3800</v>
      </c>
      <c r="AC84" s="234">
        <v>3800</v>
      </c>
      <c r="AD84" s="234">
        <v>3800</v>
      </c>
      <c r="AE84" s="234">
        <v>0</v>
      </c>
      <c r="AF84" s="234">
        <f t="shared" si="36"/>
        <v>3300</v>
      </c>
      <c r="AG84" s="234">
        <v>1650</v>
      </c>
      <c r="AH84" s="234">
        <v>1650</v>
      </c>
      <c r="AI84" s="197">
        <f t="shared" si="32"/>
        <v>0</v>
      </c>
    </row>
    <row r="85" spans="1:35" s="198" customFormat="1" ht="26.1" customHeight="1">
      <c r="A85" s="190" t="s">
        <v>116</v>
      </c>
      <c r="B85" s="191" t="s">
        <v>114</v>
      </c>
      <c r="C85" s="230" t="s">
        <v>242</v>
      </c>
      <c r="D85" s="238">
        <v>6</v>
      </c>
      <c r="E85" s="234">
        <f t="shared" si="33"/>
        <v>12990600</v>
      </c>
      <c r="F85" s="234">
        <v>300600</v>
      </c>
      <c r="G85" s="234">
        <v>12690000</v>
      </c>
      <c r="H85" s="240">
        <f t="shared" si="34"/>
        <v>8454580</v>
      </c>
      <c r="I85" s="234"/>
      <c r="J85" s="234">
        <v>2901200</v>
      </c>
      <c r="K85" s="234">
        <v>738720</v>
      </c>
      <c r="L85" s="234">
        <v>1391400</v>
      </c>
      <c r="M85" s="234">
        <v>1124600</v>
      </c>
      <c r="N85" s="234">
        <v>2298660</v>
      </c>
      <c r="O85" s="235"/>
      <c r="P85" s="235">
        <f t="shared" si="35"/>
        <v>4373380</v>
      </c>
      <c r="Q85" s="234">
        <v>630240</v>
      </c>
      <c r="R85" s="234">
        <v>178960</v>
      </c>
      <c r="S85" s="234">
        <v>567320</v>
      </c>
      <c r="T85" s="234">
        <v>239600</v>
      </c>
      <c r="U85" s="234">
        <v>412800</v>
      </c>
      <c r="V85" s="234">
        <v>99600</v>
      </c>
      <c r="W85" s="234">
        <v>207040</v>
      </c>
      <c r="X85" s="234">
        <v>422240</v>
      </c>
      <c r="Y85" s="234">
        <v>187120</v>
      </c>
      <c r="Z85" s="234">
        <v>710240</v>
      </c>
      <c r="AA85" s="234">
        <v>52380</v>
      </c>
      <c r="AB85" s="234">
        <v>437040</v>
      </c>
      <c r="AC85" s="234">
        <v>200600</v>
      </c>
      <c r="AD85" s="234">
        <v>28200</v>
      </c>
      <c r="AE85" s="234"/>
      <c r="AF85" s="234">
        <f t="shared" si="36"/>
        <v>162640</v>
      </c>
      <c r="AG85" s="234">
        <v>145050</v>
      </c>
      <c r="AH85" s="234">
        <v>17590</v>
      </c>
      <c r="AI85" s="197">
        <f t="shared" si="32"/>
        <v>0</v>
      </c>
    </row>
    <row r="86" spans="1:35" s="198" customFormat="1" ht="26.1" customHeight="1">
      <c r="A86" s="190" t="s">
        <v>116</v>
      </c>
      <c r="B86" s="191" t="s">
        <v>114</v>
      </c>
      <c r="C86" s="230" t="s">
        <v>243</v>
      </c>
      <c r="D86" s="238">
        <v>4</v>
      </c>
      <c r="E86" s="234">
        <f t="shared" si="33"/>
        <v>3000000</v>
      </c>
      <c r="F86" s="234"/>
      <c r="G86" s="234">
        <v>3000000</v>
      </c>
      <c r="H86" s="240">
        <f t="shared" si="34"/>
        <v>1500000</v>
      </c>
      <c r="I86" s="234"/>
      <c r="J86" s="234">
        <v>57095</v>
      </c>
      <c r="K86" s="234"/>
      <c r="L86" s="234">
        <v>860829</v>
      </c>
      <c r="M86" s="234">
        <v>211560</v>
      </c>
      <c r="N86" s="234">
        <v>370516</v>
      </c>
      <c r="O86" s="235"/>
      <c r="P86" s="235">
        <f t="shared" si="35"/>
        <v>1420000</v>
      </c>
      <c r="Q86" s="234">
        <v>252000</v>
      </c>
      <c r="R86" s="234"/>
      <c r="S86" s="234">
        <v>53372</v>
      </c>
      <c r="T86" s="234"/>
      <c r="U86" s="234">
        <v>31920</v>
      </c>
      <c r="V86" s="234">
        <v>129038</v>
      </c>
      <c r="W86" s="234">
        <v>79895</v>
      </c>
      <c r="X86" s="234">
        <v>267094</v>
      </c>
      <c r="Y86" s="234">
        <v>146106</v>
      </c>
      <c r="Z86" s="234">
        <v>36960</v>
      </c>
      <c r="AA86" s="234">
        <v>61444</v>
      </c>
      <c r="AB86" s="234">
        <v>224344</v>
      </c>
      <c r="AC86" s="234"/>
      <c r="AD86" s="234">
        <v>57400</v>
      </c>
      <c r="AE86" s="234">
        <v>80427</v>
      </c>
      <c r="AF86" s="234">
        <f t="shared" si="36"/>
        <v>80000</v>
      </c>
      <c r="AG86" s="234">
        <v>41569</v>
      </c>
      <c r="AH86" s="234">
        <v>38431</v>
      </c>
      <c r="AI86" s="197">
        <f t="shared" si="32"/>
        <v>0</v>
      </c>
    </row>
    <row r="87" spans="1:35" s="198" customFormat="1" ht="26.1" customHeight="1">
      <c r="A87" s="190" t="s">
        <v>116</v>
      </c>
      <c r="B87" s="191" t="s">
        <v>114</v>
      </c>
      <c r="C87" s="230" t="s">
        <v>244</v>
      </c>
      <c r="D87" s="238">
        <v>4</v>
      </c>
      <c r="E87" s="234">
        <f t="shared" si="33"/>
        <v>1327500</v>
      </c>
      <c r="F87" s="234"/>
      <c r="G87" s="234">
        <v>1327500</v>
      </c>
      <c r="H87" s="240">
        <f t="shared" si="34"/>
        <v>367500</v>
      </c>
      <c r="I87" s="234"/>
      <c r="J87" s="234"/>
      <c r="K87" s="234"/>
      <c r="L87" s="234"/>
      <c r="M87" s="234"/>
      <c r="N87" s="234"/>
      <c r="O87" s="235">
        <v>367500</v>
      </c>
      <c r="P87" s="235">
        <f t="shared" si="35"/>
        <v>900000</v>
      </c>
      <c r="Q87" s="234"/>
      <c r="R87" s="234"/>
      <c r="S87" s="234"/>
      <c r="T87" s="234"/>
      <c r="U87" s="234"/>
      <c r="V87" s="234"/>
      <c r="W87" s="234"/>
      <c r="X87" s="234"/>
      <c r="Y87" s="234"/>
      <c r="Z87" s="234"/>
      <c r="AA87" s="234"/>
      <c r="AB87" s="234"/>
      <c r="AC87" s="234"/>
      <c r="AD87" s="234"/>
      <c r="AE87" s="234">
        <v>900000</v>
      </c>
      <c r="AF87" s="234">
        <f t="shared" si="36"/>
        <v>60000</v>
      </c>
      <c r="AG87" s="234">
        <v>30000</v>
      </c>
      <c r="AH87" s="234">
        <v>30000</v>
      </c>
      <c r="AI87" s="197">
        <f t="shared" si="32"/>
        <v>0</v>
      </c>
    </row>
    <row r="88" spans="1:35" s="198" customFormat="1" ht="26.1" customHeight="1">
      <c r="A88" s="190" t="s">
        <v>116</v>
      </c>
      <c r="B88" s="191" t="s">
        <v>114</v>
      </c>
      <c r="C88" s="230" t="s">
        <v>245</v>
      </c>
      <c r="D88" s="238">
        <v>4</v>
      </c>
      <c r="E88" s="234">
        <f t="shared" si="33"/>
        <v>10000</v>
      </c>
      <c r="F88" s="234">
        <v>8000</v>
      </c>
      <c r="G88" s="234">
        <v>2000</v>
      </c>
      <c r="H88" s="240">
        <f t="shared" si="34"/>
        <v>0</v>
      </c>
      <c r="I88" s="234"/>
      <c r="J88" s="234"/>
      <c r="K88" s="234"/>
      <c r="L88" s="234"/>
      <c r="M88" s="234"/>
      <c r="N88" s="234"/>
      <c r="O88" s="235"/>
      <c r="P88" s="235">
        <f t="shared" si="35"/>
        <v>10000</v>
      </c>
      <c r="Q88" s="234"/>
      <c r="R88" s="234"/>
      <c r="S88" s="234"/>
      <c r="T88" s="234"/>
      <c r="U88" s="234"/>
      <c r="V88" s="234"/>
      <c r="W88" s="234"/>
      <c r="X88" s="234"/>
      <c r="Y88" s="234">
        <v>6500</v>
      </c>
      <c r="Z88" s="234">
        <v>3500</v>
      </c>
      <c r="AA88" s="234"/>
      <c r="AB88" s="234"/>
      <c r="AC88" s="234"/>
      <c r="AD88" s="234"/>
      <c r="AE88" s="234"/>
      <c r="AF88" s="234">
        <f t="shared" si="36"/>
        <v>0</v>
      </c>
      <c r="AG88" s="234"/>
      <c r="AH88" s="234"/>
      <c r="AI88" s="197">
        <f t="shared" si="32"/>
        <v>0</v>
      </c>
    </row>
    <row r="89" spans="1:35" s="198" customFormat="1" ht="26.1" customHeight="1">
      <c r="A89" s="190" t="s">
        <v>116</v>
      </c>
      <c r="B89" s="191" t="s">
        <v>114</v>
      </c>
      <c r="C89" s="230" t="s">
        <v>147</v>
      </c>
      <c r="D89" s="238">
        <v>4</v>
      </c>
      <c r="E89" s="234">
        <f t="shared" si="33"/>
        <v>27500</v>
      </c>
      <c r="F89" s="234">
        <v>17500</v>
      </c>
      <c r="G89" s="234">
        <v>10000</v>
      </c>
      <c r="H89" s="240">
        <f t="shared" si="34"/>
        <v>13000</v>
      </c>
      <c r="I89" s="234">
        <v>1000</v>
      </c>
      <c r="J89" s="234">
        <v>1000</v>
      </c>
      <c r="K89" s="234">
        <v>1000</v>
      </c>
      <c r="L89" s="234">
        <v>1000</v>
      </c>
      <c r="M89" s="234">
        <v>1000</v>
      </c>
      <c r="N89" s="234">
        <v>8000</v>
      </c>
      <c r="O89" s="235"/>
      <c r="P89" s="235">
        <f t="shared" si="35"/>
        <v>13500</v>
      </c>
      <c r="Q89" s="234">
        <v>500</v>
      </c>
      <c r="R89" s="234">
        <v>500</v>
      </c>
      <c r="S89" s="234">
        <v>2000</v>
      </c>
      <c r="T89" s="234">
        <v>600</v>
      </c>
      <c r="U89" s="234">
        <v>1000</v>
      </c>
      <c r="V89" s="234">
        <v>1500</v>
      </c>
      <c r="W89" s="234">
        <v>300</v>
      </c>
      <c r="X89" s="234">
        <v>4500</v>
      </c>
      <c r="Y89" s="234">
        <v>500</v>
      </c>
      <c r="Z89" s="234">
        <v>200</v>
      </c>
      <c r="AA89" s="234">
        <v>1000</v>
      </c>
      <c r="AB89" s="234">
        <v>500</v>
      </c>
      <c r="AC89" s="234">
        <v>200</v>
      </c>
      <c r="AD89" s="234">
        <v>200</v>
      </c>
      <c r="AE89" s="234"/>
      <c r="AF89" s="234">
        <f t="shared" si="36"/>
        <v>1000</v>
      </c>
      <c r="AG89" s="234">
        <v>500</v>
      </c>
      <c r="AH89" s="234">
        <v>500</v>
      </c>
      <c r="AI89" s="197">
        <f t="shared" si="32"/>
        <v>0</v>
      </c>
    </row>
    <row r="90" spans="1:35" s="198" customFormat="1" ht="26.1" customHeight="1">
      <c r="A90" s="190" t="s">
        <v>116</v>
      </c>
      <c r="B90" s="191" t="s">
        <v>114</v>
      </c>
      <c r="C90" s="230" t="s">
        <v>246</v>
      </c>
      <c r="D90" s="238">
        <v>4</v>
      </c>
      <c r="E90" s="234">
        <f t="shared" si="33"/>
        <v>18000</v>
      </c>
      <c r="F90" s="234">
        <v>5400</v>
      </c>
      <c r="G90" s="234">
        <v>12600</v>
      </c>
      <c r="H90" s="240">
        <f t="shared" si="34"/>
        <v>1800</v>
      </c>
      <c r="I90" s="234"/>
      <c r="J90" s="234"/>
      <c r="K90" s="234"/>
      <c r="L90" s="234"/>
      <c r="M90" s="234"/>
      <c r="N90" s="234"/>
      <c r="O90" s="235">
        <v>1800</v>
      </c>
      <c r="P90" s="235">
        <f t="shared" si="35"/>
        <v>16200</v>
      </c>
      <c r="Q90" s="234"/>
      <c r="R90" s="234"/>
      <c r="S90" s="234"/>
      <c r="T90" s="234"/>
      <c r="U90" s="234"/>
      <c r="V90" s="234"/>
      <c r="W90" s="234"/>
      <c r="X90" s="234"/>
      <c r="Y90" s="234"/>
      <c r="Z90" s="234"/>
      <c r="AA90" s="234"/>
      <c r="AB90" s="234"/>
      <c r="AC90" s="234"/>
      <c r="AD90" s="234"/>
      <c r="AE90" s="234">
        <v>16200</v>
      </c>
      <c r="AF90" s="234">
        <f t="shared" si="36"/>
        <v>0</v>
      </c>
      <c r="AG90" s="234"/>
      <c r="AH90" s="234"/>
      <c r="AI90" s="197">
        <f t="shared" si="32"/>
        <v>0</v>
      </c>
    </row>
    <row r="91" spans="1:35" s="198" customFormat="1" ht="26.1" customHeight="1">
      <c r="A91" s="190"/>
      <c r="B91" s="191"/>
      <c r="C91" s="230"/>
      <c r="D91" s="238"/>
      <c r="E91" s="245">
        <f t="shared" ref="E91:AH91" si="37">SUM(E92:E105)</f>
        <v>236193</v>
      </c>
      <c r="F91" s="234">
        <f t="shared" si="37"/>
        <v>128222</v>
      </c>
      <c r="G91" s="234">
        <f t="shared" si="37"/>
        <v>107971</v>
      </c>
      <c r="H91" s="245">
        <f t="shared" si="37"/>
        <v>87212</v>
      </c>
      <c r="I91" s="234">
        <f t="shared" si="37"/>
        <v>7562</v>
      </c>
      <c r="J91" s="234">
        <f t="shared" si="37"/>
        <v>15619</v>
      </c>
      <c r="K91" s="234"/>
      <c r="L91" s="234">
        <f t="shared" si="37"/>
        <v>13639</v>
      </c>
      <c r="M91" s="234">
        <f t="shared" si="37"/>
        <v>14148</v>
      </c>
      <c r="N91" s="234">
        <f t="shared" si="37"/>
        <v>19664</v>
      </c>
      <c r="O91" s="234">
        <f t="shared" si="37"/>
        <v>5775</v>
      </c>
      <c r="P91" s="245">
        <f t="shared" si="37"/>
        <v>140346</v>
      </c>
      <c r="Q91" s="234">
        <f t="shared" si="37"/>
        <v>6348</v>
      </c>
      <c r="R91" s="234">
        <f t="shared" si="37"/>
        <v>8302</v>
      </c>
      <c r="S91" s="234">
        <f t="shared" si="37"/>
        <v>11080</v>
      </c>
      <c r="T91" s="234">
        <f t="shared" si="37"/>
        <v>12144</v>
      </c>
      <c r="U91" s="234">
        <f t="shared" si="37"/>
        <v>9581</v>
      </c>
      <c r="V91" s="234">
        <f t="shared" si="37"/>
        <v>9185</v>
      </c>
      <c r="W91" s="234">
        <f t="shared" si="37"/>
        <v>10999</v>
      </c>
      <c r="X91" s="234">
        <f t="shared" si="37"/>
        <v>16876</v>
      </c>
      <c r="Y91" s="234">
        <f t="shared" si="37"/>
        <v>10863</v>
      </c>
      <c r="Z91" s="234">
        <f t="shared" si="37"/>
        <v>9972</v>
      </c>
      <c r="AA91" s="234">
        <f t="shared" si="37"/>
        <v>6233</v>
      </c>
      <c r="AB91" s="234">
        <f t="shared" si="37"/>
        <v>3889</v>
      </c>
      <c r="AC91" s="234">
        <f t="shared" si="37"/>
        <v>3772</v>
      </c>
      <c r="AD91" s="234">
        <f t="shared" si="37"/>
        <v>3465</v>
      </c>
      <c r="AE91" s="234">
        <f t="shared" si="37"/>
        <v>17637</v>
      </c>
      <c r="AF91" s="245">
        <f t="shared" si="37"/>
        <v>8635</v>
      </c>
      <c r="AG91" s="234">
        <f t="shared" si="37"/>
        <v>4474</v>
      </c>
      <c r="AH91" s="234">
        <f t="shared" si="37"/>
        <v>4161</v>
      </c>
      <c r="AI91" s="197">
        <f t="shared" si="32"/>
        <v>0</v>
      </c>
    </row>
    <row r="92" spans="1:35" s="198" customFormat="1" ht="26.1" customHeight="1">
      <c r="A92" s="190" t="s">
        <v>116</v>
      </c>
      <c r="B92" s="191" t="s">
        <v>247</v>
      </c>
      <c r="C92" s="230" t="s">
        <v>248</v>
      </c>
      <c r="D92" s="238">
        <v>1</v>
      </c>
      <c r="E92" s="234">
        <f t="shared" ref="E92:E105" si="38">SUM(H92,P92,AF92)</f>
        <v>3000</v>
      </c>
      <c r="F92" s="234">
        <v>3000</v>
      </c>
      <c r="G92" s="234"/>
      <c r="H92" s="240">
        <f t="shared" ref="H92:H105" si="39">SUM(I92:O92)</f>
        <v>0</v>
      </c>
      <c r="I92" s="234"/>
      <c r="J92" s="234"/>
      <c r="K92" s="234"/>
      <c r="L92" s="234"/>
      <c r="M92" s="234"/>
      <c r="N92" s="234"/>
      <c r="O92" s="235"/>
      <c r="P92" s="235">
        <f t="shared" ref="P92:P105" si="40">SUM(Q92:AE92)</f>
        <v>3000</v>
      </c>
      <c r="Q92" s="234"/>
      <c r="R92" s="234"/>
      <c r="S92" s="234"/>
      <c r="T92" s="234"/>
      <c r="U92" s="234"/>
      <c r="V92" s="234"/>
      <c r="W92" s="234"/>
      <c r="X92" s="234"/>
      <c r="Y92" s="234"/>
      <c r="Z92" s="234"/>
      <c r="AA92" s="234"/>
      <c r="AB92" s="234"/>
      <c r="AC92" s="234"/>
      <c r="AD92" s="234"/>
      <c r="AE92" s="234">
        <v>3000</v>
      </c>
      <c r="AF92" s="234">
        <f t="shared" ref="AF92:AF105" si="41">SUM(AG92:AH92)</f>
        <v>0</v>
      </c>
      <c r="AG92" s="234"/>
      <c r="AH92" s="234"/>
      <c r="AI92" s="197">
        <f t="shared" ref="AI92:AI106" si="42">IF(+F92+G92=E92,0,FALSE)</f>
        <v>0</v>
      </c>
    </row>
    <row r="93" spans="1:35" s="198" customFormat="1" ht="26.1" customHeight="1">
      <c r="A93" s="190" t="s">
        <v>116</v>
      </c>
      <c r="B93" s="191" t="s">
        <v>247</v>
      </c>
      <c r="C93" s="230" t="s">
        <v>249</v>
      </c>
      <c r="D93" s="238">
        <v>1</v>
      </c>
      <c r="E93" s="234">
        <f t="shared" si="38"/>
        <v>145151</v>
      </c>
      <c r="F93" s="234">
        <v>111085</v>
      </c>
      <c r="G93" s="234">
        <v>34066</v>
      </c>
      <c r="H93" s="240">
        <f t="shared" si="39"/>
        <v>56707</v>
      </c>
      <c r="I93" s="234">
        <v>4676</v>
      </c>
      <c r="J93" s="234">
        <v>11162</v>
      </c>
      <c r="K93" s="234">
        <v>6481</v>
      </c>
      <c r="L93" s="234">
        <v>9767</v>
      </c>
      <c r="M93" s="234">
        <v>10046</v>
      </c>
      <c r="N93" s="234">
        <v>14575</v>
      </c>
      <c r="O93" s="235"/>
      <c r="P93" s="235">
        <f t="shared" si="40"/>
        <v>81285</v>
      </c>
      <c r="Q93" s="234">
        <v>4411</v>
      </c>
      <c r="R93" s="234">
        <v>5329</v>
      </c>
      <c r="S93" s="234">
        <v>6350</v>
      </c>
      <c r="T93" s="234">
        <v>8593</v>
      </c>
      <c r="U93" s="234">
        <v>7013</v>
      </c>
      <c r="V93" s="234">
        <v>6414</v>
      </c>
      <c r="W93" s="234">
        <v>5900</v>
      </c>
      <c r="X93" s="234">
        <v>11701</v>
      </c>
      <c r="Y93" s="234">
        <v>7061</v>
      </c>
      <c r="Z93" s="234">
        <v>6540</v>
      </c>
      <c r="AA93" s="234">
        <v>4513</v>
      </c>
      <c r="AB93" s="234">
        <v>2758</v>
      </c>
      <c r="AC93" s="234">
        <v>2381</v>
      </c>
      <c r="AD93" s="234">
        <v>2321</v>
      </c>
      <c r="AE93" s="234"/>
      <c r="AF93" s="234">
        <f t="shared" si="41"/>
        <v>7159</v>
      </c>
      <c r="AG93" s="234">
        <v>3668</v>
      </c>
      <c r="AH93" s="234">
        <v>3491</v>
      </c>
      <c r="AI93" s="197">
        <f t="shared" si="42"/>
        <v>0</v>
      </c>
    </row>
    <row r="94" spans="1:35" s="198" customFormat="1" ht="26.1" customHeight="1">
      <c r="A94" s="190" t="s">
        <v>116</v>
      </c>
      <c r="B94" s="191" t="s">
        <v>247</v>
      </c>
      <c r="C94" s="230" t="s">
        <v>250</v>
      </c>
      <c r="D94" s="238">
        <v>1</v>
      </c>
      <c r="E94" s="234">
        <f t="shared" si="38"/>
        <v>1320</v>
      </c>
      <c r="F94" s="234"/>
      <c r="G94" s="234">
        <v>1320</v>
      </c>
      <c r="H94" s="240">
        <f t="shared" si="39"/>
        <v>0</v>
      </c>
      <c r="I94" s="234"/>
      <c r="J94" s="234"/>
      <c r="K94" s="234"/>
      <c r="L94" s="234"/>
      <c r="M94" s="234"/>
      <c r="N94" s="234"/>
      <c r="O94" s="235"/>
      <c r="P94" s="235">
        <f t="shared" si="40"/>
        <v>1320</v>
      </c>
      <c r="Q94" s="234"/>
      <c r="R94" s="234"/>
      <c r="S94" s="234"/>
      <c r="T94" s="234"/>
      <c r="U94" s="234"/>
      <c r="V94" s="234"/>
      <c r="W94" s="234"/>
      <c r="X94" s="234"/>
      <c r="Y94" s="234"/>
      <c r="Z94" s="234">
        <v>1320</v>
      </c>
      <c r="AA94" s="234"/>
      <c r="AB94" s="234"/>
      <c r="AC94" s="234"/>
      <c r="AD94" s="234"/>
      <c r="AE94" s="234"/>
      <c r="AF94" s="234">
        <f t="shared" si="41"/>
        <v>0</v>
      </c>
      <c r="AG94" s="234"/>
      <c r="AH94" s="234"/>
      <c r="AI94" s="197">
        <f t="shared" si="42"/>
        <v>0</v>
      </c>
    </row>
    <row r="95" spans="1:35" s="198" customFormat="1" ht="26.1" customHeight="1">
      <c r="A95" s="190" t="s">
        <v>116</v>
      </c>
      <c r="B95" s="191" t="s">
        <v>247</v>
      </c>
      <c r="C95" s="230" t="s">
        <v>676</v>
      </c>
      <c r="D95" s="238">
        <v>1</v>
      </c>
      <c r="E95" s="234">
        <f t="shared" si="38"/>
        <v>3903</v>
      </c>
      <c r="F95" s="234">
        <v>3903</v>
      </c>
      <c r="G95" s="234"/>
      <c r="H95" s="240">
        <f t="shared" si="39"/>
        <v>2595</v>
      </c>
      <c r="I95" s="234">
        <v>537</v>
      </c>
      <c r="J95" s="234">
        <v>618</v>
      </c>
      <c r="K95" s="234">
        <v>441</v>
      </c>
      <c r="L95" s="234">
        <v>477</v>
      </c>
      <c r="M95" s="234">
        <v>210</v>
      </c>
      <c r="N95" s="234">
        <v>312</v>
      </c>
      <c r="O95" s="235"/>
      <c r="P95" s="235">
        <f t="shared" si="40"/>
        <v>1263</v>
      </c>
      <c r="Q95" s="234">
        <v>69</v>
      </c>
      <c r="R95" s="234">
        <v>210</v>
      </c>
      <c r="S95" s="234">
        <v>81</v>
      </c>
      <c r="T95" s="234">
        <v>126</v>
      </c>
      <c r="U95" s="234">
        <v>60</v>
      </c>
      <c r="V95" s="234">
        <v>96</v>
      </c>
      <c r="W95" s="234">
        <v>72</v>
      </c>
      <c r="X95" s="234">
        <v>69</v>
      </c>
      <c r="Y95" s="234">
        <v>33</v>
      </c>
      <c r="Z95" s="234">
        <v>51</v>
      </c>
      <c r="AA95" s="234">
        <v>30</v>
      </c>
      <c r="AB95" s="234">
        <v>93</v>
      </c>
      <c r="AC95" s="234">
        <v>171</v>
      </c>
      <c r="AD95" s="234">
        <v>102</v>
      </c>
      <c r="AE95" s="234"/>
      <c r="AF95" s="234">
        <f t="shared" si="41"/>
        <v>45</v>
      </c>
      <c r="AG95" s="234">
        <v>45</v>
      </c>
      <c r="AH95" s="234" t="s">
        <v>680</v>
      </c>
      <c r="AI95" s="197">
        <f t="shared" si="42"/>
        <v>0</v>
      </c>
    </row>
    <row r="96" spans="1:35" s="198" customFormat="1" ht="26.1" customHeight="1">
      <c r="A96" s="190" t="s">
        <v>116</v>
      </c>
      <c r="B96" s="191" t="s">
        <v>247</v>
      </c>
      <c r="C96" s="230" t="s">
        <v>517</v>
      </c>
      <c r="D96" s="238">
        <v>1</v>
      </c>
      <c r="E96" s="234">
        <f t="shared" si="38"/>
        <v>4155</v>
      </c>
      <c r="F96" s="234">
        <v>4155</v>
      </c>
      <c r="G96" s="234"/>
      <c r="H96" s="240">
        <f t="shared" si="39"/>
        <v>2647</v>
      </c>
      <c r="I96" s="234">
        <v>393</v>
      </c>
      <c r="J96" s="234">
        <v>579</v>
      </c>
      <c r="K96" s="234">
        <v>336</v>
      </c>
      <c r="L96" s="234">
        <v>454</v>
      </c>
      <c r="M96" s="234">
        <v>372</v>
      </c>
      <c r="N96" s="234">
        <v>513</v>
      </c>
      <c r="O96" s="235"/>
      <c r="P96" s="235">
        <f t="shared" si="40"/>
        <v>1448</v>
      </c>
      <c r="Q96" s="234">
        <v>92</v>
      </c>
      <c r="R96" s="234">
        <v>93</v>
      </c>
      <c r="S96" s="234">
        <v>113</v>
      </c>
      <c r="T96" s="234">
        <v>250</v>
      </c>
      <c r="U96" s="234">
        <v>107</v>
      </c>
      <c r="V96" s="234">
        <v>141</v>
      </c>
      <c r="W96" s="234">
        <v>116</v>
      </c>
      <c r="X96" s="234">
        <v>181</v>
      </c>
      <c r="Y96" s="234">
        <v>48</v>
      </c>
      <c r="Z96" s="234">
        <v>75</v>
      </c>
      <c r="AA96" s="234">
        <v>30</v>
      </c>
      <c r="AB96" s="234">
        <v>74</v>
      </c>
      <c r="AC96" s="234">
        <v>75</v>
      </c>
      <c r="AD96" s="234">
        <v>53</v>
      </c>
      <c r="AE96" s="234"/>
      <c r="AF96" s="234">
        <f t="shared" si="41"/>
        <v>60</v>
      </c>
      <c r="AG96" s="234">
        <v>30</v>
      </c>
      <c r="AH96" s="234">
        <v>30</v>
      </c>
      <c r="AI96" s="197">
        <f t="shared" si="42"/>
        <v>0</v>
      </c>
    </row>
    <row r="97" spans="1:35" s="198" customFormat="1" ht="26.1" customHeight="1">
      <c r="A97" s="190" t="s">
        <v>116</v>
      </c>
      <c r="B97" s="191" t="s">
        <v>247</v>
      </c>
      <c r="C97" s="230" t="s">
        <v>677</v>
      </c>
      <c r="D97" s="238">
        <v>1</v>
      </c>
      <c r="E97" s="234">
        <f t="shared" si="38"/>
        <v>50000</v>
      </c>
      <c r="F97" s="234"/>
      <c r="G97" s="234">
        <v>50000</v>
      </c>
      <c r="H97" s="240">
        <f t="shared" si="39"/>
        <v>17904</v>
      </c>
      <c r="I97" s="234">
        <v>1956</v>
      </c>
      <c r="J97" s="234">
        <v>3260</v>
      </c>
      <c r="K97" s="234">
        <v>3308</v>
      </c>
      <c r="L97" s="234">
        <v>2460</v>
      </c>
      <c r="M97" s="234">
        <v>3135</v>
      </c>
      <c r="N97" s="234">
        <v>3785</v>
      </c>
      <c r="O97" s="235"/>
      <c r="P97" s="235">
        <f t="shared" si="40"/>
        <v>31175</v>
      </c>
      <c r="Q97" s="234">
        <v>1596</v>
      </c>
      <c r="R97" s="234">
        <v>1920</v>
      </c>
      <c r="S97" s="234">
        <v>4232</v>
      </c>
      <c r="T97" s="234">
        <v>3035</v>
      </c>
      <c r="U97" s="234">
        <v>1926</v>
      </c>
      <c r="V97" s="234">
        <v>2454</v>
      </c>
      <c r="W97" s="234">
        <v>4323</v>
      </c>
      <c r="X97" s="234">
        <v>4122</v>
      </c>
      <c r="Y97" s="234">
        <v>2044</v>
      </c>
      <c r="Z97" s="234">
        <v>1486</v>
      </c>
      <c r="AA97" s="234">
        <v>1098</v>
      </c>
      <c r="AB97" s="234">
        <v>927</v>
      </c>
      <c r="AC97" s="234">
        <v>1090</v>
      </c>
      <c r="AD97" s="234">
        <v>922</v>
      </c>
      <c r="AE97" s="234"/>
      <c r="AF97" s="234">
        <f t="shared" si="41"/>
        <v>921</v>
      </c>
      <c r="AG97" s="234">
        <v>431</v>
      </c>
      <c r="AH97" s="234">
        <v>490</v>
      </c>
      <c r="AI97" s="197">
        <f t="shared" si="42"/>
        <v>0</v>
      </c>
    </row>
    <row r="98" spans="1:35" s="198" customFormat="1" ht="26.1" customHeight="1">
      <c r="A98" s="190" t="s">
        <v>116</v>
      </c>
      <c r="B98" s="191" t="s">
        <v>247</v>
      </c>
      <c r="C98" s="230" t="s">
        <v>252</v>
      </c>
      <c r="D98" s="238">
        <v>1</v>
      </c>
      <c r="E98" s="234">
        <f t="shared" si="38"/>
        <v>1500</v>
      </c>
      <c r="F98" s="234"/>
      <c r="G98" s="234">
        <v>1500</v>
      </c>
      <c r="H98" s="240">
        <f t="shared" si="39"/>
        <v>375</v>
      </c>
      <c r="I98" s="234"/>
      <c r="J98" s="234"/>
      <c r="K98" s="234"/>
      <c r="L98" s="234"/>
      <c r="M98" s="234"/>
      <c r="N98" s="234">
        <v>375</v>
      </c>
      <c r="O98" s="235"/>
      <c r="P98" s="235">
        <f t="shared" si="40"/>
        <v>1125</v>
      </c>
      <c r="Q98" s="234"/>
      <c r="R98" s="234"/>
      <c r="S98" s="234"/>
      <c r="T98" s="234"/>
      <c r="U98" s="234"/>
      <c r="V98" s="234"/>
      <c r="W98" s="234">
        <v>375</v>
      </c>
      <c r="X98" s="234">
        <v>375</v>
      </c>
      <c r="Y98" s="234">
        <v>375</v>
      </c>
      <c r="Z98" s="234"/>
      <c r="AA98" s="234"/>
      <c r="AB98" s="234"/>
      <c r="AC98" s="234"/>
      <c r="AD98" s="234"/>
      <c r="AE98" s="234"/>
      <c r="AF98" s="234">
        <f t="shared" si="41"/>
        <v>0</v>
      </c>
      <c r="AG98" s="234"/>
      <c r="AH98" s="234"/>
      <c r="AI98" s="197">
        <f t="shared" si="42"/>
        <v>0</v>
      </c>
    </row>
    <row r="99" spans="1:35" s="198" customFormat="1" ht="26.1" customHeight="1">
      <c r="A99" s="190" t="s">
        <v>116</v>
      </c>
      <c r="B99" s="191" t="s">
        <v>247</v>
      </c>
      <c r="C99" s="230" t="s">
        <v>678</v>
      </c>
      <c r="D99" s="238">
        <v>1</v>
      </c>
      <c r="E99" s="234">
        <f t="shared" si="38"/>
        <v>1000</v>
      </c>
      <c r="F99" s="234">
        <v>500</v>
      </c>
      <c r="G99" s="234">
        <v>500</v>
      </c>
      <c r="H99" s="240">
        <f t="shared" si="39"/>
        <v>0</v>
      </c>
      <c r="I99" s="234"/>
      <c r="J99" s="234"/>
      <c r="K99" s="234"/>
      <c r="L99" s="234"/>
      <c r="M99" s="234"/>
      <c r="N99" s="234"/>
      <c r="O99" s="235"/>
      <c r="P99" s="235">
        <f t="shared" si="40"/>
        <v>1000</v>
      </c>
      <c r="Q99" s="234"/>
      <c r="R99" s="234">
        <v>500</v>
      </c>
      <c r="S99" s="234"/>
      <c r="T99" s="234"/>
      <c r="U99" s="234"/>
      <c r="V99" s="234"/>
      <c r="W99" s="234"/>
      <c r="X99" s="234"/>
      <c r="Y99" s="234"/>
      <c r="Z99" s="234">
        <v>500</v>
      </c>
      <c r="AA99" s="234"/>
      <c r="AB99" s="234"/>
      <c r="AC99" s="234"/>
      <c r="AD99" s="234"/>
      <c r="AE99" s="234"/>
      <c r="AF99" s="234">
        <f t="shared" si="41"/>
        <v>0</v>
      </c>
      <c r="AG99" s="234"/>
      <c r="AH99" s="234"/>
      <c r="AI99" s="197">
        <f t="shared" si="42"/>
        <v>0</v>
      </c>
    </row>
    <row r="100" spans="1:35" s="198" customFormat="1" ht="26.1" customHeight="1">
      <c r="A100" s="190" t="s">
        <v>116</v>
      </c>
      <c r="B100" s="191" t="s">
        <v>247</v>
      </c>
      <c r="C100" s="230" t="s">
        <v>518</v>
      </c>
      <c r="D100" s="238">
        <v>1</v>
      </c>
      <c r="E100" s="234">
        <f t="shared" si="38"/>
        <v>225</v>
      </c>
      <c r="F100" s="234"/>
      <c r="G100" s="234">
        <v>225</v>
      </c>
      <c r="H100" s="240">
        <f t="shared" si="39"/>
        <v>0</v>
      </c>
      <c r="I100" s="234"/>
      <c r="J100" s="234"/>
      <c r="K100" s="234"/>
      <c r="L100" s="234"/>
      <c r="M100" s="234"/>
      <c r="N100" s="234"/>
      <c r="O100" s="235"/>
      <c r="P100" s="235">
        <f t="shared" si="40"/>
        <v>225</v>
      </c>
      <c r="Q100" s="234"/>
      <c r="R100" s="234"/>
      <c r="S100" s="234"/>
      <c r="T100" s="234"/>
      <c r="U100" s="234"/>
      <c r="V100" s="234"/>
      <c r="W100" s="234"/>
      <c r="X100" s="234"/>
      <c r="Y100" s="234"/>
      <c r="Z100" s="234"/>
      <c r="AA100" s="234">
        <v>225</v>
      </c>
      <c r="AB100" s="234"/>
      <c r="AC100" s="234"/>
      <c r="AD100" s="234"/>
      <c r="AE100" s="234"/>
      <c r="AF100" s="234">
        <f t="shared" si="41"/>
        <v>0</v>
      </c>
      <c r="AG100" s="234"/>
      <c r="AH100" s="234"/>
      <c r="AI100" s="197">
        <f t="shared" si="42"/>
        <v>0</v>
      </c>
    </row>
    <row r="101" spans="1:35" s="198" customFormat="1" ht="26.1" customHeight="1">
      <c r="A101" s="190" t="s">
        <v>116</v>
      </c>
      <c r="B101" s="191" t="s">
        <v>247</v>
      </c>
      <c r="C101" s="230" t="s">
        <v>679</v>
      </c>
      <c r="D101" s="238">
        <v>1</v>
      </c>
      <c r="E101" s="234">
        <f t="shared" si="38"/>
        <v>38</v>
      </c>
      <c r="F101" s="234"/>
      <c r="G101" s="234">
        <v>38</v>
      </c>
      <c r="H101" s="240">
        <f t="shared" si="39"/>
        <v>0</v>
      </c>
      <c r="I101" s="234"/>
      <c r="J101" s="234"/>
      <c r="K101" s="234"/>
      <c r="L101" s="234"/>
      <c r="M101" s="234"/>
      <c r="N101" s="234"/>
      <c r="O101" s="235"/>
      <c r="P101" s="235">
        <f t="shared" si="40"/>
        <v>38</v>
      </c>
      <c r="Q101" s="234"/>
      <c r="R101" s="234"/>
      <c r="S101" s="234"/>
      <c r="T101" s="234"/>
      <c r="U101" s="234"/>
      <c r="V101" s="234"/>
      <c r="W101" s="234"/>
      <c r="X101" s="234"/>
      <c r="Y101" s="234"/>
      <c r="Z101" s="234"/>
      <c r="AA101" s="234">
        <v>38</v>
      </c>
      <c r="AB101" s="234"/>
      <c r="AC101" s="234"/>
      <c r="AD101" s="234"/>
      <c r="AE101" s="234"/>
      <c r="AF101" s="234">
        <f t="shared" si="41"/>
        <v>0</v>
      </c>
      <c r="AG101" s="234"/>
      <c r="AH101" s="234"/>
      <c r="AI101" s="197">
        <f t="shared" si="42"/>
        <v>0</v>
      </c>
    </row>
    <row r="102" spans="1:35" s="198" customFormat="1" ht="26.1" customHeight="1">
      <c r="A102" s="190" t="s">
        <v>116</v>
      </c>
      <c r="B102" s="191" t="s">
        <v>247</v>
      </c>
      <c r="C102" s="230" t="s">
        <v>519</v>
      </c>
      <c r="D102" s="238">
        <v>1</v>
      </c>
      <c r="E102" s="234">
        <f t="shared" si="38"/>
        <v>600</v>
      </c>
      <c r="F102" s="234"/>
      <c r="G102" s="234">
        <v>600</v>
      </c>
      <c r="H102" s="240">
        <f t="shared" si="39"/>
        <v>0</v>
      </c>
      <c r="I102" s="234"/>
      <c r="J102" s="234"/>
      <c r="K102" s="234"/>
      <c r="L102" s="234"/>
      <c r="M102" s="234"/>
      <c r="N102" s="234"/>
      <c r="O102" s="235"/>
      <c r="P102" s="235">
        <f t="shared" si="40"/>
        <v>600</v>
      </c>
      <c r="Q102" s="234"/>
      <c r="R102" s="234"/>
      <c r="S102" s="234"/>
      <c r="T102" s="234"/>
      <c r="U102" s="234"/>
      <c r="V102" s="234"/>
      <c r="W102" s="234"/>
      <c r="X102" s="234"/>
      <c r="Y102" s="234">
        <v>600</v>
      </c>
      <c r="Z102" s="234"/>
      <c r="AA102" s="234"/>
      <c r="AB102" s="234"/>
      <c r="AC102" s="234"/>
      <c r="AD102" s="234"/>
      <c r="AE102" s="234"/>
      <c r="AF102" s="234">
        <f t="shared" si="41"/>
        <v>0</v>
      </c>
      <c r="AG102" s="234"/>
      <c r="AH102" s="234"/>
      <c r="AI102" s="197">
        <f t="shared" si="42"/>
        <v>0</v>
      </c>
    </row>
    <row r="103" spans="1:35" s="198" customFormat="1" ht="26.1" customHeight="1">
      <c r="A103" s="190" t="s">
        <v>116</v>
      </c>
      <c r="B103" s="191" t="s">
        <v>247</v>
      </c>
      <c r="C103" s="230" t="s">
        <v>520</v>
      </c>
      <c r="D103" s="238">
        <v>1</v>
      </c>
      <c r="E103" s="234">
        <f t="shared" si="38"/>
        <v>4503</v>
      </c>
      <c r="F103" s="234">
        <v>4503</v>
      </c>
      <c r="G103" s="234"/>
      <c r="H103" s="240">
        <f t="shared" si="39"/>
        <v>1209</v>
      </c>
      <c r="I103" s="234"/>
      <c r="J103" s="234"/>
      <c r="K103" s="234">
        <v>239</v>
      </c>
      <c r="L103" s="234">
        <v>481</v>
      </c>
      <c r="M103" s="234">
        <v>385</v>
      </c>
      <c r="N103" s="234">
        <v>104</v>
      </c>
      <c r="O103" s="235"/>
      <c r="P103" s="235">
        <f t="shared" si="40"/>
        <v>3230</v>
      </c>
      <c r="Q103" s="234">
        <v>180</v>
      </c>
      <c r="R103" s="234">
        <v>250</v>
      </c>
      <c r="S103" s="234">
        <v>304</v>
      </c>
      <c r="T103" s="234">
        <v>140</v>
      </c>
      <c r="U103" s="234">
        <v>475</v>
      </c>
      <c r="V103" s="234">
        <v>80</v>
      </c>
      <c r="W103" s="234">
        <v>213</v>
      </c>
      <c r="X103" s="234">
        <v>428</v>
      </c>
      <c r="Y103" s="234">
        <v>702</v>
      </c>
      <c r="Z103" s="234"/>
      <c r="AA103" s="234">
        <v>299</v>
      </c>
      <c r="AB103" s="234">
        <v>37</v>
      </c>
      <c r="AC103" s="234">
        <v>55</v>
      </c>
      <c r="AD103" s="234">
        <v>67</v>
      </c>
      <c r="AE103" s="234"/>
      <c r="AF103" s="234">
        <f t="shared" si="41"/>
        <v>64</v>
      </c>
      <c r="AG103" s="234">
        <v>64</v>
      </c>
      <c r="AH103" s="234" t="s">
        <v>680</v>
      </c>
      <c r="AI103" s="197">
        <f t="shared" si="42"/>
        <v>0</v>
      </c>
    </row>
    <row r="104" spans="1:35" s="198" customFormat="1" ht="26.1" customHeight="1">
      <c r="A104" s="190" t="s">
        <v>116</v>
      </c>
      <c r="B104" s="191" t="s">
        <v>247</v>
      </c>
      <c r="C104" s="230" t="s">
        <v>521</v>
      </c>
      <c r="D104" s="238">
        <v>1</v>
      </c>
      <c r="E104" s="234">
        <f t="shared" si="38"/>
        <v>20648</v>
      </c>
      <c r="F104" s="234">
        <v>926</v>
      </c>
      <c r="G104" s="234">
        <v>19722</v>
      </c>
      <c r="H104" s="240">
        <f t="shared" si="39"/>
        <v>5775</v>
      </c>
      <c r="I104" s="234"/>
      <c r="J104" s="234"/>
      <c r="K104" s="234"/>
      <c r="L104" s="234"/>
      <c r="M104" s="234"/>
      <c r="N104" s="234"/>
      <c r="O104" s="235">
        <v>5775</v>
      </c>
      <c r="P104" s="235">
        <f t="shared" si="40"/>
        <v>14637</v>
      </c>
      <c r="Q104" s="234"/>
      <c r="R104" s="234"/>
      <c r="S104" s="234"/>
      <c r="T104" s="234"/>
      <c r="U104" s="234"/>
      <c r="V104" s="234"/>
      <c r="W104" s="234"/>
      <c r="X104" s="234"/>
      <c r="Y104" s="234"/>
      <c r="Z104" s="234"/>
      <c r="AA104" s="234"/>
      <c r="AB104" s="234"/>
      <c r="AC104" s="234"/>
      <c r="AD104" s="234"/>
      <c r="AE104" s="234">
        <v>14637</v>
      </c>
      <c r="AF104" s="234">
        <f t="shared" si="41"/>
        <v>236</v>
      </c>
      <c r="AG104" s="234">
        <v>236</v>
      </c>
      <c r="AH104" s="234"/>
      <c r="AI104" s="197">
        <f t="shared" si="42"/>
        <v>0</v>
      </c>
    </row>
    <row r="105" spans="1:35" s="198" customFormat="1" ht="26.1" customHeight="1">
      <c r="A105" s="190" t="s">
        <v>116</v>
      </c>
      <c r="B105" s="191" t="s">
        <v>247</v>
      </c>
      <c r="C105" s="230" t="s">
        <v>522</v>
      </c>
      <c r="D105" s="238">
        <v>1</v>
      </c>
      <c r="E105" s="234">
        <f t="shared" si="38"/>
        <v>150</v>
      </c>
      <c r="F105" s="234">
        <v>150</v>
      </c>
      <c r="G105" s="234"/>
      <c r="H105" s="240">
        <f t="shared" si="39"/>
        <v>0</v>
      </c>
      <c r="I105" s="234"/>
      <c r="J105" s="234"/>
      <c r="K105" s="234"/>
      <c r="L105" s="234"/>
      <c r="M105" s="234"/>
      <c r="N105" s="234"/>
      <c r="O105" s="235"/>
      <c r="P105" s="235">
        <f t="shared" si="40"/>
        <v>0</v>
      </c>
      <c r="Q105" s="234"/>
      <c r="R105" s="234"/>
      <c r="S105" s="234"/>
      <c r="T105" s="234"/>
      <c r="U105" s="234"/>
      <c r="V105" s="234"/>
      <c r="W105" s="234"/>
      <c r="X105" s="234"/>
      <c r="Y105" s="234"/>
      <c r="Z105" s="234"/>
      <c r="AA105" s="234"/>
      <c r="AB105" s="234"/>
      <c r="AC105" s="234"/>
      <c r="AD105" s="234"/>
      <c r="AE105" s="234"/>
      <c r="AF105" s="234">
        <f t="shared" si="41"/>
        <v>150</v>
      </c>
      <c r="AG105" s="234"/>
      <c r="AH105" s="234">
        <v>150</v>
      </c>
      <c r="AI105" s="197">
        <f t="shared" si="42"/>
        <v>0</v>
      </c>
    </row>
    <row r="106" spans="1:35" s="198" customFormat="1" ht="26.1" customHeight="1">
      <c r="A106" s="190"/>
      <c r="B106" s="191"/>
      <c r="C106" s="230"/>
      <c r="D106" s="238"/>
      <c r="E106" s="245">
        <f t="shared" ref="E106:AH106" si="43">SUM(E107:E110)</f>
        <v>492699</v>
      </c>
      <c r="F106" s="234">
        <f t="shared" si="43"/>
        <v>488401</v>
      </c>
      <c r="G106" s="234">
        <f t="shared" si="43"/>
        <v>4298</v>
      </c>
      <c r="H106" s="245">
        <f t="shared" si="43"/>
        <v>317174</v>
      </c>
      <c r="I106" s="234">
        <f t="shared" si="43"/>
        <v>55062</v>
      </c>
      <c r="J106" s="234">
        <f t="shared" si="43"/>
        <v>72780</v>
      </c>
      <c r="K106" s="234"/>
      <c r="L106" s="234">
        <f t="shared" si="43"/>
        <v>59080</v>
      </c>
      <c r="M106" s="234">
        <f t="shared" si="43"/>
        <v>38589</v>
      </c>
      <c r="N106" s="234">
        <f t="shared" si="43"/>
        <v>57566</v>
      </c>
      <c r="O106" s="234">
        <f t="shared" si="43"/>
        <v>430</v>
      </c>
      <c r="P106" s="245">
        <f t="shared" si="43"/>
        <v>171029</v>
      </c>
      <c r="Q106" s="234">
        <f t="shared" si="43"/>
        <v>12233</v>
      </c>
      <c r="R106" s="234">
        <f t="shared" si="43"/>
        <v>8489</v>
      </c>
      <c r="S106" s="234">
        <f t="shared" si="43"/>
        <v>10620</v>
      </c>
      <c r="T106" s="234">
        <f t="shared" si="43"/>
        <v>31627</v>
      </c>
      <c r="U106" s="234">
        <f t="shared" si="43"/>
        <v>13537</v>
      </c>
      <c r="V106" s="234">
        <f t="shared" si="43"/>
        <v>14884</v>
      </c>
      <c r="W106" s="234">
        <f t="shared" si="43"/>
        <v>12934</v>
      </c>
      <c r="X106" s="234">
        <f t="shared" si="43"/>
        <v>17680</v>
      </c>
      <c r="Y106" s="234">
        <f t="shared" si="43"/>
        <v>7648</v>
      </c>
      <c r="Z106" s="234">
        <f t="shared" si="43"/>
        <v>13226</v>
      </c>
      <c r="AA106" s="234">
        <f t="shared" si="43"/>
        <v>4553</v>
      </c>
      <c r="AB106" s="234">
        <f t="shared" si="43"/>
        <v>9060</v>
      </c>
      <c r="AC106" s="234">
        <f t="shared" si="43"/>
        <v>8022</v>
      </c>
      <c r="AD106" s="234">
        <f t="shared" si="43"/>
        <v>6213</v>
      </c>
      <c r="AE106" s="234">
        <f t="shared" si="43"/>
        <v>303</v>
      </c>
      <c r="AF106" s="245">
        <f t="shared" si="43"/>
        <v>4496</v>
      </c>
      <c r="AG106" s="234">
        <f t="shared" si="43"/>
        <v>3192</v>
      </c>
      <c r="AH106" s="234">
        <f t="shared" si="43"/>
        <v>1304</v>
      </c>
      <c r="AI106" s="197">
        <f t="shared" si="42"/>
        <v>0</v>
      </c>
    </row>
    <row r="107" spans="1:35" s="198" customFormat="1" ht="26.1" customHeight="1">
      <c r="A107" s="190" t="s">
        <v>116</v>
      </c>
      <c r="B107" s="191" t="s">
        <v>89</v>
      </c>
      <c r="C107" s="230" t="s">
        <v>254</v>
      </c>
      <c r="D107" s="238">
        <v>1</v>
      </c>
      <c r="E107" s="234">
        <f t="shared" ref="E107:E113" si="44">SUM(H107,P107,AF107)</f>
        <v>283406</v>
      </c>
      <c r="F107" s="234">
        <v>283406</v>
      </c>
      <c r="G107" s="234"/>
      <c r="H107" s="240">
        <f t="shared" ref="H107:H113" si="45">SUM(I107:O107)</f>
        <v>197990</v>
      </c>
      <c r="I107" s="234">
        <v>30000</v>
      </c>
      <c r="J107" s="234">
        <v>47756</v>
      </c>
      <c r="K107" s="234">
        <v>26000</v>
      </c>
      <c r="L107" s="234">
        <v>34190</v>
      </c>
      <c r="M107" s="234">
        <v>22144</v>
      </c>
      <c r="N107" s="234">
        <v>37900</v>
      </c>
      <c r="O107" s="235"/>
      <c r="P107" s="235">
        <f t="shared" ref="P107:P113" si="46">SUM(Q107:AE107)</f>
        <v>84436</v>
      </c>
      <c r="Q107" s="234">
        <v>5835</v>
      </c>
      <c r="R107" s="234">
        <v>6000</v>
      </c>
      <c r="S107" s="234">
        <v>6000</v>
      </c>
      <c r="T107" s="234">
        <v>16158</v>
      </c>
      <c r="U107" s="234">
        <v>5440</v>
      </c>
      <c r="V107" s="234">
        <v>8100</v>
      </c>
      <c r="W107" s="234">
        <v>5389</v>
      </c>
      <c r="X107" s="234">
        <v>10000</v>
      </c>
      <c r="Y107" s="234">
        <v>3200</v>
      </c>
      <c r="Z107" s="234">
        <v>3728</v>
      </c>
      <c r="AA107" s="234">
        <v>900</v>
      </c>
      <c r="AB107" s="234">
        <v>5390</v>
      </c>
      <c r="AC107" s="234">
        <v>5000</v>
      </c>
      <c r="AD107" s="234">
        <v>3296</v>
      </c>
      <c r="AE107" s="234"/>
      <c r="AF107" s="234">
        <f t="shared" ref="AF107:AF113" si="47">SUM(AG107:AH107)</f>
        <v>980</v>
      </c>
      <c r="AG107" s="234">
        <v>910</v>
      </c>
      <c r="AH107" s="234">
        <v>70</v>
      </c>
      <c r="AI107" s="197">
        <f t="shared" ref="AI107:AI113" si="48">IF(+F107+G107=E107,0,FALSE)</f>
        <v>0</v>
      </c>
    </row>
    <row r="108" spans="1:35" s="198" customFormat="1" ht="26.1" customHeight="1">
      <c r="A108" s="190" t="s">
        <v>116</v>
      </c>
      <c r="B108" s="191" t="s">
        <v>89</v>
      </c>
      <c r="C108" s="230" t="s">
        <v>255</v>
      </c>
      <c r="D108" s="238">
        <v>1</v>
      </c>
      <c r="E108" s="234">
        <f t="shared" si="44"/>
        <v>23926</v>
      </c>
      <c r="F108" s="234">
        <v>19628</v>
      </c>
      <c r="G108" s="234">
        <v>4298</v>
      </c>
      <c r="H108" s="240">
        <f t="shared" si="45"/>
        <v>10127</v>
      </c>
      <c r="I108" s="234">
        <v>1307</v>
      </c>
      <c r="J108" s="234">
        <v>2680</v>
      </c>
      <c r="K108" s="234"/>
      <c r="L108" s="234">
        <v>1126</v>
      </c>
      <c r="M108" s="234">
        <v>2445</v>
      </c>
      <c r="N108" s="234">
        <v>2569</v>
      </c>
      <c r="O108" s="235"/>
      <c r="P108" s="235">
        <f t="shared" si="46"/>
        <v>11651</v>
      </c>
      <c r="Q108" s="234">
        <v>1285</v>
      </c>
      <c r="R108" s="234"/>
      <c r="S108" s="234"/>
      <c r="T108" s="234">
        <v>4690</v>
      </c>
      <c r="U108" s="234"/>
      <c r="V108" s="234"/>
      <c r="W108" s="234">
        <v>1244</v>
      </c>
      <c r="X108" s="234"/>
      <c r="Y108" s="234">
        <v>1125</v>
      </c>
      <c r="Z108" s="234">
        <v>1220</v>
      </c>
      <c r="AA108" s="234">
        <v>1233</v>
      </c>
      <c r="AB108" s="234"/>
      <c r="AC108" s="234">
        <v>854</v>
      </c>
      <c r="AD108" s="234"/>
      <c r="AE108" s="234"/>
      <c r="AF108" s="234">
        <f t="shared" si="47"/>
        <v>2148</v>
      </c>
      <c r="AG108" s="234">
        <v>1312</v>
      </c>
      <c r="AH108" s="234">
        <v>836</v>
      </c>
      <c r="AI108" s="197">
        <f t="shared" si="48"/>
        <v>0</v>
      </c>
    </row>
    <row r="109" spans="1:35" s="198" customFormat="1" ht="26.1" customHeight="1">
      <c r="A109" s="190" t="s">
        <v>116</v>
      </c>
      <c r="B109" s="191" t="s">
        <v>89</v>
      </c>
      <c r="C109" s="230" t="s">
        <v>256</v>
      </c>
      <c r="D109" s="238">
        <v>1</v>
      </c>
      <c r="E109" s="234">
        <f t="shared" si="44"/>
        <v>63820</v>
      </c>
      <c r="F109" s="234">
        <v>63820</v>
      </c>
      <c r="G109" s="234"/>
      <c r="H109" s="240">
        <f t="shared" si="45"/>
        <v>21457</v>
      </c>
      <c r="I109" s="234">
        <v>3725</v>
      </c>
      <c r="J109" s="234">
        <v>4770</v>
      </c>
      <c r="K109" s="234">
        <v>691</v>
      </c>
      <c r="L109" s="234">
        <v>4891</v>
      </c>
      <c r="M109" s="234">
        <v>2636</v>
      </c>
      <c r="N109" s="234">
        <v>4314</v>
      </c>
      <c r="O109" s="235">
        <v>430</v>
      </c>
      <c r="P109" s="235">
        <f t="shared" si="46"/>
        <v>42213</v>
      </c>
      <c r="Q109" s="234">
        <v>2930</v>
      </c>
      <c r="R109" s="234">
        <v>1575</v>
      </c>
      <c r="S109" s="234">
        <v>2341</v>
      </c>
      <c r="T109" s="234">
        <v>4801</v>
      </c>
      <c r="U109" s="234">
        <v>4590</v>
      </c>
      <c r="V109" s="234">
        <v>4357</v>
      </c>
      <c r="W109" s="234">
        <v>3919</v>
      </c>
      <c r="X109" s="234">
        <v>4239</v>
      </c>
      <c r="Y109" s="234">
        <v>1675</v>
      </c>
      <c r="Z109" s="234">
        <v>5894</v>
      </c>
      <c r="AA109" s="234">
        <v>1119</v>
      </c>
      <c r="AB109" s="234">
        <v>2131</v>
      </c>
      <c r="AC109" s="234">
        <v>869</v>
      </c>
      <c r="AD109" s="234">
        <v>1470</v>
      </c>
      <c r="AE109" s="234">
        <v>303</v>
      </c>
      <c r="AF109" s="234">
        <f t="shared" si="47"/>
        <v>150</v>
      </c>
      <c r="AG109" s="234">
        <v>100</v>
      </c>
      <c r="AH109" s="234">
        <v>50</v>
      </c>
      <c r="AI109" s="197">
        <f t="shared" si="48"/>
        <v>0</v>
      </c>
    </row>
    <row r="110" spans="1:35" s="198" customFormat="1" ht="26.1" customHeight="1">
      <c r="A110" s="190" t="s">
        <v>116</v>
      </c>
      <c r="B110" s="191" t="s">
        <v>89</v>
      </c>
      <c r="C110" s="230" t="s">
        <v>257</v>
      </c>
      <c r="D110" s="238">
        <v>1</v>
      </c>
      <c r="E110" s="234">
        <f t="shared" si="44"/>
        <v>121547</v>
      </c>
      <c r="F110" s="234">
        <v>121547</v>
      </c>
      <c r="G110" s="234"/>
      <c r="H110" s="240">
        <f t="shared" si="45"/>
        <v>87600</v>
      </c>
      <c r="I110" s="234">
        <v>20030</v>
      </c>
      <c r="J110" s="234">
        <v>17574</v>
      </c>
      <c r="K110" s="234">
        <v>6976</v>
      </c>
      <c r="L110" s="234">
        <v>18873</v>
      </c>
      <c r="M110" s="234">
        <v>11364</v>
      </c>
      <c r="N110" s="234">
        <v>12783</v>
      </c>
      <c r="O110" s="235"/>
      <c r="P110" s="235">
        <f t="shared" si="46"/>
        <v>32729</v>
      </c>
      <c r="Q110" s="234">
        <v>2183</v>
      </c>
      <c r="R110" s="234">
        <v>914</v>
      </c>
      <c r="S110" s="234">
        <v>2279</v>
      </c>
      <c r="T110" s="234">
        <v>5978</v>
      </c>
      <c r="U110" s="234">
        <v>3507</v>
      </c>
      <c r="V110" s="234">
        <v>2427</v>
      </c>
      <c r="W110" s="234">
        <v>2382</v>
      </c>
      <c r="X110" s="234">
        <v>3441</v>
      </c>
      <c r="Y110" s="234">
        <v>1648</v>
      </c>
      <c r="Z110" s="234">
        <v>2384</v>
      </c>
      <c r="AA110" s="234">
        <v>1301</v>
      </c>
      <c r="AB110" s="234">
        <v>1539</v>
      </c>
      <c r="AC110" s="234">
        <v>1299</v>
      </c>
      <c r="AD110" s="234">
        <v>1447</v>
      </c>
      <c r="AE110" s="234"/>
      <c r="AF110" s="234">
        <f t="shared" si="47"/>
        <v>1218</v>
      </c>
      <c r="AG110" s="234">
        <v>870</v>
      </c>
      <c r="AH110" s="234">
        <v>348</v>
      </c>
      <c r="AI110" s="197">
        <f t="shared" si="48"/>
        <v>0</v>
      </c>
    </row>
    <row r="111" spans="1:35" s="198" customFormat="1" ht="26.1" customHeight="1">
      <c r="A111" s="190" t="s">
        <v>0</v>
      </c>
      <c r="B111" s="191" t="s">
        <v>258</v>
      </c>
      <c r="C111" s="230" t="s">
        <v>681</v>
      </c>
      <c r="D111" s="238">
        <v>1</v>
      </c>
      <c r="E111" s="245">
        <f t="shared" si="44"/>
        <v>4124</v>
      </c>
      <c r="F111" s="234">
        <v>4124</v>
      </c>
      <c r="G111" s="234"/>
      <c r="H111" s="233">
        <f t="shared" si="45"/>
        <v>2220</v>
      </c>
      <c r="I111" s="234">
        <v>400</v>
      </c>
      <c r="J111" s="234">
        <v>440</v>
      </c>
      <c r="K111" s="234">
        <v>300</v>
      </c>
      <c r="L111" s="234">
        <v>380</v>
      </c>
      <c r="M111" s="234">
        <v>290</v>
      </c>
      <c r="N111" s="234">
        <v>410</v>
      </c>
      <c r="O111" s="235"/>
      <c r="P111" s="246">
        <f t="shared" si="46"/>
        <v>1804</v>
      </c>
      <c r="Q111" s="234">
        <v>130</v>
      </c>
      <c r="R111" s="234">
        <v>140</v>
      </c>
      <c r="S111" s="234">
        <v>140</v>
      </c>
      <c r="T111" s="234">
        <v>190</v>
      </c>
      <c r="U111" s="234">
        <v>140</v>
      </c>
      <c r="V111" s="234">
        <v>160</v>
      </c>
      <c r="W111" s="234">
        <v>130</v>
      </c>
      <c r="X111" s="234">
        <v>180</v>
      </c>
      <c r="Y111" s="234">
        <v>54</v>
      </c>
      <c r="Z111" s="234">
        <v>130</v>
      </c>
      <c r="AA111" s="234">
        <v>60</v>
      </c>
      <c r="AB111" s="234">
        <v>140</v>
      </c>
      <c r="AC111" s="234">
        <v>150</v>
      </c>
      <c r="AD111" s="234">
        <v>60</v>
      </c>
      <c r="AE111" s="234"/>
      <c r="AF111" s="245">
        <f t="shared" si="47"/>
        <v>100</v>
      </c>
      <c r="AG111" s="234">
        <v>60</v>
      </c>
      <c r="AH111" s="234">
        <v>40</v>
      </c>
      <c r="AI111" s="197">
        <f t="shared" si="48"/>
        <v>0</v>
      </c>
    </row>
    <row r="112" spans="1:35" s="198" customFormat="1" ht="26.1" customHeight="1">
      <c r="A112" s="190"/>
      <c r="B112" s="191"/>
      <c r="C112" s="230"/>
      <c r="D112" s="238"/>
      <c r="E112" s="232">
        <f>E113+E114+E117</f>
        <v>16148842</v>
      </c>
      <c r="F112" s="245">
        <f>F113+F114+F117</f>
        <v>16148842</v>
      </c>
      <c r="G112" s="245">
        <f>G113+G114+G117</f>
        <v>0</v>
      </c>
      <c r="H112" s="232">
        <f>H113+H114+H117</f>
        <v>11290405</v>
      </c>
      <c r="I112" s="234"/>
      <c r="J112" s="234"/>
      <c r="K112" s="234"/>
      <c r="L112" s="234"/>
      <c r="M112" s="234"/>
      <c r="N112" s="234"/>
      <c r="O112" s="235"/>
      <c r="P112" s="232">
        <f>P113+P114+P117</f>
        <v>4726001</v>
      </c>
      <c r="Q112" s="234"/>
      <c r="R112" s="234"/>
      <c r="S112" s="234"/>
      <c r="T112" s="234"/>
      <c r="U112" s="234"/>
      <c r="V112" s="234"/>
      <c r="W112" s="234"/>
      <c r="X112" s="234"/>
      <c r="Y112" s="234"/>
      <c r="Z112" s="234"/>
      <c r="AA112" s="234"/>
      <c r="AB112" s="234"/>
      <c r="AC112" s="234"/>
      <c r="AD112" s="234"/>
      <c r="AE112" s="234"/>
      <c r="AF112" s="232">
        <f>AF113+AF114+AF117</f>
        <v>132436</v>
      </c>
      <c r="AG112" s="234"/>
      <c r="AH112" s="234"/>
      <c r="AI112" s="197">
        <f t="shared" si="48"/>
        <v>0</v>
      </c>
    </row>
    <row r="113" spans="1:35" s="198" customFormat="1" ht="26.1" customHeight="1">
      <c r="A113" s="200" t="s">
        <v>471</v>
      </c>
      <c r="B113" s="191" t="s">
        <v>275</v>
      </c>
      <c r="C113" s="230" t="s">
        <v>276</v>
      </c>
      <c r="D113" s="238">
        <v>1</v>
      </c>
      <c r="E113" s="245">
        <f t="shared" si="44"/>
        <v>32884</v>
      </c>
      <c r="F113" s="234">
        <v>32884</v>
      </c>
      <c r="G113" s="234"/>
      <c r="H113" s="245">
        <f t="shared" si="45"/>
        <v>6417</v>
      </c>
      <c r="I113" s="234">
        <v>1070</v>
      </c>
      <c r="J113" s="234">
        <v>1069</v>
      </c>
      <c r="K113" s="234">
        <v>1069</v>
      </c>
      <c r="L113" s="234">
        <v>1070</v>
      </c>
      <c r="M113" s="234">
        <v>1069</v>
      </c>
      <c r="N113" s="234">
        <v>1070</v>
      </c>
      <c r="O113" s="235">
        <v>0</v>
      </c>
      <c r="P113" s="246">
        <f t="shared" si="46"/>
        <v>26061</v>
      </c>
      <c r="Q113" s="234">
        <v>1862</v>
      </c>
      <c r="R113" s="234">
        <v>1862</v>
      </c>
      <c r="S113" s="234">
        <v>1861</v>
      </c>
      <c r="T113" s="234">
        <v>1861</v>
      </c>
      <c r="U113" s="234">
        <v>1861</v>
      </c>
      <c r="V113" s="234">
        <v>1862</v>
      </c>
      <c r="W113" s="234">
        <v>1862</v>
      </c>
      <c r="X113" s="234">
        <v>1862</v>
      </c>
      <c r="Y113" s="234">
        <v>1861</v>
      </c>
      <c r="Z113" s="234">
        <v>1861</v>
      </c>
      <c r="AA113" s="234">
        <v>1861</v>
      </c>
      <c r="AB113" s="234">
        <v>1862</v>
      </c>
      <c r="AC113" s="234">
        <v>1862</v>
      </c>
      <c r="AD113" s="234">
        <v>1861</v>
      </c>
      <c r="AE113" s="234"/>
      <c r="AF113" s="245">
        <f t="shared" si="47"/>
        <v>406</v>
      </c>
      <c r="AG113" s="234">
        <v>203</v>
      </c>
      <c r="AH113" s="234">
        <v>203</v>
      </c>
      <c r="AI113" s="197">
        <f t="shared" si="48"/>
        <v>0</v>
      </c>
    </row>
    <row r="114" spans="1:35" s="198" customFormat="1" ht="26.1" customHeight="1">
      <c r="A114" s="200"/>
      <c r="B114" s="191"/>
      <c r="C114" s="230"/>
      <c r="D114" s="238"/>
      <c r="E114" s="245">
        <f t="shared" ref="E114:AH114" si="49">SUM(E115:E116)</f>
        <v>12051820</v>
      </c>
      <c r="F114" s="240">
        <f t="shared" si="49"/>
        <v>12051820</v>
      </c>
      <c r="G114" s="240">
        <f t="shared" si="49"/>
        <v>0</v>
      </c>
      <c r="H114" s="245">
        <f t="shared" si="49"/>
        <v>7891528</v>
      </c>
      <c r="I114" s="240">
        <f t="shared" si="49"/>
        <v>1972092</v>
      </c>
      <c r="J114" s="240">
        <f t="shared" si="49"/>
        <v>1450517</v>
      </c>
      <c r="K114" s="240"/>
      <c r="L114" s="240">
        <f t="shared" si="49"/>
        <v>1200698</v>
      </c>
      <c r="M114" s="240">
        <f t="shared" si="49"/>
        <v>946807</v>
      </c>
      <c r="N114" s="240">
        <f t="shared" si="49"/>
        <v>1414745</v>
      </c>
      <c r="O114" s="240">
        <f t="shared" si="49"/>
        <v>0</v>
      </c>
      <c r="P114" s="245">
        <f t="shared" si="49"/>
        <v>4029197</v>
      </c>
      <c r="Q114" s="240">
        <f t="shared" si="49"/>
        <v>217801</v>
      </c>
      <c r="R114" s="240">
        <f t="shared" si="49"/>
        <v>232364</v>
      </c>
      <c r="S114" s="240">
        <f t="shared" si="49"/>
        <v>302986</v>
      </c>
      <c r="T114" s="240">
        <f t="shared" si="49"/>
        <v>535346</v>
      </c>
      <c r="U114" s="240">
        <f t="shared" si="49"/>
        <v>342989</v>
      </c>
      <c r="V114" s="240">
        <f t="shared" si="49"/>
        <v>434407</v>
      </c>
      <c r="W114" s="240">
        <f t="shared" si="49"/>
        <v>326187</v>
      </c>
      <c r="X114" s="240">
        <f t="shared" si="49"/>
        <v>522622</v>
      </c>
      <c r="Y114" s="240">
        <f t="shared" si="49"/>
        <v>246887</v>
      </c>
      <c r="Z114" s="240">
        <f t="shared" si="49"/>
        <v>257326</v>
      </c>
      <c r="AA114" s="240">
        <f t="shared" si="49"/>
        <v>124842</v>
      </c>
      <c r="AB114" s="240">
        <f t="shared" si="49"/>
        <v>200502</v>
      </c>
      <c r="AC114" s="240">
        <f t="shared" si="49"/>
        <v>173301</v>
      </c>
      <c r="AD114" s="240">
        <f t="shared" si="49"/>
        <v>111637</v>
      </c>
      <c r="AE114" s="240">
        <f t="shared" si="49"/>
        <v>0</v>
      </c>
      <c r="AF114" s="245">
        <f t="shared" si="49"/>
        <v>131095</v>
      </c>
      <c r="AG114" s="240">
        <f t="shared" si="49"/>
        <v>99098</v>
      </c>
      <c r="AH114" s="240">
        <f t="shared" si="49"/>
        <v>31997</v>
      </c>
      <c r="AI114" s="197">
        <f t="shared" ref="AI114:AI119" si="50">IF(+F114+G114=E114,0,FALSE)</f>
        <v>0</v>
      </c>
    </row>
    <row r="115" spans="1:35" s="198" customFormat="1" ht="26.1" customHeight="1">
      <c r="A115" s="190" t="s">
        <v>471</v>
      </c>
      <c r="B115" s="191" t="s">
        <v>277</v>
      </c>
      <c r="C115" s="230" t="s">
        <v>634</v>
      </c>
      <c r="D115" s="238">
        <v>1</v>
      </c>
      <c r="E115" s="234">
        <f>SUM(H115,P115,AF115)</f>
        <v>164700</v>
      </c>
      <c r="F115" s="234">
        <v>164700</v>
      </c>
      <c r="G115" s="234"/>
      <c r="H115" s="240">
        <f>SUM(I115:O115)</f>
        <v>82071</v>
      </c>
      <c r="I115" s="234">
        <v>5276</v>
      </c>
      <c r="J115" s="234">
        <v>12667</v>
      </c>
      <c r="K115" s="234">
        <v>9102</v>
      </c>
      <c r="L115" s="234">
        <v>8586</v>
      </c>
      <c r="M115" s="234">
        <v>14912</v>
      </c>
      <c r="N115" s="234">
        <v>31528</v>
      </c>
      <c r="O115" s="235"/>
      <c r="P115" s="235">
        <f>SUM(Q115:AE115)</f>
        <v>78021</v>
      </c>
      <c r="Q115" s="234">
        <v>5006</v>
      </c>
      <c r="R115" s="234">
        <v>3385</v>
      </c>
      <c r="S115" s="234">
        <v>3607</v>
      </c>
      <c r="T115" s="234">
        <v>3955</v>
      </c>
      <c r="U115" s="234">
        <v>5058</v>
      </c>
      <c r="V115" s="234">
        <v>4039</v>
      </c>
      <c r="W115" s="234">
        <v>5096</v>
      </c>
      <c r="X115" s="234">
        <v>7273</v>
      </c>
      <c r="Y115" s="234">
        <v>5997</v>
      </c>
      <c r="Z115" s="234">
        <v>5714</v>
      </c>
      <c r="AA115" s="234">
        <v>4350</v>
      </c>
      <c r="AB115" s="234">
        <v>20018</v>
      </c>
      <c r="AC115" s="234">
        <v>2322</v>
      </c>
      <c r="AD115" s="234">
        <v>2201</v>
      </c>
      <c r="AE115" s="234"/>
      <c r="AF115" s="234">
        <f>SUM(AG115:AH115)</f>
        <v>4608</v>
      </c>
      <c r="AG115" s="234">
        <v>2917</v>
      </c>
      <c r="AH115" s="234">
        <v>1691</v>
      </c>
      <c r="AI115" s="197">
        <f t="shared" si="50"/>
        <v>0</v>
      </c>
    </row>
    <row r="116" spans="1:35" s="198" customFormat="1" ht="26.1" customHeight="1">
      <c r="A116" s="247" t="s">
        <v>496</v>
      </c>
      <c r="B116" s="248" t="s">
        <v>277</v>
      </c>
      <c r="C116" s="249" t="s">
        <v>635</v>
      </c>
      <c r="D116" s="238">
        <v>9</v>
      </c>
      <c r="E116" s="234">
        <f>H116+P116+AF116</f>
        <v>11887120</v>
      </c>
      <c r="F116" s="234">
        <v>11887120</v>
      </c>
      <c r="G116" s="234"/>
      <c r="H116" s="240">
        <f>SUM(I116:O116)</f>
        <v>7809457</v>
      </c>
      <c r="I116" s="234">
        <v>1966816</v>
      </c>
      <c r="J116" s="234">
        <v>1437850</v>
      </c>
      <c r="K116" s="234">
        <v>897567</v>
      </c>
      <c r="L116" s="234">
        <v>1192112</v>
      </c>
      <c r="M116" s="234">
        <v>931895</v>
      </c>
      <c r="N116" s="234">
        <v>1383217</v>
      </c>
      <c r="O116" s="235"/>
      <c r="P116" s="235">
        <f>SUM(Q116:AE116)</f>
        <v>3951176</v>
      </c>
      <c r="Q116" s="234">
        <v>212795</v>
      </c>
      <c r="R116" s="234">
        <v>228979</v>
      </c>
      <c r="S116" s="234">
        <v>299379</v>
      </c>
      <c r="T116" s="234">
        <v>531391</v>
      </c>
      <c r="U116" s="234">
        <v>337931</v>
      </c>
      <c r="V116" s="234">
        <v>430368</v>
      </c>
      <c r="W116" s="234">
        <v>321091</v>
      </c>
      <c r="X116" s="234">
        <v>515349</v>
      </c>
      <c r="Y116" s="234">
        <v>240890</v>
      </c>
      <c r="Z116" s="234">
        <v>251612</v>
      </c>
      <c r="AA116" s="234">
        <v>120492</v>
      </c>
      <c r="AB116" s="234">
        <v>180484</v>
      </c>
      <c r="AC116" s="234">
        <v>170979</v>
      </c>
      <c r="AD116" s="234">
        <v>109436</v>
      </c>
      <c r="AE116" s="234"/>
      <c r="AF116" s="234">
        <f>SUM(AG116:AH116)</f>
        <v>126487</v>
      </c>
      <c r="AG116" s="234">
        <v>96181</v>
      </c>
      <c r="AH116" s="234">
        <v>30306</v>
      </c>
      <c r="AI116" s="197">
        <f t="shared" si="50"/>
        <v>0</v>
      </c>
    </row>
    <row r="117" spans="1:35" s="198" customFormat="1" ht="26.1" customHeight="1">
      <c r="A117" s="190"/>
      <c r="B117" s="191"/>
      <c r="C117" s="230"/>
      <c r="D117" s="238"/>
      <c r="E117" s="245">
        <f t="shared" ref="E117:AH117" si="51">SUM(E118:E119)</f>
        <v>4064138</v>
      </c>
      <c r="F117" s="240">
        <f t="shared" si="51"/>
        <v>4064138</v>
      </c>
      <c r="G117" s="240">
        <f t="shared" si="51"/>
        <v>0</v>
      </c>
      <c r="H117" s="245">
        <f t="shared" si="51"/>
        <v>3392460</v>
      </c>
      <c r="I117" s="240">
        <f t="shared" si="51"/>
        <v>1886973</v>
      </c>
      <c r="J117" s="240">
        <f t="shared" si="51"/>
        <v>586597</v>
      </c>
      <c r="K117" s="240"/>
      <c r="L117" s="240">
        <f t="shared" si="51"/>
        <v>332213</v>
      </c>
      <c r="M117" s="240">
        <f t="shared" si="51"/>
        <v>238752</v>
      </c>
      <c r="N117" s="240">
        <f t="shared" si="51"/>
        <v>302717</v>
      </c>
      <c r="O117" s="240">
        <f t="shared" si="51"/>
        <v>0</v>
      </c>
      <c r="P117" s="245">
        <f t="shared" si="51"/>
        <v>670743</v>
      </c>
      <c r="Q117" s="240">
        <f t="shared" si="51"/>
        <v>61410</v>
      </c>
      <c r="R117" s="240">
        <f t="shared" si="51"/>
        <v>53719</v>
      </c>
      <c r="S117" s="240">
        <f t="shared" si="51"/>
        <v>57284</v>
      </c>
      <c r="T117" s="240">
        <f t="shared" si="51"/>
        <v>141829</v>
      </c>
      <c r="U117" s="240">
        <f t="shared" si="51"/>
        <v>26668</v>
      </c>
      <c r="V117" s="240">
        <f t="shared" si="51"/>
        <v>50955</v>
      </c>
      <c r="W117" s="240">
        <f t="shared" si="51"/>
        <v>16350</v>
      </c>
      <c r="X117" s="240">
        <f t="shared" si="51"/>
        <v>41811</v>
      </c>
      <c r="Y117" s="240">
        <f t="shared" si="51"/>
        <v>6182</v>
      </c>
      <c r="Z117" s="240">
        <f t="shared" si="51"/>
        <v>15379</v>
      </c>
      <c r="AA117" s="240">
        <f t="shared" si="51"/>
        <v>11562</v>
      </c>
      <c r="AB117" s="240">
        <f t="shared" si="51"/>
        <v>73308</v>
      </c>
      <c r="AC117" s="240">
        <f t="shared" si="51"/>
        <v>73338</v>
      </c>
      <c r="AD117" s="240">
        <f t="shared" si="51"/>
        <v>40948</v>
      </c>
      <c r="AE117" s="240">
        <f t="shared" si="51"/>
        <v>0</v>
      </c>
      <c r="AF117" s="245">
        <f t="shared" si="51"/>
        <v>935</v>
      </c>
      <c r="AG117" s="240">
        <f t="shared" si="51"/>
        <v>811</v>
      </c>
      <c r="AH117" s="240">
        <f t="shared" si="51"/>
        <v>124</v>
      </c>
      <c r="AI117" s="197">
        <f t="shared" si="50"/>
        <v>0</v>
      </c>
    </row>
    <row r="118" spans="1:35" s="198" customFormat="1" ht="26.1" customHeight="1">
      <c r="A118" s="190" t="s">
        <v>471</v>
      </c>
      <c r="B118" s="191" t="s">
        <v>278</v>
      </c>
      <c r="C118" s="230" t="s">
        <v>93</v>
      </c>
      <c r="D118" s="238">
        <v>9</v>
      </c>
      <c r="E118" s="234">
        <f>SUM(H118,P118,AF118)</f>
        <v>3677930</v>
      </c>
      <c r="F118" s="234">
        <v>3677930</v>
      </c>
      <c r="G118" s="234">
        <v>0</v>
      </c>
      <c r="H118" s="240">
        <f>SUM(I118:O118)</f>
        <v>3033090</v>
      </c>
      <c r="I118" s="234">
        <v>1701320</v>
      </c>
      <c r="J118" s="234">
        <v>493370</v>
      </c>
      <c r="K118" s="234">
        <v>23430</v>
      </c>
      <c r="L118" s="234">
        <v>307570</v>
      </c>
      <c r="M118" s="234">
        <v>231490</v>
      </c>
      <c r="N118" s="234">
        <v>275910</v>
      </c>
      <c r="O118" s="235"/>
      <c r="P118" s="235">
        <f>SUM(Q118:AE118)</f>
        <v>644060</v>
      </c>
      <c r="Q118" s="234">
        <v>55220</v>
      </c>
      <c r="R118" s="234">
        <v>51620</v>
      </c>
      <c r="S118" s="234">
        <v>53860</v>
      </c>
      <c r="T118" s="234">
        <v>139010</v>
      </c>
      <c r="U118" s="234">
        <v>25360</v>
      </c>
      <c r="V118" s="234">
        <v>49720</v>
      </c>
      <c r="W118" s="234">
        <v>15640</v>
      </c>
      <c r="X118" s="234">
        <v>40820</v>
      </c>
      <c r="Y118" s="234">
        <v>5740</v>
      </c>
      <c r="Z118" s="234">
        <v>13770</v>
      </c>
      <c r="AA118" s="234">
        <v>11290</v>
      </c>
      <c r="AB118" s="234">
        <v>72310</v>
      </c>
      <c r="AC118" s="234">
        <v>71020</v>
      </c>
      <c r="AD118" s="234">
        <v>38680</v>
      </c>
      <c r="AE118" s="234"/>
      <c r="AF118" s="234">
        <f>SUM(AG118:AH118)</f>
        <v>780</v>
      </c>
      <c r="AG118" s="234">
        <v>770</v>
      </c>
      <c r="AH118" s="234">
        <v>10</v>
      </c>
      <c r="AI118" s="197">
        <f t="shared" si="50"/>
        <v>0</v>
      </c>
    </row>
    <row r="119" spans="1:35" s="198" customFormat="1" ht="26.1" customHeight="1">
      <c r="A119" s="190" t="s">
        <v>471</v>
      </c>
      <c r="B119" s="191" t="s">
        <v>278</v>
      </c>
      <c r="C119" s="230" t="s">
        <v>636</v>
      </c>
      <c r="D119" s="238">
        <v>9</v>
      </c>
      <c r="E119" s="234">
        <f>SUM(H119,P119,AF119)</f>
        <v>386208</v>
      </c>
      <c r="F119" s="234">
        <v>386208</v>
      </c>
      <c r="G119" s="234">
        <v>0</v>
      </c>
      <c r="H119" s="240">
        <f>SUM(I119:O119)</f>
        <v>359370</v>
      </c>
      <c r="I119" s="234">
        <v>185653</v>
      </c>
      <c r="J119" s="234">
        <v>93227</v>
      </c>
      <c r="K119" s="234">
        <v>21778</v>
      </c>
      <c r="L119" s="234">
        <v>24643</v>
      </c>
      <c r="M119" s="234">
        <v>7262</v>
      </c>
      <c r="N119" s="234">
        <v>26807</v>
      </c>
      <c r="O119" s="235"/>
      <c r="P119" s="235">
        <f>SUM(Q119:AE119)</f>
        <v>26683</v>
      </c>
      <c r="Q119" s="234">
        <v>6190</v>
      </c>
      <c r="R119" s="234">
        <v>2099</v>
      </c>
      <c r="S119" s="234">
        <v>3424</v>
      </c>
      <c r="T119" s="234">
        <v>2819</v>
      </c>
      <c r="U119" s="234">
        <v>1308</v>
      </c>
      <c r="V119" s="234">
        <v>1235</v>
      </c>
      <c r="W119" s="234">
        <v>710</v>
      </c>
      <c r="X119" s="234">
        <v>991</v>
      </c>
      <c r="Y119" s="234">
        <v>442</v>
      </c>
      <c r="Z119" s="234">
        <v>1609</v>
      </c>
      <c r="AA119" s="234">
        <v>272</v>
      </c>
      <c r="AB119" s="234">
        <v>998</v>
      </c>
      <c r="AC119" s="234">
        <v>2318</v>
      </c>
      <c r="AD119" s="234">
        <v>2268</v>
      </c>
      <c r="AE119" s="234"/>
      <c r="AF119" s="234">
        <f>SUM(AG119:AH119)</f>
        <v>155</v>
      </c>
      <c r="AG119" s="234">
        <v>41</v>
      </c>
      <c r="AH119" s="234">
        <v>114</v>
      </c>
      <c r="AI119" s="197">
        <f t="shared" si="50"/>
        <v>0</v>
      </c>
    </row>
    <row r="120" spans="1:35" s="198" customFormat="1" ht="26.1" customHeight="1">
      <c r="A120" s="190"/>
      <c r="B120" s="191"/>
      <c r="C120" s="230"/>
      <c r="D120" s="238"/>
      <c r="E120" s="232">
        <f>E121+E145+E154+E163</f>
        <v>39797107</v>
      </c>
      <c r="F120" s="234">
        <f>F121+F145+F154+F163</f>
        <v>31328134</v>
      </c>
      <c r="G120" s="234">
        <f>G121+G145+G154+G163</f>
        <v>8468973</v>
      </c>
      <c r="H120" s="232">
        <f>H121+H145+H154+H163</f>
        <v>23214649</v>
      </c>
      <c r="I120" s="234"/>
      <c r="J120" s="234"/>
      <c r="K120" s="234"/>
      <c r="L120" s="234"/>
      <c r="M120" s="234"/>
      <c r="N120" s="234"/>
      <c r="O120" s="235"/>
      <c r="P120" s="232">
        <f>P121+P145+P154+P163</f>
        <v>16073657</v>
      </c>
      <c r="Q120" s="234"/>
      <c r="R120" s="234"/>
      <c r="S120" s="234"/>
      <c r="T120" s="234"/>
      <c r="U120" s="234"/>
      <c r="V120" s="234"/>
      <c r="W120" s="234"/>
      <c r="X120" s="234"/>
      <c r="Y120" s="234"/>
      <c r="Z120" s="234"/>
      <c r="AA120" s="234"/>
      <c r="AB120" s="234"/>
      <c r="AC120" s="234"/>
      <c r="AD120" s="234"/>
      <c r="AE120" s="234"/>
      <c r="AF120" s="232">
        <f>AF121+AF145+AF154+AF163</f>
        <v>508801</v>
      </c>
      <c r="AG120" s="234"/>
      <c r="AH120" s="234"/>
      <c r="AI120" s="197">
        <f t="shared" ref="AI120:AI144" si="52">IF(+F120+G120=E120,0,FALSE)</f>
        <v>0</v>
      </c>
    </row>
    <row r="121" spans="1:35" s="198" customFormat="1" ht="26.1" customHeight="1">
      <c r="A121" s="200"/>
      <c r="B121" s="191"/>
      <c r="C121" s="230"/>
      <c r="D121" s="238"/>
      <c r="E121" s="245">
        <f t="shared" ref="E121:J121" si="53">SUM(E122:E144)</f>
        <v>1560384</v>
      </c>
      <c r="F121" s="234">
        <f t="shared" si="53"/>
        <v>1182098</v>
      </c>
      <c r="G121" s="234">
        <f t="shared" si="53"/>
        <v>378286</v>
      </c>
      <c r="H121" s="245">
        <f t="shared" si="53"/>
        <v>606985</v>
      </c>
      <c r="I121" s="234">
        <f t="shared" si="53"/>
        <v>48935</v>
      </c>
      <c r="J121" s="234">
        <f t="shared" si="53"/>
        <v>47070</v>
      </c>
      <c r="K121" s="234"/>
      <c r="L121" s="234">
        <f t="shared" ref="L121:AH121" si="54">SUM(L122:L144)</f>
        <v>34810</v>
      </c>
      <c r="M121" s="234">
        <f t="shared" si="54"/>
        <v>37750</v>
      </c>
      <c r="N121" s="234">
        <f t="shared" si="54"/>
        <v>29800</v>
      </c>
      <c r="O121" s="234">
        <f t="shared" si="54"/>
        <v>383760</v>
      </c>
      <c r="P121" s="245">
        <f t="shared" si="54"/>
        <v>899899</v>
      </c>
      <c r="Q121" s="234">
        <f t="shared" si="54"/>
        <v>21375</v>
      </c>
      <c r="R121" s="234">
        <f t="shared" si="54"/>
        <v>15365</v>
      </c>
      <c r="S121" s="234">
        <f t="shared" si="54"/>
        <v>19185</v>
      </c>
      <c r="T121" s="234">
        <f t="shared" si="54"/>
        <v>22325</v>
      </c>
      <c r="U121" s="234">
        <f t="shared" si="54"/>
        <v>13755</v>
      </c>
      <c r="V121" s="234">
        <f t="shared" si="54"/>
        <v>19505</v>
      </c>
      <c r="W121" s="234">
        <f t="shared" si="54"/>
        <v>14485</v>
      </c>
      <c r="X121" s="234">
        <f t="shared" si="54"/>
        <v>21445</v>
      </c>
      <c r="Y121" s="234">
        <f t="shared" si="54"/>
        <v>14275</v>
      </c>
      <c r="Z121" s="234">
        <f t="shared" si="54"/>
        <v>10740</v>
      </c>
      <c r="AA121" s="234">
        <f t="shared" si="54"/>
        <v>7580</v>
      </c>
      <c r="AB121" s="234">
        <f t="shared" si="54"/>
        <v>14430</v>
      </c>
      <c r="AC121" s="234">
        <f t="shared" si="54"/>
        <v>14657</v>
      </c>
      <c r="AD121" s="234">
        <f t="shared" si="54"/>
        <v>11490</v>
      </c>
      <c r="AE121" s="234">
        <f t="shared" si="54"/>
        <v>679287</v>
      </c>
      <c r="AF121" s="245">
        <f t="shared" si="54"/>
        <v>53500</v>
      </c>
      <c r="AG121" s="234">
        <f t="shared" si="54"/>
        <v>30225</v>
      </c>
      <c r="AH121" s="234">
        <f t="shared" si="54"/>
        <v>23275</v>
      </c>
      <c r="AI121" s="197">
        <f t="shared" si="52"/>
        <v>0</v>
      </c>
    </row>
    <row r="122" spans="1:35" s="198" customFormat="1" ht="26.1" customHeight="1">
      <c r="A122" s="250" t="s">
        <v>1</v>
      </c>
      <c r="B122" s="191" t="s">
        <v>433</v>
      </c>
      <c r="C122" s="230" t="s">
        <v>434</v>
      </c>
      <c r="D122" s="238">
        <v>3</v>
      </c>
      <c r="E122" s="234">
        <f t="shared" ref="E122:E144" si="55">SUM(H122,P122,AF122)</f>
        <v>763</v>
      </c>
      <c r="F122" s="234">
        <v>763</v>
      </c>
      <c r="G122" s="234">
        <v>0</v>
      </c>
      <c r="H122" s="240">
        <f t="shared" ref="H122:H144" si="56">SUM(I122:O122)</f>
        <v>0</v>
      </c>
      <c r="I122" s="234">
        <v>0</v>
      </c>
      <c r="J122" s="234">
        <v>0</v>
      </c>
      <c r="K122" s="234">
        <v>0</v>
      </c>
      <c r="L122" s="234">
        <v>0</v>
      </c>
      <c r="M122" s="234">
        <v>0</v>
      </c>
      <c r="N122" s="234">
        <v>0</v>
      </c>
      <c r="O122" s="235">
        <v>0</v>
      </c>
      <c r="P122" s="235">
        <f t="shared" ref="P122:P144" si="57">SUM(Q122:AE122)</f>
        <v>763</v>
      </c>
      <c r="Q122" s="234">
        <v>0</v>
      </c>
      <c r="R122" s="234">
        <v>0</v>
      </c>
      <c r="S122" s="234">
        <v>0</v>
      </c>
      <c r="T122" s="234">
        <v>0</v>
      </c>
      <c r="U122" s="234">
        <v>0</v>
      </c>
      <c r="V122" s="234">
        <v>0</v>
      </c>
      <c r="W122" s="234">
        <v>0</v>
      </c>
      <c r="X122" s="234">
        <v>0</v>
      </c>
      <c r="Y122" s="234">
        <v>0</v>
      </c>
      <c r="Z122" s="234">
        <v>0</v>
      </c>
      <c r="AA122" s="234">
        <v>0</v>
      </c>
      <c r="AB122" s="234">
        <v>0</v>
      </c>
      <c r="AC122" s="234">
        <v>0</v>
      </c>
      <c r="AD122" s="234">
        <v>0</v>
      </c>
      <c r="AE122" s="234">
        <v>763</v>
      </c>
      <c r="AF122" s="234">
        <f t="shared" ref="AF122:AF144" si="58">SUM(AG122:AH122)</f>
        <v>0</v>
      </c>
      <c r="AG122" s="234">
        <v>0</v>
      </c>
      <c r="AH122" s="234">
        <v>0</v>
      </c>
      <c r="AI122" s="197">
        <f t="shared" si="52"/>
        <v>0</v>
      </c>
    </row>
    <row r="123" spans="1:35" s="198" customFormat="1" ht="26.1" customHeight="1">
      <c r="A123" s="251" t="s">
        <v>1</v>
      </c>
      <c r="B123" s="191" t="s">
        <v>433</v>
      </c>
      <c r="C123" s="230" t="s">
        <v>155</v>
      </c>
      <c r="D123" s="238">
        <v>3</v>
      </c>
      <c r="E123" s="234">
        <f t="shared" si="55"/>
        <v>12900</v>
      </c>
      <c r="F123" s="234">
        <v>12900</v>
      </c>
      <c r="G123" s="234">
        <v>0</v>
      </c>
      <c r="H123" s="240">
        <f t="shared" si="56"/>
        <v>6000</v>
      </c>
      <c r="I123" s="234">
        <v>0</v>
      </c>
      <c r="J123" s="234">
        <v>0</v>
      </c>
      <c r="K123" s="234">
        <v>0</v>
      </c>
      <c r="L123" s="234">
        <v>0</v>
      </c>
      <c r="M123" s="234">
        <v>0</v>
      </c>
      <c r="N123" s="234">
        <v>0</v>
      </c>
      <c r="O123" s="235">
        <v>6000</v>
      </c>
      <c r="P123" s="235">
        <f t="shared" si="57"/>
        <v>6200</v>
      </c>
      <c r="Q123" s="234">
        <v>0</v>
      </c>
      <c r="R123" s="234">
        <v>0</v>
      </c>
      <c r="S123" s="234">
        <v>0</v>
      </c>
      <c r="T123" s="234">
        <v>0</v>
      </c>
      <c r="U123" s="234">
        <v>0</v>
      </c>
      <c r="V123" s="234">
        <v>0</v>
      </c>
      <c r="W123" s="234">
        <v>0</v>
      </c>
      <c r="X123" s="234">
        <v>0</v>
      </c>
      <c r="Y123" s="234">
        <v>0</v>
      </c>
      <c r="Z123" s="234">
        <v>0</v>
      </c>
      <c r="AA123" s="234">
        <v>0</v>
      </c>
      <c r="AB123" s="234">
        <v>0</v>
      </c>
      <c r="AC123" s="234">
        <v>0</v>
      </c>
      <c r="AD123" s="234">
        <v>0</v>
      </c>
      <c r="AE123" s="234">
        <v>6200</v>
      </c>
      <c r="AF123" s="234">
        <f t="shared" si="58"/>
        <v>700</v>
      </c>
      <c r="AG123" s="234">
        <v>350</v>
      </c>
      <c r="AH123" s="234">
        <v>350</v>
      </c>
      <c r="AI123" s="197">
        <f t="shared" si="52"/>
        <v>0</v>
      </c>
    </row>
    <row r="124" spans="1:35" s="198" customFormat="1" ht="26.1" customHeight="1">
      <c r="A124" s="251" t="s">
        <v>1</v>
      </c>
      <c r="B124" s="191" t="s">
        <v>433</v>
      </c>
      <c r="C124" s="230" t="s">
        <v>94</v>
      </c>
      <c r="D124" s="238">
        <v>3</v>
      </c>
      <c r="E124" s="234">
        <f t="shared" si="55"/>
        <v>28333</v>
      </c>
      <c r="F124" s="234">
        <v>27693</v>
      </c>
      <c r="G124" s="234">
        <v>640</v>
      </c>
      <c r="H124" s="240">
        <f t="shared" si="56"/>
        <v>19528</v>
      </c>
      <c r="I124" s="234">
        <v>0</v>
      </c>
      <c r="J124" s="234">
        <v>0</v>
      </c>
      <c r="K124" s="234">
        <v>0</v>
      </c>
      <c r="L124" s="234">
        <v>0</v>
      </c>
      <c r="M124" s="234">
        <v>0</v>
      </c>
      <c r="N124" s="234">
        <v>0</v>
      </c>
      <c r="O124" s="235">
        <v>19528</v>
      </c>
      <c r="P124" s="235">
        <f t="shared" si="57"/>
        <v>8805</v>
      </c>
      <c r="Q124" s="234">
        <v>0</v>
      </c>
      <c r="R124" s="234">
        <v>0</v>
      </c>
      <c r="S124" s="234">
        <v>0</v>
      </c>
      <c r="T124" s="234">
        <v>0</v>
      </c>
      <c r="U124" s="234">
        <v>0</v>
      </c>
      <c r="V124" s="234">
        <v>0</v>
      </c>
      <c r="W124" s="234">
        <v>0</v>
      </c>
      <c r="X124" s="234">
        <v>0</v>
      </c>
      <c r="Y124" s="234">
        <v>0</v>
      </c>
      <c r="Z124" s="234">
        <v>0</v>
      </c>
      <c r="AA124" s="234">
        <v>0</v>
      </c>
      <c r="AB124" s="234">
        <v>0</v>
      </c>
      <c r="AC124" s="234">
        <v>0</v>
      </c>
      <c r="AD124" s="234">
        <v>0</v>
      </c>
      <c r="AE124" s="234">
        <v>8805</v>
      </c>
      <c r="AF124" s="234">
        <f t="shared" si="58"/>
        <v>0</v>
      </c>
      <c r="AG124" s="234">
        <v>0</v>
      </c>
      <c r="AH124" s="234">
        <v>0</v>
      </c>
      <c r="AI124" s="197">
        <f t="shared" si="52"/>
        <v>0</v>
      </c>
    </row>
    <row r="125" spans="1:35" s="198" customFormat="1" ht="26.1" customHeight="1">
      <c r="A125" s="251" t="s">
        <v>1</v>
      </c>
      <c r="B125" s="191" t="s">
        <v>433</v>
      </c>
      <c r="C125" s="230" t="s">
        <v>549</v>
      </c>
      <c r="D125" s="238">
        <v>3</v>
      </c>
      <c r="E125" s="234">
        <f t="shared" si="55"/>
        <v>121752</v>
      </c>
      <c r="F125" s="234">
        <v>85642</v>
      </c>
      <c r="G125" s="234">
        <v>36110</v>
      </c>
      <c r="H125" s="240">
        <f t="shared" si="56"/>
        <v>78101</v>
      </c>
      <c r="I125" s="234">
        <v>0</v>
      </c>
      <c r="J125" s="234">
        <v>0</v>
      </c>
      <c r="K125" s="234">
        <v>0</v>
      </c>
      <c r="L125" s="234">
        <v>0</v>
      </c>
      <c r="M125" s="234">
        <v>0</v>
      </c>
      <c r="N125" s="234">
        <v>0</v>
      </c>
      <c r="O125" s="235">
        <v>78101</v>
      </c>
      <c r="P125" s="235">
        <f t="shared" si="57"/>
        <v>42381</v>
      </c>
      <c r="Q125" s="234">
        <v>0</v>
      </c>
      <c r="R125" s="234">
        <v>0</v>
      </c>
      <c r="S125" s="234">
        <v>0</v>
      </c>
      <c r="T125" s="234">
        <v>0</v>
      </c>
      <c r="U125" s="234">
        <v>0</v>
      </c>
      <c r="V125" s="234">
        <v>0</v>
      </c>
      <c r="W125" s="234">
        <v>0</v>
      </c>
      <c r="X125" s="234">
        <v>0</v>
      </c>
      <c r="Y125" s="234">
        <v>0</v>
      </c>
      <c r="Z125" s="234">
        <v>0</v>
      </c>
      <c r="AA125" s="234">
        <v>0</v>
      </c>
      <c r="AB125" s="234">
        <v>0</v>
      </c>
      <c r="AC125" s="234">
        <v>0</v>
      </c>
      <c r="AD125" s="234">
        <v>0</v>
      </c>
      <c r="AE125" s="234">
        <v>42381</v>
      </c>
      <c r="AF125" s="234">
        <f t="shared" si="58"/>
        <v>1270</v>
      </c>
      <c r="AG125" s="234">
        <v>635</v>
      </c>
      <c r="AH125" s="234">
        <v>635</v>
      </c>
      <c r="AI125" s="197">
        <f t="shared" si="52"/>
        <v>0</v>
      </c>
    </row>
    <row r="126" spans="1:35" s="198" customFormat="1" ht="26.1" customHeight="1">
      <c r="A126" s="251" t="s">
        <v>1</v>
      </c>
      <c r="B126" s="191" t="s">
        <v>433</v>
      </c>
      <c r="C126" s="230" t="s">
        <v>95</v>
      </c>
      <c r="D126" s="238">
        <v>3</v>
      </c>
      <c r="E126" s="234">
        <f t="shared" si="55"/>
        <v>28967</v>
      </c>
      <c r="F126" s="234">
        <v>28747</v>
      </c>
      <c r="G126" s="234">
        <v>220</v>
      </c>
      <c r="H126" s="240">
        <f t="shared" si="56"/>
        <v>12505</v>
      </c>
      <c r="I126" s="234">
        <v>635</v>
      </c>
      <c r="J126" s="234">
        <v>1520</v>
      </c>
      <c r="K126" s="234">
        <v>1460</v>
      </c>
      <c r="L126" s="234">
        <v>1110</v>
      </c>
      <c r="M126" s="234">
        <v>2750</v>
      </c>
      <c r="N126" s="234">
        <v>1900</v>
      </c>
      <c r="O126" s="235">
        <v>3130</v>
      </c>
      <c r="P126" s="235">
        <f t="shared" si="57"/>
        <v>15462</v>
      </c>
      <c r="Q126" s="234">
        <v>1225</v>
      </c>
      <c r="R126" s="234">
        <v>765</v>
      </c>
      <c r="S126" s="234">
        <v>1605</v>
      </c>
      <c r="T126" s="234">
        <v>1025</v>
      </c>
      <c r="U126" s="234">
        <v>1455</v>
      </c>
      <c r="V126" s="234">
        <v>705</v>
      </c>
      <c r="W126" s="234">
        <v>1085</v>
      </c>
      <c r="X126" s="234">
        <v>1345</v>
      </c>
      <c r="Y126" s="234">
        <v>1175</v>
      </c>
      <c r="Z126" s="234">
        <v>540</v>
      </c>
      <c r="AA126" s="234">
        <v>280</v>
      </c>
      <c r="AB126" s="234">
        <v>500</v>
      </c>
      <c r="AC126" s="234">
        <v>407</v>
      </c>
      <c r="AD126" s="234">
        <v>1140</v>
      </c>
      <c r="AE126" s="234">
        <v>2210</v>
      </c>
      <c r="AF126" s="234">
        <f t="shared" si="58"/>
        <v>1000</v>
      </c>
      <c r="AG126" s="234">
        <v>485</v>
      </c>
      <c r="AH126" s="234">
        <v>515</v>
      </c>
      <c r="AI126" s="197">
        <f t="shared" si="52"/>
        <v>0</v>
      </c>
    </row>
    <row r="127" spans="1:35" s="198" customFormat="1" ht="26.1" customHeight="1">
      <c r="A127" s="251" t="s">
        <v>1</v>
      </c>
      <c r="B127" s="191" t="s">
        <v>433</v>
      </c>
      <c r="C127" s="230" t="s">
        <v>435</v>
      </c>
      <c r="D127" s="238">
        <v>3</v>
      </c>
      <c r="E127" s="234">
        <f t="shared" si="55"/>
        <v>276741</v>
      </c>
      <c r="F127" s="234">
        <v>263741</v>
      </c>
      <c r="G127" s="234">
        <v>13000</v>
      </c>
      <c r="H127" s="240">
        <f t="shared" si="56"/>
        <v>157250</v>
      </c>
      <c r="I127" s="234">
        <v>38050</v>
      </c>
      <c r="J127" s="234">
        <v>33300</v>
      </c>
      <c r="K127" s="234">
        <v>14800</v>
      </c>
      <c r="L127" s="234">
        <v>23500</v>
      </c>
      <c r="M127" s="234">
        <v>22200</v>
      </c>
      <c r="N127" s="234">
        <v>16700</v>
      </c>
      <c r="O127" s="235">
        <v>8700</v>
      </c>
      <c r="P127" s="235">
        <f t="shared" si="57"/>
        <v>118151</v>
      </c>
      <c r="Q127" s="234">
        <v>10000</v>
      </c>
      <c r="R127" s="234">
        <v>6200</v>
      </c>
      <c r="S127" s="234">
        <v>8280</v>
      </c>
      <c r="T127" s="234">
        <v>13900</v>
      </c>
      <c r="U127" s="234">
        <v>6200</v>
      </c>
      <c r="V127" s="234">
        <v>7400</v>
      </c>
      <c r="W127" s="234">
        <v>5200</v>
      </c>
      <c r="X127" s="234">
        <v>8100</v>
      </c>
      <c r="Y127" s="234">
        <v>3400</v>
      </c>
      <c r="Z127" s="234">
        <v>3400</v>
      </c>
      <c r="AA127" s="234">
        <v>2200</v>
      </c>
      <c r="AB127" s="234">
        <v>6630</v>
      </c>
      <c r="AC127" s="234">
        <v>7700</v>
      </c>
      <c r="AD127" s="234">
        <v>4100</v>
      </c>
      <c r="AE127" s="234">
        <v>25441</v>
      </c>
      <c r="AF127" s="234">
        <f t="shared" si="58"/>
        <v>1340</v>
      </c>
      <c r="AG127" s="234">
        <v>1240</v>
      </c>
      <c r="AH127" s="234">
        <v>100</v>
      </c>
      <c r="AI127" s="197">
        <f t="shared" si="52"/>
        <v>0</v>
      </c>
    </row>
    <row r="128" spans="1:35" s="198" customFormat="1" ht="26.1" customHeight="1">
      <c r="A128" s="251" t="s">
        <v>1</v>
      </c>
      <c r="B128" s="191" t="s">
        <v>433</v>
      </c>
      <c r="C128" s="230" t="s">
        <v>436</v>
      </c>
      <c r="D128" s="238">
        <v>3</v>
      </c>
      <c r="E128" s="234">
        <f t="shared" si="55"/>
        <v>148611</v>
      </c>
      <c r="F128" s="234">
        <v>144236</v>
      </c>
      <c r="G128" s="234">
        <v>4375</v>
      </c>
      <c r="H128" s="240">
        <f t="shared" si="56"/>
        <v>34711</v>
      </c>
      <c r="I128" s="234">
        <v>750</v>
      </c>
      <c r="J128" s="234">
        <v>5000</v>
      </c>
      <c r="K128" s="234">
        <v>5000</v>
      </c>
      <c r="L128" s="234">
        <v>5000</v>
      </c>
      <c r="M128" s="234">
        <v>6200</v>
      </c>
      <c r="N128" s="234">
        <v>6200</v>
      </c>
      <c r="O128" s="235">
        <v>6561</v>
      </c>
      <c r="P128" s="235">
        <f t="shared" si="57"/>
        <v>107500</v>
      </c>
      <c r="Q128" s="234">
        <v>5200</v>
      </c>
      <c r="R128" s="234">
        <v>6300</v>
      </c>
      <c r="S128" s="234">
        <v>6900</v>
      </c>
      <c r="T128" s="234">
        <v>4000</v>
      </c>
      <c r="U128" s="234">
        <v>4000</v>
      </c>
      <c r="V128" s="234">
        <v>9000</v>
      </c>
      <c r="W128" s="234">
        <v>4200</v>
      </c>
      <c r="X128" s="234">
        <v>7300</v>
      </c>
      <c r="Y128" s="234">
        <v>6900</v>
      </c>
      <c r="Z128" s="234">
        <v>4700</v>
      </c>
      <c r="AA128" s="234">
        <v>3500</v>
      </c>
      <c r="AB128" s="234">
        <v>4500</v>
      </c>
      <c r="AC128" s="234">
        <v>5000</v>
      </c>
      <c r="AD128" s="234">
        <v>4700</v>
      </c>
      <c r="AE128" s="234">
        <v>31300</v>
      </c>
      <c r="AF128" s="234">
        <f t="shared" si="58"/>
        <v>6400</v>
      </c>
      <c r="AG128" s="234">
        <v>3500</v>
      </c>
      <c r="AH128" s="234">
        <v>2900</v>
      </c>
      <c r="AI128" s="197">
        <f t="shared" si="52"/>
        <v>0</v>
      </c>
    </row>
    <row r="129" spans="1:35" s="198" customFormat="1" ht="26.1" customHeight="1">
      <c r="A129" s="251" t="s">
        <v>1</v>
      </c>
      <c r="B129" s="191" t="s">
        <v>433</v>
      </c>
      <c r="C129" s="230" t="s">
        <v>550</v>
      </c>
      <c r="D129" s="238">
        <v>3</v>
      </c>
      <c r="E129" s="234">
        <f t="shared" si="55"/>
        <v>113886</v>
      </c>
      <c r="F129" s="234">
        <v>109686</v>
      </c>
      <c r="G129" s="234">
        <v>4200</v>
      </c>
      <c r="H129" s="240">
        <f t="shared" si="56"/>
        <v>43000</v>
      </c>
      <c r="I129" s="234">
        <v>2600</v>
      </c>
      <c r="J129" s="234">
        <v>3400</v>
      </c>
      <c r="K129" s="234">
        <v>2600</v>
      </c>
      <c r="L129" s="234">
        <v>3400</v>
      </c>
      <c r="M129" s="234">
        <v>4000</v>
      </c>
      <c r="N129" s="234">
        <v>4000</v>
      </c>
      <c r="O129" s="235">
        <v>23000</v>
      </c>
      <c r="P129" s="235">
        <f t="shared" si="57"/>
        <v>68686</v>
      </c>
      <c r="Q129" s="234">
        <v>2100</v>
      </c>
      <c r="R129" s="234">
        <v>2100</v>
      </c>
      <c r="S129" s="234">
        <v>2400</v>
      </c>
      <c r="T129" s="234">
        <v>2700</v>
      </c>
      <c r="U129" s="234">
        <v>2100</v>
      </c>
      <c r="V129" s="234">
        <v>2400</v>
      </c>
      <c r="W129" s="234">
        <v>2400</v>
      </c>
      <c r="X129" s="234">
        <v>3500</v>
      </c>
      <c r="Y129" s="234">
        <v>2100</v>
      </c>
      <c r="Z129" s="234">
        <v>2100</v>
      </c>
      <c r="AA129" s="234">
        <v>1600</v>
      </c>
      <c r="AB129" s="234">
        <v>2100</v>
      </c>
      <c r="AC129" s="234">
        <v>1550</v>
      </c>
      <c r="AD129" s="234">
        <v>1550</v>
      </c>
      <c r="AE129" s="234">
        <v>37986</v>
      </c>
      <c r="AF129" s="234">
        <f t="shared" si="58"/>
        <v>2200</v>
      </c>
      <c r="AG129" s="234">
        <v>1550</v>
      </c>
      <c r="AH129" s="234">
        <v>650</v>
      </c>
      <c r="AI129" s="197">
        <f t="shared" si="52"/>
        <v>0</v>
      </c>
    </row>
    <row r="130" spans="1:35" s="198" customFormat="1" ht="26.1" customHeight="1">
      <c r="A130" s="251" t="s">
        <v>1</v>
      </c>
      <c r="B130" s="191" t="s">
        <v>433</v>
      </c>
      <c r="C130" s="230" t="s">
        <v>551</v>
      </c>
      <c r="D130" s="238">
        <v>3</v>
      </c>
      <c r="E130" s="234">
        <f t="shared" si="55"/>
        <v>7580</v>
      </c>
      <c r="F130" s="234">
        <v>7580</v>
      </c>
      <c r="G130" s="234">
        <v>0</v>
      </c>
      <c r="H130" s="240">
        <f t="shared" si="56"/>
        <v>2100</v>
      </c>
      <c r="I130" s="234">
        <v>0</v>
      </c>
      <c r="J130" s="234">
        <v>0</v>
      </c>
      <c r="K130" s="234">
        <v>0</v>
      </c>
      <c r="L130" s="234">
        <v>0</v>
      </c>
      <c r="M130" s="234">
        <v>0</v>
      </c>
      <c r="N130" s="234">
        <v>0</v>
      </c>
      <c r="O130" s="235">
        <v>2100</v>
      </c>
      <c r="P130" s="235">
        <f t="shared" si="57"/>
        <v>4740</v>
      </c>
      <c r="Q130" s="234">
        <v>0</v>
      </c>
      <c r="R130" s="234">
        <v>0</v>
      </c>
      <c r="S130" s="234">
        <v>0</v>
      </c>
      <c r="T130" s="234">
        <v>0</v>
      </c>
      <c r="U130" s="234">
        <v>0</v>
      </c>
      <c r="V130" s="234">
        <v>0</v>
      </c>
      <c r="W130" s="234">
        <v>0</v>
      </c>
      <c r="X130" s="234">
        <v>0</v>
      </c>
      <c r="Y130" s="234">
        <v>0</v>
      </c>
      <c r="Z130" s="234">
        <v>0</v>
      </c>
      <c r="AA130" s="234">
        <v>0</v>
      </c>
      <c r="AB130" s="234">
        <v>0</v>
      </c>
      <c r="AC130" s="234">
        <v>0</v>
      </c>
      <c r="AD130" s="234">
        <v>0</v>
      </c>
      <c r="AE130" s="234">
        <v>4740</v>
      </c>
      <c r="AF130" s="234">
        <f t="shared" si="58"/>
        <v>740</v>
      </c>
      <c r="AG130" s="234">
        <v>370</v>
      </c>
      <c r="AH130" s="234">
        <v>370</v>
      </c>
      <c r="AI130" s="197">
        <f t="shared" si="52"/>
        <v>0</v>
      </c>
    </row>
    <row r="131" spans="1:35" s="198" customFormat="1" ht="26.1" customHeight="1">
      <c r="A131" s="251" t="s">
        <v>1</v>
      </c>
      <c r="B131" s="191" t="s">
        <v>433</v>
      </c>
      <c r="C131" s="230" t="s">
        <v>437</v>
      </c>
      <c r="D131" s="238">
        <v>3</v>
      </c>
      <c r="E131" s="234">
        <f t="shared" si="55"/>
        <v>6700</v>
      </c>
      <c r="F131" s="234">
        <v>5050</v>
      </c>
      <c r="G131" s="234">
        <v>1650</v>
      </c>
      <c r="H131" s="240">
        <f t="shared" si="56"/>
        <v>1600</v>
      </c>
      <c r="I131" s="234">
        <v>0</v>
      </c>
      <c r="J131" s="234">
        <v>0</v>
      </c>
      <c r="K131" s="234">
        <v>0</v>
      </c>
      <c r="L131" s="234">
        <v>0</v>
      </c>
      <c r="M131" s="234">
        <v>1600</v>
      </c>
      <c r="N131" s="234">
        <v>0</v>
      </c>
      <c r="O131" s="235">
        <v>0</v>
      </c>
      <c r="P131" s="235">
        <f t="shared" si="57"/>
        <v>5100</v>
      </c>
      <c r="Q131" s="234">
        <v>1600</v>
      </c>
      <c r="R131" s="234">
        <v>0</v>
      </c>
      <c r="S131" s="234">
        <v>0</v>
      </c>
      <c r="T131" s="234">
        <v>0</v>
      </c>
      <c r="U131" s="234">
        <v>0</v>
      </c>
      <c r="V131" s="234">
        <v>0</v>
      </c>
      <c r="W131" s="234">
        <v>1600</v>
      </c>
      <c r="X131" s="234">
        <v>1200</v>
      </c>
      <c r="Y131" s="234">
        <v>700</v>
      </c>
      <c r="Z131" s="234">
        <v>0</v>
      </c>
      <c r="AA131" s="234">
        <v>0</v>
      </c>
      <c r="AB131" s="234">
        <v>0</v>
      </c>
      <c r="AC131" s="234">
        <v>0</v>
      </c>
      <c r="AD131" s="234">
        <v>0</v>
      </c>
      <c r="AE131" s="234">
        <v>0</v>
      </c>
      <c r="AF131" s="234">
        <f t="shared" si="58"/>
        <v>0</v>
      </c>
      <c r="AG131" s="234">
        <v>0</v>
      </c>
      <c r="AH131" s="234">
        <v>0</v>
      </c>
      <c r="AI131" s="197">
        <f t="shared" si="52"/>
        <v>0</v>
      </c>
    </row>
    <row r="132" spans="1:35" s="198" customFormat="1" ht="26.1" customHeight="1">
      <c r="A132" s="251" t="s">
        <v>1</v>
      </c>
      <c r="B132" s="191" t="s">
        <v>433</v>
      </c>
      <c r="C132" s="230" t="s">
        <v>552</v>
      </c>
      <c r="D132" s="238">
        <v>3</v>
      </c>
      <c r="E132" s="234">
        <f t="shared" si="55"/>
        <v>24000</v>
      </c>
      <c r="F132" s="234">
        <v>24000</v>
      </c>
      <c r="G132" s="234">
        <v>0</v>
      </c>
      <c r="H132" s="240">
        <f t="shared" si="56"/>
        <v>8000</v>
      </c>
      <c r="I132" s="234">
        <v>0</v>
      </c>
      <c r="J132" s="234">
        <v>0</v>
      </c>
      <c r="K132" s="234">
        <v>0</v>
      </c>
      <c r="L132" s="234">
        <v>0</v>
      </c>
      <c r="M132" s="234">
        <v>0</v>
      </c>
      <c r="N132" s="234">
        <v>0</v>
      </c>
      <c r="O132" s="235">
        <v>8000</v>
      </c>
      <c r="P132" s="235">
        <f t="shared" si="57"/>
        <v>16000</v>
      </c>
      <c r="Q132" s="234">
        <v>0</v>
      </c>
      <c r="R132" s="234">
        <v>0</v>
      </c>
      <c r="S132" s="234">
        <v>0</v>
      </c>
      <c r="T132" s="234">
        <v>0</v>
      </c>
      <c r="U132" s="234">
        <v>0</v>
      </c>
      <c r="V132" s="234">
        <v>0</v>
      </c>
      <c r="W132" s="234">
        <v>0</v>
      </c>
      <c r="X132" s="234">
        <v>0</v>
      </c>
      <c r="Y132" s="234">
        <v>0</v>
      </c>
      <c r="Z132" s="234">
        <v>0</v>
      </c>
      <c r="AA132" s="234">
        <v>0</v>
      </c>
      <c r="AB132" s="234">
        <v>0</v>
      </c>
      <c r="AC132" s="234">
        <v>0</v>
      </c>
      <c r="AD132" s="234">
        <v>0</v>
      </c>
      <c r="AE132" s="234">
        <v>16000</v>
      </c>
      <c r="AF132" s="234">
        <f t="shared" si="58"/>
        <v>0</v>
      </c>
      <c r="AG132" s="234">
        <v>0</v>
      </c>
      <c r="AH132" s="234">
        <v>0</v>
      </c>
      <c r="AI132" s="197">
        <f t="shared" si="52"/>
        <v>0</v>
      </c>
    </row>
    <row r="133" spans="1:35" s="198" customFormat="1" ht="26.1" customHeight="1">
      <c r="A133" s="251" t="s">
        <v>1</v>
      </c>
      <c r="B133" s="191" t="s">
        <v>433</v>
      </c>
      <c r="C133" s="230" t="s">
        <v>438</v>
      </c>
      <c r="D133" s="238">
        <v>3</v>
      </c>
      <c r="E133" s="234">
        <f t="shared" si="55"/>
        <v>2074</v>
      </c>
      <c r="F133" s="234">
        <v>2074</v>
      </c>
      <c r="G133" s="234">
        <v>0</v>
      </c>
      <c r="H133" s="240">
        <f t="shared" si="56"/>
        <v>574</v>
      </c>
      <c r="I133" s="234">
        <v>0</v>
      </c>
      <c r="J133" s="234">
        <v>0</v>
      </c>
      <c r="K133" s="234">
        <v>0</v>
      </c>
      <c r="L133" s="234">
        <v>0</v>
      </c>
      <c r="M133" s="234">
        <v>0</v>
      </c>
      <c r="N133" s="234">
        <v>0</v>
      </c>
      <c r="O133" s="235">
        <v>574</v>
      </c>
      <c r="P133" s="235">
        <f t="shared" si="57"/>
        <v>1500</v>
      </c>
      <c r="Q133" s="234">
        <v>0</v>
      </c>
      <c r="R133" s="234">
        <v>0</v>
      </c>
      <c r="S133" s="234">
        <v>0</v>
      </c>
      <c r="T133" s="234">
        <v>0</v>
      </c>
      <c r="U133" s="234">
        <v>0</v>
      </c>
      <c r="V133" s="234">
        <v>0</v>
      </c>
      <c r="W133" s="234">
        <v>0</v>
      </c>
      <c r="X133" s="234">
        <v>0</v>
      </c>
      <c r="Y133" s="234">
        <v>0</v>
      </c>
      <c r="Z133" s="234">
        <v>0</v>
      </c>
      <c r="AA133" s="234">
        <v>0</v>
      </c>
      <c r="AB133" s="234">
        <v>0</v>
      </c>
      <c r="AC133" s="234">
        <v>0</v>
      </c>
      <c r="AD133" s="234">
        <v>0</v>
      </c>
      <c r="AE133" s="234">
        <v>1500</v>
      </c>
      <c r="AF133" s="234">
        <f t="shared" si="58"/>
        <v>0</v>
      </c>
      <c r="AG133" s="234">
        <v>0</v>
      </c>
      <c r="AH133" s="234">
        <v>0</v>
      </c>
      <c r="AI133" s="197">
        <f t="shared" si="52"/>
        <v>0</v>
      </c>
    </row>
    <row r="134" spans="1:35" s="198" customFormat="1" ht="26.1" customHeight="1">
      <c r="A134" s="251" t="s">
        <v>1</v>
      </c>
      <c r="B134" s="191" t="s">
        <v>433</v>
      </c>
      <c r="C134" s="230" t="s">
        <v>439</v>
      </c>
      <c r="D134" s="238">
        <v>3</v>
      </c>
      <c r="E134" s="234">
        <f t="shared" si="55"/>
        <v>2500</v>
      </c>
      <c r="F134" s="234">
        <v>2500</v>
      </c>
      <c r="G134" s="234">
        <v>0</v>
      </c>
      <c r="H134" s="240">
        <f t="shared" si="56"/>
        <v>2500</v>
      </c>
      <c r="I134" s="234">
        <v>2500</v>
      </c>
      <c r="J134" s="234">
        <v>0</v>
      </c>
      <c r="K134" s="234">
        <v>0</v>
      </c>
      <c r="L134" s="234">
        <v>0</v>
      </c>
      <c r="M134" s="234">
        <v>0</v>
      </c>
      <c r="N134" s="234">
        <v>0</v>
      </c>
      <c r="O134" s="235">
        <v>0</v>
      </c>
      <c r="P134" s="235">
        <f t="shared" si="57"/>
        <v>0</v>
      </c>
      <c r="Q134" s="234">
        <v>0</v>
      </c>
      <c r="R134" s="234">
        <v>0</v>
      </c>
      <c r="S134" s="234">
        <v>0</v>
      </c>
      <c r="T134" s="234">
        <v>0</v>
      </c>
      <c r="U134" s="234">
        <v>0</v>
      </c>
      <c r="V134" s="234">
        <v>0</v>
      </c>
      <c r="W134" s="234">
        <v>0</v>
      </c>
      <c r="X134" s="234">
        <v>0</v>
      </c>
      <c r="Y134" s="234">
        <v>0</v>
      </c>
      <c r="Z134" s="234">
        <v>0</v>
      </c>
      <c r="AA134" s="234">
        <v>0</v>
      </c>
      <c r="AB134" s="234">
        <v>0</v>
      </c>
      <c r="AC134" s="234">
        <v>0</v>
      </c>
      <c r="AD134" s="234">
        <v>0</v>
      </c>
      <c r="AE134" s="234">
        <v>0</v>
      </c>
      <c r="AF134" s="234">
        <f t="shared" si="58"/>
        <v>0</v>
      </c>
      <c r="AG134" s="234">
        <v>0</v>
      </c>
      <c r="AH134" s="234">
        <v>0</v>
      </c>
      <c r="AI134" s="197">
        <f t="shared" si="52"/>
        <v>0</v>
      </c>
    </row>
    <row r="135" spans="1:35" s="198" customFormat="1" ht="26.1" customHeight="1">
      <c r="A135" s="251" t="s">
        <v>1</v>
      </c>
      <c r="B135" s="191" t="s">
        <v>433</v>
      </c>
      <c r="C135" s="230" t="s">
        <v>440</v>
      </c>
      <c r="D135" s="238">
        <v>3</v>
      </c>
      <c r="E135" s="234">
        <f t="shared" si="55"/>
        <v>27416</v>
      </c>
      <c r="F135" s="234">
        <v>24276</v>
      </c>
      <c r="G135" s="234">
        <v>3140</v>
      </c>
      <c r="H135" s="240">
        <f t="shared" si="56"/>
        <v>8485</v>
      </c>
      <c r="I135" s="234">
        <v>0</v>
      </c>
      <c r="J135" s="234">
        <v>0</v>
      </c>
      <c r="K135" s="234">
        <v>0</v>
      </c>
      <c r="L135" s="234">
        <v>0</v>
      </c>
      <c r="M135" s="234">
        <v>0</v>
      </c>
      <c r="N135" s="234">
        <v>0</v>
      </c>
      <c r="O135" s="235">
        <v>8485</v>
      </c>
      <c r="P135" s="235">
        <f t="shared" si="57"/>
        <v>16331</v>
      </c>
      <c r="Q135" s="234">
        <v>0</v>
      </c>
      <c r="R135" s="234">
        <v>0</v>
      </c>
      <c r="S135" s="234">
        <v>0</v>
      </c>
      <c r="T135" s="234">
        <v>0</v>
      </c>
      <c r="U135" s="234">
        <v>0</v>
      </c>
      <c r="V135" s="234">
        <v>0</v>
      </c>
      <c r="W135" s="234">
        <v>0</v>
      </c>
      <c r="X135" s="234">
        <v>0</v>
      </c>
      <c r="Y135" s="234">
        <v>0</v>
      </c>
      <c r="Z135" s="234">
        <v>0</v>
      </c>
      <c r="AA135" s="234">
        <v>0</v>
      </c>
      <c r="AB135" s="234">
        <v>0</v>
      </c>
      <c r="AC135" s="234">
        <v>0</v>
      </c>
      <c r="AD135" s="234">
        <v>0</v>
      </c>
      <c r="AE135" s="234">
        <v>16331</v>
      </c>
      <c r="AF135" s="234">
        <f t="shared" si="58"/>
        <v>2600</v>
      </c>
      <c r="AG135" s="234">
        <v>1300</v>
      </c>
      <c r="AH135" s="234">
        <v>1300</v>
      </c>
      <c r="AI135" s="197">
        <f t="shared" si="52"/>
        <v>0</v>
      </c>
    </row>
    <row r="136" spans="1:35" s="198" customFormat="1" ht="26.1" customHeight="1">
      <c r="A136" s="251" t="s">
        <v>1</v>
      </c>
      <c r="B136" s="191" t="s">
        <v>433</v>
      </c>
      <c r="C136" s="230" t="s">
        <v>466</v>
      </c>
      <c r="D136" s="238">
        <v>3</v>
      </c>
      <c r="E136" s="234">
        <f t="shared" si="55"/>
        <v>47500</v>
      </c>
      <c r="F136" s="234">
        <v>33050</v>
      </c>
      <c r="G136" s="234">
        <v>14450</v>
      </c>
      <c r="H136" s="240">
        <f t="shared" si="56"/>
        <v>18600</v>
      </c>
      <c r="I136" s="234">
        <v>0</v>
      </c>
      <c r="J136" s="234">
        <v>0</v>
      </c>
      <c r="K136" s="234">
        <v>0</v>
      </c>
      <c r="L136" s="234">
        <v>0</v>
      </c>
      <c r="M136" s="234">
        <v>0</v>
      </c>
      <c r="N136" s="234">
        <v>0</v>
      </c>
      <c r="O136" s="235">
        <v>18600</v>
      </c>
      <c r="P136" s="235">
        <f t="shared" si="57"/>
        <v>24500</v>
      </c>
      <c r="Q136" s="234">
        <v>0</v>
      </c>
      <c r="R136" s="234">
        <v>0</v>
      </c>
      <c r="S136" s="234">
        <v>0</v>
      </c>
      <c r="T136" s="234">
        <v>0</v>
      </c>
      <c r="U136" s="234">
        <v>0</v>
      </c>
      <c r="V136" s="234">
        <v>0</v>
      </c>
      <c r="W136" s="234">
        <v>0</v>
      </c>
      <c r="X136" s="234">
        <v>0</v>
      </c>
      <c r="Y136" s="234">
        <v>0</v>
      </c>
      <c r="Z136" s="234">
        <v>0</v>
      </c>
      <c r="AA136" s="234">
        <v>0</v>
      </c>
      <c r="AB136" s="234">
        <v>0</v>
      </c>
      <c r="AC136" s="234">
        <v>0</v>
      </c>
      <c r="AD136" s="234">
        <v>0</v>
      </c>
      <c r="AE136" s="234">
        <v>24500</v>
      </c>
      <c r="AF136" s="234">
        <f t="shared" si="58"/>
        <v>4400</v>
      </c>
      <c r="AG136" s="234">
        <v>2250</v>
      </c>
      <c r="AH136" s="234">
        <v>2150</v>
      </c>
      <c r="AI136" s="197">
        <f t="shared" si="52"/>
        <v>0</v>
      </c>
    </row>
    <row r="137" spans="1:35" s="198" customFormat="1" ht="26.1" customHeight="1">
      <c r="A137" s="251" t="s">
        <v>1</v>
      </c>
      <c r="B137" s="191" t="s">
        <v>433</v>
      </c>
      <c r="C137" s="230" t="s">
        <v>441</v>
      </c>
      <c r="D137" s="238">
        <v>3</v>
      </c>
      <c r="E137" s="234">
        <f t="shared" si="55"/>
        <v>195315</v>
      </c>
      <c r="F137" s="234">
        <v>120981</v>
      </c>
      <c r="G137" s="234">
        <v>74334</v>
      </c>
      <c r="H137" s="240">
        <f t="shared" si="56"/>
        <v>57349</v>
      </c>
      <c r="I137" s="234">
        <v>0</v>
      </c>
      <c r="J137" s="234">
        <v>0</v>
      </c>
      <c r="K137" s="234">
        <v>0</v>
      </c>
      <c r="L137" s="234">
        <v>0</v>
      </c>
      <c r="M137" s="234">
        <v>0</v>
      </c>
      <c r="N137" s="234">
        <v>0</v>
      </c>
      <c r="O137" s="235">
        <v>57349</v>
      </c>
      <c r="P137" s="235">
        <f t="shared" si="57"/>
        <v>126456</v>
      </c>
      <c r="Q137" s="234">
        <v>0</v>
      </c>
      <c r="R137" s="234">
        <v>0</v>
      </c>
      <c r="S137" s="234">
        <v>0</v>
      </c>
      <c r="T137" s="234">
        <v>0</v>
      </c>
      <c r="U137" s="234">
        <v>0</v>
      </c>
      <c r="V137" s="234">
        <v>0</v>
      </c>
      <c r="W137" s="234">
        <v>0</v>
      </c>
      <c r="X137" s="234">
        <v>0</v>
      </c>
      <c r="Y137" s="234">
        <v>0</v>
      </c>
      <c r="Z137" s="234">
        <v>0</v>
      </c>
      <c r="AA137" s="234">
        <v>0</v>
      </c>
      <c r="AB137" s="234">
        <v>0</v>
      </c>
      <c r="AC137" s="234">
        <v>0</v>
      </c>
      <c r="AD137" s="234">
        <v>0</v>
      </c>
      <c r="AE137" s="234">
        <v>126456</v>
      </c>
      <c r="AF137" s="234">
        <f t="shared" si="58"/>
        <v>11510</v>
      </c>
      <c r="AG137" s="234">
        <v>5835</v>
      </c>
      <c r="AH137" s="234">
        <v>5675</v>
      </c>
      <c r="AI137" s="197">
        <f t="shared" si="52"/>
        <v>0</v>
      </c>
    </row>
    <row r="138" spans="1:35" s="198" customFormat="1" ht="26.1" customHeight="1">
      <c r="A138" s="251" t="s">
        <v>1</v>
      </c>
      <c r="B138" s="191" t="s">
        <v>433</v>
      </c>
      <c r="C138" s="230" t="s">
        <v>442</v>
      </c>
      <c r="D138" s="238">
        <v>3</v>
      </c>
      <c r="E138" s="234">
        <f t="shared" si="55"/>
        <v>68180</v>
      </c>
      <c r="F138" s="234">
        <v>39243</v>
      </c>
      <c r="G138" s="234">
        <v>28937</v>
      </c>
      <c r="H138" s="240">
        <f t="shared" si="56"/>
        <v>28346</v>
      </c>
      <c r="I138" s="234">
        <v>0</v>
      </c>
      <c r="J138" s="234">
        <v>0</v>
      </c>
      <c r="K138" s="234">
        <v>0</v>
      </c>
      <c r="L138" s="234">
        <v>0</v>
      </c>
      <c r="M138" s="234">
        <v>0</v>
      </c>
      <c r="N138" s="234">
        <v>0</v>
      </c>
      <c r="O138" s="235">
        <v>28346</v>
      </c>
      <c r="P138" s="235">
        <f t="shared" si="57"/>
        <v>36874</v>
      </c>
      <c r="Q138" s="234">
        <v>0</v>
      </c>
      <c r="R138" s="234">
        <v>0</v>
      </c>
      <c r="S138" s="234">
        <v>0</v>
      </c>
      <c r="T138" s="234">
        <v>0</v>
      </c>
      <c r="U138" s="234">
        <v>0</v>
      </c>
      <c r="V138" s="234">
        <v>0</v>
      </c>
      <c r="W138" s="234">
        <v>0</v>
      </c>
      <c r="X138" s="234">
        <v>0</v>
      </c>
      <c r="Y138" s="234">
        <v>0</v>
      </c>
      <c r="Z138" s="234">
        <v>0</v>
      </c>
      <c r="AA138" s="234">
        <v>0</v>
      </c>
      <c r="AB138" s="234">
        <v>0</v>
      </c>
      <c r="AC138" s="234">
        <v>0</v>
      </c>
      <c r="AD138" s="234">
        <v>0</v>
      </c>
      <c r="AE138" s="234">
        <v>36874</v>
      </c>
      <c r="AF138" s="234">
        <f t="shared" si="58"/>
        <v>2960</v>
      </c>
      <c r="AG138" s="234">
        <v>1500</v>
      </c>
      <c r="AH138" s="234">
        <v>1460</v>
      </c>
      <c r="AI138" s="197">
        <f t="shared" si="52"/>
        <v>0</v>
      </c>
    </row>
    <row r="139" spans="1:35" s="198" customFormat="1" ht="26.1" customHeight="1">
      <c r="A139" s="251" t="s">
        <v>1</v>
      </c>
      <c r="B139" s="191" t="s">
        <v>433</v>
      </c>
      <c r="C139" s="230" t="s">
        <v>637</v>
      </c>
      <c r="D139" s="238">
        <v>3</v>
      </c>
      <c r="E139" s="234">
        <f t="shared" si="55"/>
        <v>62000</v>
      </c>
      <c r="F139" s="234">
        <v>54000</v>
      </c>
      <c r="G139" s="234">
        <v>8000</v>
      </c>
      <c r="H139" s="240">
        <f t="shared" si="56"/>
        <v>16120</v>
      </c>
      <c r="I139" s="234">
        <v>0</v>
      </c>
      <c r="J139" s="234">
        <v>0</v>
      </c>
      <c r="K139" s="234">
        <v>0</v>
      </c>
      <c r="L139" s="234">
        <v>0</v>
      </c>
      <c r="M139" s="234">
        <v>0</v>
      </c>
      <c r="N139" s="234">
        <v>0</v>
      </c>
      <c r="O139" s="235">
        <v>16120</v>
      </c>
      <c r="P139" s="235">
        <f t="shared" si="57"/>
        <v>44640</v>
      </c>
      <c r="Q139" s="234">
        <v>0</v>
      </c>
      <c r="R139" s="234">
        <v>0</v>
      </c>
      <c r="S139" s="234">
        <v>0</v>
      </c>
      <c r="T139" s="234">
        <v>0</v>
      </c>
      <c r="U139" s="234">
        <v>0</v>
      </c>
      <c r="V139" s="234">
        <v>0</v>
      </c>
      <c r="W139" s="234">
        <v>0</v>
      </c>
      <c r="X139" s="234">
        <v>0</v>
      </c>
      <c r="Y139" s="234">
        <v>0</v>
      </c>
      <c r="Z139" s="234">
        <v>0</v>
      </c>
      <c r="AA139" s="234">
        <v>0</v>
      </c>
      <c r="AB139" s="234">
        <v>0</v>
      </c>
      <c r="AC139" s="234">
        <v>0</v>
      </c>
      <c r="AD139" s="234">
        <v>0</v>
      </c>
      <c r="AE139" s="234">
        <v>44640</v>
      </c>
      <c r="AF139" s="234">
        <f t="shared" si="58"/>
        <v>1240</v>
      </c>
      <c r="AG139" s="234">
        <v>1140</v>
      </c>
      <c r="AH139" s="234">
        <v>100</v>
      </c>
      <c r="AI139" s="197">
        <f t="shared" si="52"/>
        <v>0</v>
      </c>
    </row>
    <row r="140" spans="1:35" s="198" customFormat="1" ht="26.1" customHeight="1">
      <c r="A140" s="251" t="s">
        <v>1</v>
      </c>
      <c r="B140" s="191" t="s">
        <v>433</v>
      </c>
      <c r="C140" s="230" t="s">
        <v>444</v>
      </c>
      <c r="D140" s="238">
        <v>3</v>
      </c>
      <c r="E140" s="234">
        <f t="shared" si="55"/>
        <v>76692</v>
      </c>
      <c r="F140" s="234">
        <v>70292</v>
      </c>
      <c r="G140" s="234">
        <v>6400</v>
      </c>
      <c r="H140" s="240">
        <f t="shared" si="56"/>
        <v>16777</v>
      </c>
      <c r="I140" s="234">
        <v>0</v>
      </c>
      <c r="J140" s="234">
        <v>0</v>
      </c>
      <c r="K140" s="234">
        <v>0</v>
      </c>
      <c r="L140" s="234">
        <v>0</v>
      </c>
      <c r="M140" s="234">
        <v>0</v>
      </c>
      <c r="N140" s="234">
        <v>0</v>
      </c>
      <c r="O140" s="235">
        <v>16777</v>
      </c>
      <c r="P140" s="235">
        <f t="shared" si="57"/>
        <v>53165</v>
      </c>
      <c r="Q140" s="234">
        <v>0</v>
      </c>
      <c r="R140" s="234">
        <v>0</v>
      </c>
      <c r="S140" s="234">
        <v>0</v>
      </c>
      <c r="T140" s="234">
        <v>0</v>
      </c>
      <c r="U140" s="234">
        <v>0</v>
      </c>
      <c r="V140" s="234">
        <v>0</v>
      </c>
      <c r="W140" s="234">
        <v>0</v>
      </c>
      <c r="X140" s="234">
        <v>0</v>
      </c>
      <c r="Y140" s="234">
        <v>0</v>
      </c>
      <c r="Z140" s="234">
        <v>0</v>
      </c>
      <c r="AA140" s="234">
        <v>0</v>
      </c>
      <c r="AB140" s="234">
        <v>0</v>
      </c>
      <c r="AC140" s="234">
        <v>0</v>
      </c>
      <c r="AD140" s="234">
        <v>0</v>
      </c>
      <c r="AE140" s="234">
        <v>53165</v>
      </c>
      <c r="AF140" s="234">
        <f t="shared" si="58"/>
        <v>6750</v>
      </c>
      <c r="AG140" s="234">
        <v>3375</v>
      </c>
      <c r="AH140" s="234">
        <v>3375</v>
      </c>
      <c r="AI140" s="197">
        <f t="shared" si="52"/>
        <v>0</v>
      </c>
    </row>
    <row r="141" spans="1:35" s="198" customFormat="1" ht="26.1" customHeight="1">
      <c r="A141" s="251" t="s">
        <v>1</v>
      </c>
      <c r="B141" s="191" t="s">
        <v>433</v>
      </c>
      <c r="C141" s="230" t="s">
        <v>445</v>
      </c>
      <c r="D141" s="238">
        <v>3</v>
      </c>
      <c r="E141" s="234">
        <f t="shared" si="55"/>
        <v>85624</v>
      </c>
      <c r="F141" s="234">
        <v>53874</v>
      </c>
      <c r="G141" s="234">
        <v>31750</v>
      </c>
      <c r="H141" s="240">
        <f t="shared" si="56"/>
        <v>15765</v>
      </c>
      <c r="I141" s="234">
        <v>0</v>
      </c>
      <c r="J141" s="234">
        <v>0</v>
      </c>
      <c r="K141" s="234">
        <v>0</v>
      </c>
      <c r="L141" s="234">
        <v>0</v>
      </c>
      <c r="M141" s="234">
        <v>0</v>
      </c>
      <c r="N141" s="234">
        <v>0</v>
      </c>
      <c r="O141" s="235">
        <v>15765</v>
      </c>
      <c r="P141" s="235">
        <f t="shared" si="57"/>
        <v>64459</v>
      </c>
      <c r="Q141" s="234">
        <v>0</v>
      </c>
      <c r="R141" s="234">
        <v>0</v>
      </c>
      <c r="S141" s="234">
        <v>0</v>
      </c>
      <c r="T141" s="234">
        <v>0</v>
      </c>
      <c r="U141" s="234">
        <v>0</v>
      </c>
      <c r="V141" s="234">
        <v>0</v>
      </c>
      <c r="W141" s="234">
        <v>0</v>
      </c>
      <c r="X141" s="234">
        <v>0</v>
      </c>
      <c r="Y141" s="234">
        <v>0</v>
      </c>
      <c r="Z141" s="234">
        <v>0</v>
      </c>
      <c r="AA141" s="234">
        <v>0</v>
      </c>
      <c r="AB141" s="234">
        <v>0</v>
      </c>
      <c r="AC141" s="234">
        <v>0</v>
      </c>
      <c r="AD141" s="234">
        <v>0</v>
      </c>
      <c r="AE141" s="234">
        <v>64459</v>
      </c>
      <c r="AF141" s="234">
        <f t="shared" si="58"/>
        <v>5400</v>
      </c>
      <c r="AG141" s="234">
        <v>2700</v>
      </c>
      <c r="AH141" s="234">
        <v>2700</v>
      </c>
      <c r="AI141" s="197">
        <f t="shared" si="52"/>
        <v>0</v>
      </c>
    </row>
    <row r="142" spans="1:35" s="198" customFormat="1" ht="26.1" customHeight="1">
      <c r="A142" s="251" t="s">
        <v>1</v>
      </c>
      <c r="B142" s="191" t="s">
        <v>433</v>
      </c>
      <c r="C142" s="230" t="s">
        <v>638</v>
      </c>
      <c r="D142" s="238">
        <v>3</v>
      </c>
      <c r="E142" s="234">
        <f t="shared" si="55"/>
        <v>9700</v>
      </c>
      <c r="F142" s="234">
        <v>9700</v>
      </c>
      <c r="G142" s="234">
        <v>0</v>
      </c>
      <c r="H142" s="240">
        <f t="shared" si="56"/>
        <v>8400</v>
      </c>
      <c r="I142" s="234">
        <v>3400</v>
      </c>
      <c r="J142" s="234">
        <v>1800</v>
      </c>
      <c r="K142" s="234">
        <v>400</v>
      </c>
      <c r="L142" s="234">
        <v>1800</v>
      </c>
      <c r="M142" s="234">
        <v>0</v>
      </c>
      <c r="N142" s="234">
        <v>1000</v>
      </c>
      <c r="O142" s="235">
        <v>0</v>
      </c>
      <c r="P142" s="235">
        <f t="shared" si="57"/>
        <v>1300</v>
      </c>
      <c r="Q142" s="234">
        <v>600</v>
      </c>
      <c r="R142" s="234">
        <v>0</v>
      </c>
      <c r="S142" s="234">
        <v>0</v>
      </c>
      <c r="T142" s="234">
        <v>0</v>
      </c>
      <c r="U142" s="234">
        <v>0</v>
      </c>
      <c r="V142" s="234">
        <v>0</v>
      </c>
      <c r="W142" s="234">
        <v>0</v>
      </c>
      <c r="X142" s="234">
        <v>0</v>
      </c>
      <c r="Y142" s="234">
        <v>0</v>
      </c>
      <c r="Z142" s="234">
        <v>0</v>
      </c>
      <c r="AA142" s="234">
        <v>0</v>
      </c>
      <c r="AB142" s="234">
        <v>700</v>
      </c>
      <c r="AC142" s="234">
        <v>0</v>
      </c>
      <c r="AD142" s="234">
        <v>0</v>
      </c>
      <c r="AE142" s="234">
        <v>0</v>
      </c>
      <c r="AF142" s="234">
        <f t="shared" si="58"/>
        <v>0</v>
      </c>
      <c r="AG142" s="234">
        <v>0</v>
      </c>
      <c r="AH142" s="234">
        <v>0</v>
      </c>
      <c r="AI142" s="197">
        <f t="shared" si="52"/>
        <v>0</v>
      </c>
    </row>
    <row r="143" spans="1:35" s="198" customFormat="1" ht="26.1" customHeight="1">
      <c r="A143" s="251" t="s">
        <v>1</v>
      </c>
      <c r="B143" s="191" t="s">
        <v>433</v>
      </c>
      <c r="C143" s="230" t="s">
        <v>639</v>
      </c>
      <c r="D143" s="238">
        <v>3</v>
      </c>
      <c r="E143" s="234">
        <f t="shared" si="55"/>
        <v>9000</v>
      </c>
      <c r="F143" s="234">
        <v>9000</v>
      </c>
      <c r="G143" s="234">
        <v>0</v>
      </c>
      <c r="H143" s="240">
        <f t="shared" si="56"/>
        <v>4650</v>
      </c>
      <c r="I143" s="234">
        <v>1000</v>
      </c>
      <c r="J143" s="234">
        <v>2050</v>
      </c>
      <c r="K143" s="234">
        <v>600</v>
      </c>
      <c r="L143" s="234">
        <v>0</v>
      </c>
      <c r="M143" s="234">
        <v>1000</v>
      </c>
      <c r="N143" s="234">
        <v>0</v>
      </c>
      <c r="O143" s="235">
        <v>0</v>
      </c>
      <c r="P143" s="235">
        <f t="shared" si="57"/>
        <v>1350</v>
      </c>
      <c r="Q143" s="234">
        <v>650</v>
      </c>
      <c r="R143" s="234">
        <v>0</v>
      </c>
      <c r="S143" s="234">
        <v>0</v>
      </c>
      <c r="T143" s="234">
        <v>700</v>
      </c>
      <c r="U143" s="234">
        <v>0</v>
      </c>
      <c r="V143" s="234">
        <v>0</v>
      </c>
      <c r="W143" s="234">
        <v>0</v>
      </c>
      <c r="X143" s="234">
        <v>0</v>
      </c>
      <c r="Y143" s="234">
        <v>0</v>
      </c>
      <c r="Z143" s="234">
        <v>0</v>
      </c>
      <c r="AA143" s="234">
        <v>0</v>
      </c>
      <c r="AB143" s="234">
        <v>0</v>
      </c>
      <c r="AC143" s="234">
        <v>0</v>
      </c>
      <c r="AD143" s="234">
        <v>0</v>
      </c>
      <c r="AE143" s="234">
        <v>0</v>
      </c>
      <c r="AF143" s="234">
        <f t="shared" si="58"/>
        <v>3000</v>
      </c>
      <c r="AG143" s="234">
        <v>3000</v>
      </c>
      <c r="AH143" s="234">
        <v>0</v>
      </c>
      <c r="AI143" s="197">
        <f t="shared" si="52"/>
        <v>0</v>
      </c>
    </row>
    <row r="144" spans="1:35" s="198" customFormat="1" ht="26.1" customHeight="1">
      <c r="A144" s="251" t="s">
        <v>1</v>
      </c>
      <c r="B144" s="191" t="s">
        <v>433</v>
      </c>
      <c r="C144" s="230" t="s">
        <v>447</v>
      </c>
      <c r="D144" s="238">
        <v>3</v>
      </c>
      <c r="E144" s="234">
        <f t="shared" si="55"/>
        <v>204150</v>
      </c>
      <c r="F144" s="234">
        <v>53070</v>
      </c>
      <c r="G144" s="234">
        <v>151080</v>
      </c>
      <c r="H144" s="240">
        <f t="shared" si="56"/>
        <v>66624</v>
      </c>
      <c r="I144" s="234">
        <v>0</v>
      </c>
      <c r="J144" s="234">
        <v>0</v>
      </c>
      <c r="K144" s="234">
        <v>0</v>
      </c>
      <c r="L144" s="234">
        <v>0</v>
      </c>
      <c r="M144" s="234">
        <v>0</v>
      </c>
      <c r="N144" s="234">
        <v>0</v>
      </c>
      <c r="O144" s="235">
        <v>66624</v>
      </c>
      <c r="P144" s="235">
        <f t="shared" si="57"/>
        <v>135536</v>
      </c>
      <c r="Q144" s="234">
        <v>0</v>
      </c>
      <c r="R144" s="234">
        <v>0</v>
      </c>
      <c r="S144" s="234">
        <v>0</v>
      </c>
      <c r="T144" s="234">
        <v>0</v>
      </c>
      <c r="U144" s="234">
        <v>0</v>
      </c>
      <c r="V144" s="234">
        <v>0</v>
      </c>
      <c r="W144" s="234">
        <v>0</v>
      </c>
      <c r="X144" s="234">
        <v>0</v>
      </c>
      <c r="Y144" s="234">
        <v>0</v>
      </c>
      <c r="Z144" s="234">
        <v>0</v>
      </c>
      <c r="AA144" s="234">
        <v>0</v>
      </c>
      <c r="AB144" s="234">
        <v>0</v>
      </c>
      <c r="AC144" s="234">
        <v>0</v>
      </c>
      <c r="AD144" s="234">
        <v>0</v>
      </c>
      <c r="AE144" s="234">
        <v>135536</v>
      </c>
      <c r="AF144" s="234">
        <f t="shared" si="58"/>
        <v>1990</v>
      </c>
      <c r="AG144" s="234">
        <v>995</v>
      </c>
      <c r="AH144" s="234">
        <v>995</v>
      </c>
      <c r="AI144" s="197">
        <f t="shared" si="52"/>
        <v>0</v>
      </c>
    </row>
    <row r="145" spans="1:35" s="198" customFormat="1" ht="26.1" customHeight="1">
      <c r="A145" s="200"/>
      <c r="B145" s="191"/>
      <c r="C145" s="230"/>
      <c r="D145" s="238"/>
      <c r="E145" s="245">
        <f>SUM(E146:E153)</f>
        <v>33562910</v>
      </c>
      <c r="F145" s="234">
        <f t="shared" ref="F145:AH145" si="59">SUM(F146:F153)</f>
        <v>29065260</v>
      </c>
      <c r="G145" s="234">
        <f t="shared" si="59"/>
        <v>4497650</v>
      </c>
      <c r="H145" s="245">
        <f t="shared" si="59"/>
        <v>19936036</v>
      </c>
      <c r="I145" s="234">
        <f t="shared" si="59"/>
        <v>1995989</v>
      </c>
      <c r="J145" s="234">
        <f t="shared" si="59"/>
        <v>5913753</v>
      </c>
      <c r="K145" s="234"/>
      <c r="L145" s="234">
        <f t="shared" si="59"/>
        <v>2269360</v>
      </c>
      <c r="M145" s="234">
        <f t="shared" si="59"/>
        <v>1697155</v>
      </c>
      <c r="N145" s="234">
        <f t="shared" si="59"/>
        <v>2503692</v>
      </c>
      <c r="O145" s="234">
        <f t="shared" si="59"/>
        <v>3455895</v>
      </c>
      <c r="P145" s="245">
        <f t="shared" si="59"/>
        <v>13210720</v>
      </c>
      <c r="Q145" s="234">
        <f t="shared" si="59"/>
        <v>610510</v>
      </c>
      <c r="R145" s="234">
        <f t="shared" si="59"/>
        <v>698739</v>
      </c>
      <c r="S145" s="234">
        <f t="shared" si="59"/>
        <v>693848</v>
      </c>
      <c r="T145" s="234">
        <f t="shared" si="59"/>
        <v>1208408</v>
      </c>
      <c r="U145" s="234">
        <f t="shared" si="59"/>
        <v>708113</v>
      </c>
      <c r="V145" s="234">
        <f t="shared" si="59"/>
        <v>772696</v>
      </c>
      <c r="W145" s="234">
        <f t="shared" si="59"/>
        <v>731781</v>
      </c>
      <c r="X145" s="234">
        <f t="shared" si="59"/>
        <v>1014925</v>
      </c>
      <c r="Y145" s="234">
        <f t="shared" si="59"/>
        <v>458247</v>
      </c>
      <c r="Z145" s="234">
        <f t="shared" si="59"/>
        <v>527839</v>
      </c>
      <c r="AA145" s="234">
        <f t="shared" si="59"/>
        <v>298318</v>
      </c>
      <c r="AB145" s="234">
        <f t="shared" si="59"/>
        <v>490938</v>
      </c>
      <c r="AC145" s="234">
        <f t="shared" si="59"/>
        <v>541537</v>
      </c>
      <c r="AD145" s="234">
        <f t="shared" si="59"/>
        <v>339594</v>
      </c>
      <c r="AE145" s="234">
        <f t="shared" si="59"/>
        <v>4115227</v>
      </c>
      <c r="AF145" s="245">
        <f t="shared" si="59"/>
        <v>416154</v>
      </c>
      <c r="AG145" s="234">
        <f t="shared" si="59"/>
        <v>230481</v>
      </c>
      <c r="AH145" s="234">
        <f t="shared" si="59"/>
        <v>185673</v>
      </c>
      <c r="AI145" s="197">
        <f t="shared" ref="AI145:AI177" si="60">IF(+F145+G145=E145,0,FALSE)</f>
        <v>0</v>
      </c>
    </row>
    <row r="146" spans="1:35" s="198" customFormat="1" ht="26.1" customHeight="1">
      <c r="A146" s="251" t="s">
        <v>1</v>
      </c>
      <c r="B146" s="252" t="s">
        <v>448</v>
      </c>
      <c r="C146" s="230" t="s">
        <v>449</v>
      </c>
      <c r="D146" s="238">
        <v>3</v>
      </c>
      <c r="E146" s="234">
        <f t="shared" ref="E146:E153" si="61">SUM(H146,P146,AF146)</f>
        <v>1298878</v>
      </c>
      <c r="F146" s="234">
        <v>662171</v>
      </c>
      <c r="G146" s="234">
        <v>636707</v>
      </c>
      <c r="H146" s="240">
        <f t="shared" ref="H146:H153" si="62">SUM(I146:O146)</f>
        <v>912842</v>
      </c>
      <c r="I146" s="234">
        <v>198469</v>
      </c>
      <c r="J146" s="234">
        <v>249626</v>
      </c>
      <c r="K146" s="234">
        <v>72984</v>
      </c>
      <c r="L146" s="234">
        <v>71787</v>
      </c>
      <c r="M146" s="234">
        <v>87114</v>
      </c>
      <c r="N146" s="234">
        <v>232862</v>
      </c>
      <c r="O146" s="235">
        <v>0</v>
      </c>
      <c r="P146" s="235">
        <f t="shared" ref="P146:P153" si="63">SUM(Q146:AE146)</f>
        <v>386036</v>
      </c>
      <c r="Q146" s="234">
        <v>27690</v>
      </c>
      <c r="R146" s="234">
        <v>26126</v>
      </c>
      <c r="S146" s="234">
        <v>30862</v>
      </c>
      <c r="T146" s="234">
        <v>55010</v>
      </c>
      <c r="U146" s="234">
        <v>22491</v>
      </c>
      <c r="V146" s="234">
        <v>28657</v>
      </c>
      <c r="W146" s="234">
        <v>21836</v>
      </c>
      <c r="X146" s="234">
        <v>55336</v>
      </c>
      <c r="Y146" s="234">
        <v>22490</v>
      </c>
      <c r="Z146" s="234">
        <v>15325</v>
      </c>
      <c r="AA146" s="234">
        <v>0</v>
      </c>
      <c r="AB146" s="234">
        <v>45079</v>
      </c>
      <c r="AC146" s="234">
        <v>35004</v>
      </c>
      <c r="AD146" s="234">
        <v>130</v>
      </c>
      <c r="AE146" s="234">
        <v>0</v>
      </c>
      <c r="AF146" s="234">
        <f t="shared" ref="AF146:AF153" si="64">SUM(AG146:AH146)</f>
        <v>0</v>
      </c>
      <c r="AG146" s="234">
        <v>0</v>
      </c>
      <c r="AH146" s="234">
        <v>0</v>
      </c>
      <c r="AI146" s="197">
        <f t="shared" si="60"/>
        <v>0</v>
      </c>
    </row>
    <row r="147" spans="1:35" s="198" customFormat="1" ht="26.1" customHeight="1">
      <c r="A147" s="251" t="s">
        <v>1</v>
      </c>
      <c r="B147" s="252" t="s">
        <v>448</v>
      </c>
      <c r="C147" s="230" t="s">
        <v>450</v>
      </c>
      <c r="D147" s="238">
        <v>3</v>
      </c>
      <c r="E147" s="234">
        <f t="shared" si="61"/>
        <v>15834761</v>
      </c>
      <c r="F147" s="234">
        <v>13095196</v>
      </c>
      <c r="G147" s="234">
        <v>2739565</v>
      </c>
      <c r="H147" s="240">
        <f t="shared" si="62"/>
        <v>8254472</v>
      </c>
      <c r="I147" s="234">
        <v>1007865</v>
      </c>
      <c r="J147" s="234">
        <v>1145961</v>
      </c>
      <c r="K147" s="234">
        <v>965839</v>
      </c>
      <c r="L147" s="234">
        <v>1022851</v>
      </c>
      <c r="M147" s="234">
        <v>736997</v>
      </c>
      <c r="N147" s="234">
        <v>1090236</v>
      </c>
      <c r="O147" s="235">
        <v>2284723</v>
      </c>
      <c r="P147" s="235">
        <f t="shared" si="63"/>
        <v>7313482</v>
      </c>
      <c r="Q147" s="234">
        <v>270918</v>
      </c>
      <c r="R147" s="234">
        <v>311537</v>
      </c>
      <c r="S147" s="234">
        <v>316474</v>
      </c>
      <c r="T147" s="234">
        <v>513254</v>
      </c>
      <c r="U147" s="234">
        <v>319712</v>
      </c>
      <c r="V147" s="234">
        <v>379427</v>
      </c>
      <c r="W147" s="234">
        <v>394948</v>
      </c>
      <c r="X147" s="234">
        <v>442307</v>
      </c>
      <c r="Y147" s="234">
        <v>167751</v>
      </c>
      <c r="Z147" s="234">
        <v>237902</v>
      </c>
      <c r="AA147" s="234">
        <v>164490</v>
      </c>
      <c r="AB147" s="234">
        <v>218380</v>
      </c>
      <c r="AC147" s="234">
        <v>235861</v>
      </c>
      <c r="AD147" s="234">
        <v>134934</v>
      </c>
      <c r="AE147" s="234">
        <v>3205587</v>
      </c>
      <c r="AF147" s="234">
        <f t="shared" si="64"/>
        <v>266807</v>
      </c>
      <c r="AG147" s="234">
        <v>145749</v>
      </c>
      <c r="AH147" s="234">
        <v>121058</v>
      </c>
      <c r="AI147" s="197">
        <f t="shared" si="60"/>
        <v>0</v>
      </c>
    </row>
    <row r="148" spans="1:35" s="198" customFormat="1" ht="26.1" customHeight="1">
      <c r="A148" s="251" t="s">
        <v>1</v>
      </c>
      <c r="B148" s="252" t="s">
        <v>448</v>
      </c>
      <c r="C148" s="230" t="s">
        <v>451</v>
      </c>
      <c r="D148" s="238">
        <v>3</v>
      </c>
      <c r="E148" s="234">
        <f t="shared" si="61"/>
        <v>9466103</v>
      </c>
      <c r="F148" s="234">
        <v>8876103</v>
      </c>
      <c r="G148" s="234">
        <v>590000</v>
      </c>
      <c r="H148" s="240">
        <f t="shared" si="62"/>
        <v>5600967</v>
      </c>
      <c r="I148" s="234">
        <v>520740</v>
      </c>
      <c r="J148" s="234">
        <v>1143434</v>
      </c>
      <c r="K148" s="234">
        <v>758339</v>
      </c>
      <c r="L148" s="234">
        <v>918531</v>
      </c>
      <c r="M148" s="234">
        <v>631060</v>
      </c>
      <c r="N148" s="234">
        <v>928727</v>
      </c>
      <c r="O148" s="235">
        <v>700136</v>
      </c>
      <c r="P148" s="235">
        <f t="shared" si="63"/>
        <v>3787653</v>
      </c>
      <c r="Q148" s="234">
        <v>210100</v>
      </c>
      <c r="R148" s="234">
        <v>262264</v>
      </c>
      <c r="S148" s="234">
        <v>242432</v>
      </c>
      <c r="T148" s="234">
        <v>501075</v>
      </c>
      <c r="U148" s="234">
        <v>255905</v>
      </c>
      <c r="V148" s="234">
        <v>259255</v>
      </c>
      <c r="W148" s="234">
        <v>220425</v>
      </c>
      <c r="X148" s="234">
        <v>376644</v>
      </c>
      <c r="Y148" s="234">
        <v>171060</v>
      </c>
      <c r="Z148" s="234">
        <v>181230</v>
      </c>
      <c r="AA148" s="234">
        <v>74872</v>
      </c>
      <c r="AB148" s="234">
        <v>150030</v>
      </c>
      <c r="AC148" s="234">
        <v>179400</v>
      </c>
      <c r="AD148" s="234">
        <v>140233</v>
      </c>
      <c r="AE148" s="234">
        <v>562728</v>
      </c>
      <c r="AF148" s="234">
        <f t="shared" si="64"/>
        <v>77483</v>
      </c>
      <c r="AG148" s="234">
        <v>45729</v>
      </c>
      <c r="AH148" s="234">
        <v>31754</v>
      </c>
      <c r="AI148" s="197">
        <f t="shared" si="60"/>
        <v>0</v>
      </c>
    </row>
    <row r="149" spans="1:35" s="198" customFormat="1" ht="26.1" customHeight="1">
      <c r="A149" s="251" t="s">
        <v>1</v>
      </c>
      <c r="B149" s="252" t="s">
        <v>448</v>
      </c>
      <c r="C149" s="230" t="s">
        <v>452</v>
      </c>
      <c r="D149" s="238">
        <v>3</v>
      </c>
      <c r="E149" s="234">
        <f t="shared" si="61"/>
        <v>385067</v>
      </c>
      <c r="F149" s="234">
        <v>332947</v>
      </c>
      <c r="G149" s="234">
        <v>52120</v>
      </c>
      <c r="H149" s="240">
        <f t="shared" si="62"/>
        <v>210017</v>
      </c>
      <c r="I149" s="234">
        <v>13510</v>
      </c>
      <c r="J149" s="234">
        <v>27430</v>
      </c>
      <c r="K149" s="234">
        <v>20000</v>
      </c>
      <c r="L149" s="234">
        <v>12000</v>
      </c>
      <c r="M149" s="234">
        <v>9000</v>
      </c>
      <c r="N149" s="234">
        <v>9400</v>
      </c>
      <c r="O149" s="235">
        <v>118677</v>
      </c>
      <c r="P149" s="235">
        <f t="shared" si="63"/>
        <v>172430</v>
      </c>
      <c r="Q149" s="234">
        <v>5500</v>
      </c>
      <c r="R149" s="234">
        <v>3000</v>
      </c>
      <c r="S149" s="234">
        <v>2000</v>
      </c>
      <c r="T149" s="234">
        <v>1000</v>
      </c>
      <c r="U149" s="234">
        <v>10000</v>
      </c>
      <c r="V149" s="234">
        <v>1200</v>
      </c>
      <c r="W149" s="234">
        <v>1100</v>
      </c>
      <c r="X149" s="234">
        <v>17550</v>
      </c>
      <c r="Y149" s="234">
        <v>18550</v>
      </c>
      <c r="Z149" s="234">
        <v>16200</v>
      </c>
      <c r="AA149" s="234">
        <v>0</v>
      </c>
      <c r="AB149" s="234">
        <v>4770</v>
      </c>
      <c r="AC149" s="234">
        <v>2200</v>
      </c>
      <c r="AD149" s="234">
        <v>500</v>
      </c>
      <c r="AE149" s="234">
        <v>88860</v>
      </c>
      <c r="AF149" s="234">
        <f t="shared" si="64"/>
        <v>2620</v>
      </c>
      <c r="AG149" s="234">
        <v>1400</v>
      </c>
      <c r="AH149" s="234">
        <v>1220</v>
      </c>
      <c r="AI149" s="197">
        <f t="shared" si="60"/>
        <v>0</v>
      </c>
    </row>
    <row r="150" spans="1:35" s="198" customFormat="1" ht="26.1" customHeight="1">
      <c r="A150" s="251" t="s">
        <v>1</v>
      </c>
      <c r="B150" s="252" t="s">
        <v>448</v>
      </c>
      <c r="C150" s="230" t="s">
        <v>453</v>
      </c>
      <c r="D150" s="238">
        <v>3</v>
      </c>
      <c r="E150" s="234">
        <f t="shared" si="61"/>
        <v>951679</v>
      </c>
      <c r="F150" s="234">
        <v>766002</v>
      </c>
      <c r="G150" s="234">
        <v>185677</v>
      </c>
      <c r="H150" s="240">
        <f t="shared" si="62"/>
        <v>536339</v>
      </c>
      <c r="I150" s="234">
        <v>85604</v>
      </c>
      <c r="J150" s="234">
        <v>87445</v>
      </c>
      <c r="K150" s="234">
        <v>44001</v>
      </c>
      <c r="L150" s="234">
        <v>62311</v>
      </c>
      <c r="M150" s="234">
        <v>36715</v>
      </c>
      <c r="N150" s="234">
        <v>79469</v>
      </c>
      <c r="O150" s="235">
        <v>140794</v>
      </c>
      <c r="P150" s="235">
        <f t="shared" si="63"/>
        <v>402298</v>
      </c>
      <c r="Q150" s="234">
        <v>26329</v>
      </c>
      <c r="R150" s="234">
        <v>25126</v>
      </c>
      <c r="S150" s="234">
        <v>27852</v>
      </c>
      <c r="T150" s="234">
        <v>34063</v>
      </c>
      <c r="U150" s="234">
        <v>20903</v>
      </c>
      <c r="V150" s="234">
        <v>21513</v>
      </c>
      <c r="W150" s="234">
        <v>28497</v>
      </c>
      <c r="X150" s="234">
        <v>27182</v>
      </c>
      <c r="Y150" s="234">
        <v>21377</v>
      </c>
      <c r="Z150" s="234">
        <v>17942</v>
      </c>
      <c r="AA150" s="234">
        <v>15373</v>
      </c>
      <c r="AB150" s="234">
        <v>18578</v>
      </c>
      <c r="AC150" s="234">
        <v>23976</v>
      </c>
      <c r="AD150" s="234">
        <v>16957</v>
      </c>
      <c r="AE150" s="234">
        <v>76630</v>
      </c>
      <c r="AF150" s="234">
        <f t="shared" si="64"/>
        <v>13042</v>
      </c>
      <c r="AG150" s="234">
        <v>6112</v>
      </c>
      <c r="AH150" s="234">
        <v>6930</v>
      </c>
      <c r="AI150" s="197">
        <f t="shared" si="60"/>
        <v>0</v>
      </c>
    </row>
    <row r="151" spans="1:35" s="198" customFormat="1" ht="26.1" customHeight="1">
      <c r="A151" s="251" t="s">
        <v>1</v>
      </c>
      <c r="B151" s="252" t="s">
        <v>448</v>
      </c>
      <c r="C151" s="230" t="s">
        <v>454</v>
      </c>
      <c r="D151" s="238">
        <v>3</v>
      </c>
      <c r="E151" s="234">
        <f t="shared" si="61"/>
        <v>2665426</v>
      </c>
      <c r="F151" s="234">
        <v>2407845</v>
      </c>
      <c r="G151" s="234">
        <v>257581</v>
      </c>
      <c r="H151" s="240">
        <f t="shared" si="62"/>
        <v>1460403</v>
      </c>
      <c r="I151" s="234">
        <v>169801</v>
      </c>
      <c r="J151" s="234">
        <v>298861</v>
      </c>
      <c r="K151" s="234">
        <v>239029</v>
      </c>
      <c r="L151" s="234">
        <v>181880</v>
      </c>
      <c r="M151" s="234">
        <v>196269</v>
      </c>
      <c r="N151" s="234">
        <v>162998</v>
      </c>
      <c r="O151" s="235">
        <v>211565</v>
      </c>
      <c r="P151" s="235">
        <f t="shared" si="63"/>
        <v>1148821</v>
      </c>
      <c r="Q151" s="234">
        <v>69973</v>
      </c>
      <c r="R151" s="234">
        <v>70686</v>
      </c>
      <c r="S151" s="234">
        <v>74228</v>
      </c>
      <c r="T151" s="234">
        <v>104006</v>
      </c>
      <c r="U151" s="234">
        <v>79102</v>
      </c>
      <c r="V151" s="234">
        <v>82644</v>
      </c>
      <c r="W151" s="234">
        <v>64975</v>
      </c>
      <c r="X151" s="234">
        <v>95906</v>
      </c>
      <c r="Y151" s="234">
        <v>57019</v>
      </c>
      <c r="Z151" s="234">
        <v>59240</v>
      </c>
      <c r="AA151" s="234">
        <v>43583</v>
      </c>
      <c r="AB151" s="234">
        <v>54101</v>
      </c>
      <c r="AC151" s="234">
        <v>65096</v>
      </c>
      <c r="AD151" s="234">
        <v>46840</v>
      </c>
      <c r="AE151" s="234">
        <v>181422</v>
      </c>
      <c r="AF151" s="234">
        <f t="shared" si="64"/>
        <v>56202</v>
      </c>
      <c r="AG151" s="234">
        <v>31491</v>
      </c>
      <c r="AH151" s="234">
        <v>24711</v>
      </c>
      <c r="AI151" s="197">
        <f t="shared" si="60"/>
        <v>0</v>
      </c>
    </row>
    <row r="152" spans="1:35" s="198" customFormat="1" ht="26.1" customHeight="1">
      <c r="A152" s="251" t="s">
        <v>1</v>
      </c>
      <c r="B152" s="252" t="s">
        <v>448</v>
      </c>
      <c r="C152" s="230" t="s">
        <v>455</v>
      </c>
      <c r="D152" s="238">
        <v>3</v>
      </c>
      <c r="E152" s="234">
        <f t="shared" si="61"/>
        <v>44419</v>
      </c>
      <c r="F152" s="234">
        <v>44419</v>
      </c>
      <c r="G152" s="234">
        <v>0</v>
      </c>
      <c r="H152" s="240">
        <f t="shared" si="62"/>
        <v>44419</v>
      </c>
      <c r="I152" s="234">
        <v>0</v>
      </c>
      <c r="J152" s="234">
        <v>44419</v>
      </c>
      <c r="K152" s="234">
        <v>0</v>
      </c>
      <c r="L152" s="234">
        <v>0</v>
      </c>
      <c r="M152" s="234">
        <v>0</v>
      </c>
      <c r="N152" s="234">
        <v>0</v>
      </c>
      <c r="O152" s="235">
        <v>0</v>
      </c>
      <c r="P152" s="235">
        <f t="shared" si="63"/>
        <v>0</v>
      </c>
      <c r="Q152" s="234">
        <v>0</v>
      </c>
      <c r="R152" s="234">
        <v>0</v>
      </c>
      <c r="S152" s="234">
        <v>0</v>
      </c>
      <c r="T152" s="234">
        <v>0</v>
      </c>
      <c r="U152" s="234">
        <v>0</v>
      </c>
      <c r="V152" s="234">
        <v>0</v>
      </c>
      <c r="W152" s="234">
        <v>0</v>
      </c>
      <c r="X152" s="234">
        <v>0</v>
      </c>
      <c r="Y152" s="234">
        <v>0</v>
      </c>
      <c r="Z152" s="234">
        <v>0</v>
      </c>
      <c r="AA152" s="234">
        <v>0</v>
      </c>
      <c r="AB152" s="234">
        <v>0</v>
      </c>
      <c r="AC152" s="234">
        <v>0</v>
      </c>
      <c r="AD152" s="234">
        <v>0</v>
      </c>
      <c r="AE152" s="234">
        <v>0</v>
      </c>
      <c r="AF152" s="234">
        <f t="shared" si="64"/>
        <v>0</v>
      </c>
      <c r="AG152" s="234">
        <v>0</v>
      </c>
      <c r="AH152" s="234">
        <v>0</v>
      </c>
      <c r="AI152" s="197">
        <f t="shared" si="60"/>
        <v>0</v>
      </c>
    </row>
    <row r="153" spans="1:35" s="198" customFormat="1" ht="26.1" customHeight="1">
      <c r="A153" s="251" t="s">
        <v>1</v>
      </c>
      <c r="B153" s="252" t="s">
        <v>448</v>
      </c>
      <c r="C153" s="230" t="s">
        <v>456</v>
      </c>
      <c r="D153" s="238">
        <v>3</v>
      </c>
      <c r="E153" s="234">
        <f t="shared" si="61"/>
        <v>2916577</v>
      </c>
      <c r="F153" s="234">
        <v>2880577</v>
      </c>
      <c r="G153" s="234">
        <v>36000</v>
      </c>
      <c r="H153" s="240">
        <f t="shared" si="62"/>
        <v>2916577</v>
      </c>
      <c r="I153" s="234">
        <v>0</v>
      </c>
      <c r="J153" s="234">
        <v>2916577</v>
      </c>
      <c r="K153" s="234">
        <v>0</v>
      </c>
      <c r="L153" s="234">
        <v>0</v>
      </c>
      <c r="M153" s="234">
        <v>0</v>
      </c>
      <c r="N153" s="234">
        <v>0</v>
      </c>
      <c r="O153" s="235">
        <v>0</v>
      </c>
      <c r="P153" s="235">
        <f t="shared" si="63"/>
        <v>0</v>
      </c>
      <c r="Q153" s="234">
        <v>0</v>
      </c>
      <c r="R153" s="234">
        <v>0</v>
      </c>
      <c r="S153" s="234">
        <v>0</v>
      </c>
      <c r="T153" s="234">
        <v>0</v>
      </c>
      <c r="U153" s="234">
        <v>0</v>
      </c>
      <c r="V153" s="234">
        <v>0</v>
      </c>
      <c r="W153" s="234">
        <v>0</v>
      </c>
      <c r="X153" s="234">
        <v>0</v>
      </c>
      <c r="Y153" s="234">
        <v>0</v>
      </c>
      <c r="Z153" s="234">
        <v>0</v>
      </c>
      <c r="AA153" s="234">
        <v>0</v>
      </c>
      <c r="AB153" s="234">
        <v>0</v>
      </c>
      <c r="AC153" s="234">
        <v>0</v>
      </c>
      <c r="AD153" s="234">
        <v>0</v>
      </c>
      <c r="AE153" s="234">
        <v>0</v>
      </c>
      <c r="AF153" s="234">
        <f t="shared" si="64"/>
        <v>0</v>
      </c>
      <c r="AG153" s="234">
        <v>0</v>
      </c>
      <c r="AH153" s="234">
        <v>0</v>
      </c>
      <c r="AI153" s="197">
        <f t="shared" si="60"/>
        <v>0</v>
      </c>
    </row>
    <row r="154" spans="1:35" s="198" customFormat="1" ht="26.1" customHeight="1">
      <c r="A154" s="200"/>
      <c r="B154" s="191"/>
      <c r="C154" s="230"/>
      <c r="D154" s="238"/>
      <c r="E154" s="245">
        <f>SUM(E155:E162)</f>
        <v>4673513</v>
      </c>
      <c r="F154" s="234">
        <f t="shared" ref="F154:AH154" si="65">SUM(F155:F162)</f>
        <v>1080476</v>
      </c>
      <c r="G154" s="234">
        <f t="shared" si="65"/>
        <v>3593037</v>
      </c>
      <c r="H154" s="245">
        <f t="shared" si="65"/>
        <v>2671328</v>
      </c>
      <c r="I154" s="234">
        <f t="shared" si="65"/>
        <v>1231290</v>
      </c>
      <c r="J154" s="234">
        <f t="shared" si="65"/>
        <v>223771</v>
      </c>
      <c r="K154" s="234">
        <f t="shared" si="65"/>
        <v>286746</v>
      </c>
      <c r="L154" s="234">
        <f t="shared" si="65"/>
        <v>628193</v>
      </c>
      <c r="M154" s="234">
        <f t="shared" si="65"/>
        <v>186869</v>
      </c>
      <c r="N154" s="234">
        <f t="shared" si="65"/>
        <v>75298</v>
      </c>
      <c r="O154" s="234">
        <f t="shared" si="65"/>
        <v>39161</v>
      </c>
      <c r="P154" s="245">
        <f t="shared" si="65"/>
        <v>1963038</v>
      </c>
      <c r="Q154" s="234">
        <f t="shared" si="65"/>
        <v>234082</v>
      </c>
      <c r="R154" s="234">
        <f t="shared" si="65"/>
        <v>165471</v>
      </c>
      <c r="S154" s="234">
        <f t="shared" si="65"/>
        <v>70538</v>
      </c>
      <c r="T154" s="234">
        <f t="shared" si="65"/>
        <v>99517</v>
      </c>
      <c r="U154" s="234">
        <f t="shared" si="65"/>
        <v>132184</v>
      </c>
      <c r="V154" s="234">
        <f t="shared" si="65"/>
        <v>159520</v>
      </c>
      <c r="W154" s="234">
        <f t="shared" si="65"/>
        <v>66331</v>
      </c>
      <c r="X154" s="234">
        <f t="shared" si="65"/>
        <v>136855</v>
      </c>
      <c r="Y154" s="234">
        <f t="shared" si="65"/>
        <v>180875</v>
      </c>
      <c r="Z154" s="234">
        <f t="shared" si="65"/>
        <v>79550</v>
      </c>
      <c r="AA154" s="234">
        <f t="shared" si="65"/>
        <v>162617</v>
      </c>
      <c r="AB154" s="234">
        <f t="shared" si="65"/>
        <v>58437</v>
      </c>
      <c r="AC154" s="234">
        <f t="shared" si="65"/>
        <v>116317</v>
      </c>
      <c r="AD154" s="234">
        <f t="shared" si="65"/>
        <v>115813</v>
      </c>
      <c r="AE154" s="234">
        <f t="shared" si="65"/>
        <v>184931</v>
      </c>
      <c r="AF154" s="253">
        <f t="shared" si="65"/>
        <v>39147</v>
      </c>
      <c r="AG154" s="245">
        <f t="shared" si="65"/>
        <v>12074</v>
      </c>
      <c r="AH154" s="234">
        <f t="shared" si="65"/>
        <v>27073</v>
      </c>
      <c r="AI154" s="197">
        <f t="shared" si="60"/>
        <v>0</v>
      </c>
    </row>
    <row r="155" spans="1:35" s="198" customFormat="1" ht="26.1" customHeight="1">
      <c r="A155" s="251" t="s">
        <v>1</v>
      </c>
      <c r="B155" s="191" t="s">
        <v>457</v>
      </c>
      <c r="C155" s="230" t="s">
        <v>640</v>
      </c>
      <c r="D155" s="238">
        <v>3</v>
      </c>
      <c r="E155" s="234">
        <f t="shared" ref="E155:E177" si="66">SUM(H155,P155,AF155)</f>
        <v>855436</v>
      </c>
      <c r="F155" s="234">
        <v>346296</v>
      </c>
      <c r="G155" s="234">
        <v>509140</v>
      </c>
      <c r="H155" s="240">
        <f t="shared" ref="H155:H177" si="67">SUM(I155:O155)</f>
        <v>232013</v>
      </c>
      <c r="I155" s="234">
        <v>38670</v>
      </c>
      <c r="J155" s="234">
        <v>38670</v>
      </c>
      <c r="K155" s="234">
        <v>38668</v>
      </c>
      <c r="L155" s="234">
        <v>38668</v>
      </c>
      <c r="M155" s="234">
        <v>38668</v>
      </c>
      <c r="N155" s="234">
        <v>38669</v>
      </c>
      <c r="O155" s="235">
        <v>0</v>
      </c>
      <c r="P155" s="235">
        <f t="shared" ref="P155:P177" si="68">SUM(Q155:AE155)</f>
        <v>603423</v>
      </c>
      <c r="Q155" s="234">
        <v>43101</v>
      </c>
      <c r="R155" s="234">
        <v>43101</v>
      </c>
      <c r="S155" s="234">
        <v>43101</v>
      </c>
      <c r="T155" s="234">
        <v>43101</v>
      </c>
      <c r="U155" s="234">
        <v>43102</v>
      </c>
      <c r="V155" s="234">
        <v>43102</v>
      </c>
      <c r="W155" s="234">
        <v>43102</v>
      </c>
      <c r="X155" s="234">
        <v>43103</v>
      </c>
      <c r="Y155" s="234">
        <v>43103</v>
      </c>
      <c r="Z155" s="234">
        <v>43103</v>
      </c>
      <c r="AA155" s="234">
        <v>43101</v>
      </c>
      <c r="AB155" s="234">
        <v>43101</v>
      </c>
      <c r="AC155" s="234">
        <v>43101</v>
      </c>
      <c r="AD155" s="234">
        <v>43101</v>
      </c>
      <c r="AE155" s="234">
        <v>0</v>
      </c>
      <c r="AF155" s="234">
        <f t="shared" ref="AF155:AF177" si="69">SUM(AG155:AH155)</f>
        <v>20000</v>
      </c>
      <c r="AG155" s="234">
        <v>10000</v>
      </c>
      <c r="AH155" s="234">
        <v>10000</v>
      </c>
      <c r="AI155" s="197">
        <f t="shared" si="60"/>
        <v>0</v>
      </c>
    </row>
    <row r="156" spans="1:35" s="198" customFormat="1" ht="26.1" customHeight="1">
      <c r="A156" s="251" t="s">
        <v>1</v>
      </c>
      <c r="B156" s="191" t="s">
        <v>457</v>
      </c>
      <c r="C156" s="230" t="s">
        <v>641</v>
      </c>
      <c r="D156" s="238">
        <v>3</v>
      </c>
      <c r="E156" s="234">
        <f t="shared" si="66"/>
        <v>9155</v>
      </c>
      <c r="F156" s="234">
        <v>2200</v>
      </c>
      <c r="G156" s="234">
        <v>6955</v>
      </c>
      <c r="H156" s="240">
        <f t="shared" si="67"/>
        <v>2497</v>
      </c>
      <c r="I156" s="234">
        <v>416</v>
      </c>
      <c r="J156" s="234">
        <v>416</v>
      </c>
      <c r="K156" s="234">
        <v>416</v>
      </c>
      <c r="L156" s="234">
        <v>416</v>
      </c>
      <c r="M156" s="234">
        <v>416</v>
      </c>
      <c r="N156" s="234">
        <v>417</v>
      </c>
      <c r="O156" s="235">
        <v>0</v>
      </c>
      <c r="P156" s="235">
        <f t="shared" si="68"/>
        <v>6258</v>
      </c>
      <c r="Q156" s="234">
        <v>448</v>
      </c>
      <c r="R156" s="234">
        <v>448</v>
      </c>
      <c r="S156" s="234">
        <v>448</v>
      </c>
      <c r="T156" s="234">
        <v>446</v>
      </c>
      <c r="U156" s="234">
        <v>447</v>
      </c>
      <c r="V156" s="234">
        <v>448</v>
      </c>
      <c r="W156" s="234">
        <v>447</v>
      </c>
      <c r="X156" s="234">
        <v>447</v>
      </c>
      <c r="Y156" s="234">
        <v>447</v>
      </c>
      <c r="Z156" s="234">
        <v>448</v>
      </c>
      <c r="AA156" s="234">
        <v>446</v>
      </c>
      <c r="AB156" s="234">
        <v>446</v>
      </c>
      <c r="AC156" s="234">
        <v>446</v>
      </c>
      <c r="AD156" s="234">
        <v>446</v>
      </c>
      <c r="AE156" s="234">
        <v>0</v>
      </c>
      <c r="AF156" s="234">
        <f t="shared" si="69"/>
        <v>400</v>
      </c>
      <c r="AG156" s="234">
        <v>200</v>
      </c>
      <c r="AH156" s="234">
        <v>200</v>
      </c>
      <c r="AI156" s="197">
        <f t="shared" si="60"/>
        <v>0</v>
      </c>
    </row>
    <row r="157" spans="1:35" s="198" customFormat="1" ht="26.1" customHeight="1">
      <c r="A157" s="251" t="s">
        <v>1</v>
      </c>
      <c r="B157" s="191" t="s">
        <v>457</v>
      </c>
      <c r="C157" s="230" t="s">
        <v>460</v>
      </c>
      <c r="D157" s="238">
        <v>3</v>
      </c>
      <c r="E157" s="234">
        <f t="shared" si="66"/>
        <v>46260</v>
      </c>
      <c r="F157" s="234">
        <v>6260</v>
      </c>
      <c r="G157" s="234">
        <v>40000</v>
      </c>
      <c r="H157" s="240">
        <f t="shared" si="67"/>
        <v>0</v>
      </c>
      <c r="I157" s="234">
        <v>0</v>
      </c>
      <c r="J157" s="234">
        <v>0</v>
      </c>
      <c r="K157" s="234">
        <v>0</v>
      </c>
      <c r="L157" s="234">
        <v>0</v>
      </c>
      <c r="M157" s="234">
        <v>0</v>
      </c>
      <c r="N157" s="234">
        <v>0</v>
      </c>
      <c r="O157" s="235">
        <v>0</v>
      </c>
      <c r="P157" s="235">
        <f t="shared" si="68"/>
        <v>46260</v>
      </c>
      <c r="Q157" s="234">
        <v>1513</v>
      </c>
      <c r="R157" s="234">
        <v>2902</v>
      </c>
      <c r="S157" s="234">
        <v>2019</v>
      </c>
      <c r="T157" s="234">
        <v>0</v>
      </c>
      <c r="U157" s="234">
        <v>4915</v>
      </c>
      <c r="V157" s="234">
        <v>0</v>
      </c>
      <c r="W157" s="234">
        <v>1012</v>
      </c>
      <c r="X157" s="234">
        <v>4285</v>
      </c>
      <c r="Y157" s="234">
        <v>13735</v>
      </c>
      <c r="Z157" s="234">
        <v>15879</v>
      </c>
      <c r="AA157" s="234">
        <v>0</v>
      </c>
      <c r="AB157" s="234">
        <v>0</v>
      </c>
      <c r="AC157" s="234">
        <v>0</v>
      </c>
      <c r="AD157" s="234">
        <v>0</v>
      </c>
      <c r="AE157" s="234">
        <v>0</v>
      </c>
      <c r="AF157" s="234">
        <f t="shared" si="69"/>
        <v>0</v>
      </c>
      <c r="AG157" s="234">
        <v>0</v>
      </c>
      <c r="AH157" s="234">
        <v>0</v>
      </c>
      <c r="AI157" s="197">
        <f t="shared" si="60"/>
        <v>0</v>
      </c>
    </row>
    <row r="158" spans="1:35" s="198" customFormat="1" ht="26.1" customHeight="1">
      <c r="A158" s="251" t="s">
        <v>1</v>
      </c>
      <c r="B158" s="191" t="s">
        <v>457</v>
      </c>
      <c r="C158" s="230" t="s">
        <v>642</v>
      </c>
      <c r="D158" s="238">
        <v>3</v>
      </c>
      <c r="E158" s="234">
        <f t="shared" si="66"/>
        <v>85400</v>
      </c>
      <c r="F158" s="234">
        <v>85400</v>
      </c>
      <c r="G158" s="234">
        <v>0</v>
      </c>
      <c r="H158" s="240">
        <f t="shared" si="67"/>
        <v>20472</v>
      </c>
      <c r="I158" s="234">
        <v>3412</v>
      </c>
      <c r="J158" s="234">
        <v>3412</v>
      </c>
      <c r="K158" s="234">
        <v>3412</v>
      </c>
      <c r="L158" s="234">
        <v>3412</v>
      </c>
      <c r="M158" s="234">
        <v>3412</v>
      </c>
      <c r="N158" s="234">
        <v>3412</v>
      </c>
      <c r="O158" s="235">
        <v>0</v>
      </c>
      <c r="P158" s="235">
        <f t="shared" si="68"/>
        <v>61181</v>
      </c>
      <c r="Q158" s="234">
        <v>4370</v>
      </c>
      <c r="R158" s="234">
        <v>4370</v>
      </c>
      <c r="S158" s="234">
        <v>4370</v>
      </c>
      <c r="T158" s="234">
        <v>4370</v>
      </c>
      <c r="U158" s="234">
        <v>4370</v>
      </c>
      <c r="V158" s="234">
        <v>4370</v>
      </c>
      <c r="W158" s="234">
        <v>4370</v>
      </c>
      <c r="X158" s="234">
        <v>4370</v>
      </c>
      <c r="Y158" s="234">
        <v>4370</v>
      </c>
      <c r="Z158" s="234">
        <v>4370</v>
      </c>
      <c r="AA158" s="234">
        <v>4370</v>
      </c>
      <c r="AB158" s="234">
        <v>4370</v>
      </c>
      <c r="AC158" s="234">
        <v>4370</v>
      </c>
      <c r="AD158" s="234">
        <v>4371</v>
      </c>
      <c r="AE158" s="234">
        <v>0</v>
      </c>
      <c r="AF158" s="234">
        <f t="shared" si="69"/>
        <v>3747</v>
      </c>
      <c r="AG158" s="234">
        <v>1874</v>
      </c>
      <c r="AH158" s="234">
        <v>1873</v>
      </c>
      <c r="AI158" s="197">
        <f t="shared" si="60"/>
        <v>0</v>
      </c>
    </row>
    <row r="159" spans="1:35" s="198" customFormat="1" ht="26.1" customHeight="1">
      <c r="A159" s="251" t="s">
        <v>1</v>
      </c>
      <c r="B159" s="191" t="s">
        <v>457</v>
      </c>
      <c r="C159" s="230" t="s">
        <v>467</v>
      </c>
      <c r="D159" s="238">
        <v>3</v>
      </c>
      <c r="E159" s="234">
        <f t="shared" si="66"/>
        <v>145220</v>
      </c>
      <c r="F159" s="234">
        <v>141620</v>
      </c>
      <c r="G159" s="234">
        <v>3600</v>
      </c>
      <c r="H159" s="240">
        <f t="shared" si="67"/>
        <v>49500</v>
      </c>
      <c r="I159" s="234">
        <v>10250</v>
      </c>
      <c r="J159" s="234">
        <v>10750</v>
      </c>
      <c r="K159" s="234">
        <v>10750</v>
      </c>
      <c r="L159" s="234">
        <v>3500</v>
      </c>
      <c r="M159" s="234">
        <v>10750</v>
      </c>
      <c r="N159" s="234">
        <v>3500</v>
      </c>
      <c r="O159" s="235">
        <v>0</v>
      </c>
      <c r="P159" s="235">
        <f t="shared" si="68"/>
        <v>95720</v>
      </c>
      <c r="Q159" s="234">
        <v>34650</v>
      </c>
      <c r="R159" s="234">
        <v>4650</v>
      </c>
      <c r="S159" s="234">
        <v>4650</v>
      </c>
      <c r="T159" s="234">
        <v>4650</v>
      </c>
      <c r="U159" s="234">
        <v>4650</v>
      </c>
      <c r="V159" s="234">
        <v>4650</v>
      </c>
      <c r="W159" s="234">
        <v>4650</v>
      </c>
      <c r="X159" s="234">
        <v>4650</v>
      </c>
      <c r="Y159" s="234">
        <v>4970</v>
      </c>
      <c r="Z159" s="234">
        <v>4950</v>
      </c>
      <c r="AA159" s="234">
        <v>4650</v>
      </c>
      <c r="AB159" s="234">
        <v>4650</v>
      </c>
      <c r="AC159" s="234">
        <v>4650</v>
      </c>
      <c r="AD159" s="234">
        <v>4650</v>
      </c>
      <c r="AE159" s="234">
        <v>0</v>
      </c>
      <c r="AF159" s="234">
        <f t="shared" si="69"/>
        <v>0</v>
      </c>
      <c r="AG159" s="234">
        <v>0</v>
      </c>
      <c r="AH159" s="234">
        <v>0</v>
      </c>
      <c r="AI159" s="197">
        <f t="shared" si="60"/>
        <v>0</v>
      </c>
    </row>
    <row r="160" spans="1:35" s="198" customFormat="1" ht="26.1" customHeight="1">
      <c r="A160" s="251" t="s">
        <v>1</v>
      </c>
      <c r="B160" s="191" t="s">
        <v>457</v>
      </c>
      <c r="C160" s="230" t="s">
        <v>461</v>
      </c>
      <c r="D160" s="238">
        <v>3</v>
      </c>
      <c r="E160" s="234">
        <f t="shared" si="66"/>
        <v>3700</v>
      </c>
      <c r="F160" s="234">
        <v>3700</v>
      </c>
      <c r="G160" s="234">
        <v>0</v>
      </c>
      <c r="H160" s="240">
        <f t="shared" si="67"/>
        <v>1700</v>
      </c>
      <c r="I160" s="234">
        <v>200</v>
      </c>
      <c r="J160" s="234">
        <v>300</v>
      </c>
      <c r="K160" s="234">
        <v>300</v>
      </c>
      <c r="L160" s="234">
        <v>300</v>
      </c>
      <c r="M160" s="234">
        <v>300</v>
      </c>
      <c r="N160" s="234">
        <v>300</v>
      </c>
      <c r="O160" s="235">
        <v>0</v>
      </c>
      <c r="P160" s="235">
        <f t="shared" si="68"/>
        <v>2000</v>
      </c>
      <c r="Q160" s="234">
        <v>0</v>
      </c>
      <c r="R160" s="234">
        <v>0</v>
      </c>
      <c r="S160" s="234">
        <v>200</v>
      </c>
      <c r="T160" s="234">
        <v>0</v>
      </c>
      <c r="U160" s="234">
        <v>200</v>
      </c>
      <c r="V160" s="234">
        <v>0</v>
      </c>
      <c r="W160" s="234">
        <v>0</v>
      </c>
      <c r="X160" s="234">
        <v>0</v>
      </c>
      <c r="Y160" s="234">
        <v>500</v>
      </c>
      <c r="Z160" s="234">
        <v>800</v>
      </c>
      <c r="AA160" s="234">
        <v>300</v>
      </c>
      <c r="AB160" s="234">
        <v>0</v>
      </c>
      <c r="AC160" s="234">
        <v>0</v>
      </c>
      <c r="AD160" s="234">
        <v>0</v>
      </c>
      <c r="AE160" s="234">
        <v>0</v>
      </c>
      <c r="AF160" s="234">
        <f t="shared" si="69"/>
        <v>0</v>
      </c>
      <c r="AG160" s="234">
        <v>0</v>
      </c>
      <c r="AH160" s="234">
        <v>0</v>
      </c>
      <c r="AI160" s="197">
        <f t="shared" si="60"/>
        <v>0</v>
      </c>
    </row>
    <row r="161" spans="1:35" s="198" customFormat="1" ht="26.1" customHeight="1">
      <c r="A161" s="251" t="s">
        <v>1</v>
      </c>
      <c r="B161" s="191" t="s">
        <v>457</v>
      </c>
      <c r="C161" s="230" t="s">
        <v>462</v>
      </c>
      <c r="D161" s="238">
        <v>3</v>
      </c>
      <c r="E161" s="234">
        <f t="shared" si="66"/>
        <v>2350000</v>
      </c>
      <c r="F161" s="234">
        <v>40000</v>
      </c>
      <c r="G161" s="234">
        <v>2310000</v>
      </c>
      <c r="H161" s="240">
        <f t="shared" si="67"/>
        <v>1186804</v>
      </c>
      <c r="I161" s="234">
        <v>0</v>
      </c>
      <c r="J161" s="234">
        <v>170223</v>
      </c>
      <c r="K161" s="234">
        <v>233200</v>
      </c>
      <c r="L161" s="234">
        <v>581897</v>
      </c>
      <c r="M161" s="234">
        <v>133323</v>
      </c>
      <c r="N161" s="234">
        <v>29000</v>
      </c>
      <c r="O161" s="235">
        <v>39161</v>
      </c>
      <c r="P161" s="235">
        <f t="shared" si="68"/>
        <v>1148196</v>
      </c>
      <c r="Q161" s="234">
        <v>150000</v>
      </c>
      <c r="R161" s="234">
        <v>110000</v>
      </c>
      <c r="S161" s="234">
        <v>15750</v>
      </c>
      <c r="T161" s="234">
        <v>46950</v>
      </c>
      <c r="U161" s="234">
        <v>74500</v>
      </c>
      <c r="V161" s="234">
        <v>106950</v>
      </c>
      <c r="W161" s="234">
        <v>12750</v>
      </c>
      <c r="X161" s="234">
        <v>80000</v>
      </c>
      <c r="Y161" s="234">
        <v>113750</v>
      </c>
      <c r="Z161" s="234">
        <v>10000</v>
      </c>
      <c r="AA161" s="234">
        <v>109750</v>
      </c>
      <c r="AB161" s="234">
        <v>5870</v>
      </c>
      <c r="AC161" s="234">
        <v>63750</v>
      </c>
      <c r="AD161" s="234">
        <v>63245</v>
      </c>
      <c r="AE161" s="234">
        <v>184931</v>
      </c>
      <c r="AF161" s="234">
        <f t="shared" si="69"/>
        <v>15000</v>
      </c>
      <c r="AG161" s="234">
        <v>0</v>
      </c>
      <c r="AH161" s="234">
        <v>15000</v>
      </c>
      <c r="AI161" s="197">
        <f t="shared" si="60"/>
        <v>0</v>
      </c>
    </row>
    <row r="162" spans="1:35" s="198" customFormat="1" ht="26.1" customHeight="1">
      <c r="A162" s="251" t="s">
        <v>1</v>
      </c>
      <c r="B162" s="191" t="s">
        <v>457</v>
      </c>
      <c r="C162" s="230" t="s">
        <v>643</v>
      </c>
      <c r="D162" s="238">
        <v>3</v>
      </c>
      <c r="E162" s="234">
        <f t="shared" si="66"/>
        <v>1178342</v>
      </c>
      <c r="F162" s="234">
        <v>455000</v>
      </c>
      <c r="G162" s="234">
        <v>723342</v>
      </c>
      <c r="H162" s="240">
        <f t="shared" si="67"/>
        <v>1178342</v>
      </c>
      <c r="I162" s="234">
        <v>1178342</v>
      </c>
      <c r="J162" s="234">
        <v>0</v>
      </c>
      <c r="K162" s="234">
        <v>0</v>
      </c>
      <c r="L162" s="234">
        <v>0</v>
      </c>
      <c r="M162" s="234">
        <v>0</v>
      </c>
      <c r="N162" s="234">
        <v>0</v>
      </c>
      <c r="O162" s="235">
        <v>0</v>
      </c>
      <c r="P162" s="235">
        <f t="shared" si="68"/>
        <v>0</v>
      </c>
      <c r="Q162" s="234">
        <v>0</v>
      </c>
      <c r="R162" s="234">
        <v>0</v>
      </c>
      <c r="S162" s="234">
        <v>0</v>
      </c>
      <c r="T162" s="234">
        <v>0</v>
      </c>
      <c r="U162" s="234">
        <v>0</v>
      </c>
      <c r="V162" s="234">
        <v>0</v>
      </c>
      <c r="W162" s="234">
        <v>0</v>
      </c>
      <c r="X162" s="234">
        <v>0</v>
      </c>
      <c r="Y162" s="234">
        <v>0</v>
      </c>
      <c r="Z162" s="234">
        <v>0</v>
      </c>
      <c r="AA162" s="234">
        <v>0</v>
      </c>
      <c r="AB162" s="234">
        <v>0</v>
      </c>
      <c r="AC162" s="234">
        <v>0</v>
      </c>
      <c r="AD162" s="234">
        <v>0</v>
      </c>
      <c r="AE162" s="234">
        <v>0</v>
      </c>
      <c r="AF162" s="234">
        <f t="shared" si="69"/>
        <v>0</v>
      </c>
      <c r="AG162" s="234">
        <v>0</v>
      </c>
      <c r="AH162" s="234">
        <v>0</v>
      </c>
      <c r="AI162" s="197">
        <f t="shared" si="60"/>
        <v>0</v>
      </c>
    </row>
    <row r="163" spans="1:35" s="198" customFormat="1" ht="26.1" customHeight="1">
      <c r="A163" s="251" t="s">
        <v>1</v>
      </c>
      <c r="B163" s="191" t="s">
        <v>644</v>
      </c>
      <c r="C163" s="230" t="s">
        <v>645</v>
      </c>
      <c r="D163" s="238">
        <v>3</v>
      </c>
      <c r="E163" s="245">
        <f t="shared" si="66"/>
        <v>300</v>
      </c>
      <c r="F163" s="234">
        <v>300</v>
      </c>
      <c r="G163" s="234">
        <v>0</v>
      </c>
      <c r="H163" s="233">
        <f t="shared" si="67"/>
        <v>300</v>
      </c>
      <c r="I163" s="234">
        <v>0</v>
      </c>
      <c r="J163" s="234">
        <v>0</v>
      </c>
      <c r="K163" s="234">
        <v>0</v>
      </c>
      <c r="L163" s="234">
        <v>0</v>
      </c>
      <c r="M163" s="234">
        <v>0</v>
      </c>
      <c r="N163" s="234">
        <v>0</v>
      </c>
      <c r="O163" s="235">
        <v>300</v>
      </c>
      <c r="P163" s="246">
        <f t="shared" si="68"/>
        <v>0</v>
      </c>
      <c r="Q163" s="234">
        <v>0</v>
      </c>
      <c r="R163" s="234">
        <v>0</v>
      </c>
      <c r="S163" s="234">
        <v>0</v>
      </c>
      <c r="T163" s="234">
        <v>0</v>
      </c>
      <c r="U163" s="234">
        <v>0</v>
      </c>
      <c r="V163" s="234">
        <v>0</v>
      </c>
      <c r="W163" s="234">
        <v>0</v>
      </c>
      <c r="X163" s="234">
        <v>0</v>
      </c>
      <c r="Y163" s="234">
        <v>0</v>
      </c>
      <c r="Z163" s="234">
        <v>0</v>
      </c>
      <c r="AA163" s="234">
        <v>0</v>
      </c>
      <c r="AB163" s="234">
        <v>0</v>
      </c>
      <c r="AC163" s="234">
        <v>0</v>
      </c>
      <c r="AD163" s="234">
        <v>0</v>
      </c>
      <c r="AE163" s="234">
        <v>0</v>
      </c>
      <c r="AF163" s="245">
        <f t="shared" si="69"/>
        <v>0</v>
      </c>
      <c r="AG163" s="234">
        <v>0</v>
      </c>
      <c r="AH163" s="234">
        <v>0</v>
      </c>
      <c r="AI163" s="197">
        <f t="shared" si="60"/>
        <v>0</v>
      </c>
    </row>
    <row r="164" spans="1:35" s="189" customFormat="1" ht="26.1" customHeight="1">
      <c r="A164" s="251"/>
      <c r="B164" s="191"/>
      <c r="C164" s="230"/>
      <c r="D164" s="238"/>
      <c r="E164" s="232">
        <f>SUM(E165:E177)</f>
        <v>109599</v>
      </c>
      <c r="F164" s="234">
        <f>SUM(F165:F177)</f>
        <v>109599</v>
      </c>
      <c r="G164" s="234">
        <f>SUM(G165:G177)</f>
        <v>0</v>
      </c>
      <c r="H164" s="232">
        <f>SUM(H165:H177)</f>
        <v>66078</v>
      </c>
      <c r="I164" s="234"/>
      <c r="J164" s="234"/>
      <c r="K164" s="234"/>
      <c r="L164" s="234"/>
      <c r="M164" s="234"/>
      <c r="N164" s="234"/>
      <c r="O164" s="235"/>
      <c r="P164" s="232">
        <f>SUM(P165:P177)</f>
        <v>43087</v>
      </c>
      <c r="Q164" s="234"/>
      <c r="R164" s="234"/>
      <c r="S164" s="234"/>
      <c r="T164" s="234"/>
      <c r="U164" s="234"/>
      <c r="V164" s="234"/>
      <c r="W164" s="234"/>
      <c r="X164" s="234"/>
      <c r="Y164" s="234"/>
      <c r="Z164" s="234"/>
      <c r="AA164" s="234"/>
      <c r="AB164" s="234"/>
      <c r="AC164" s="234"/>
      <c r="AD164" s="234"/>
      <c r="AE164" s="234"/>
      <c r="AF164" s="232">
        <f>SUM(AF165:AF177)</f>
        <v>434</v>
      </c>
      <c r="AG164" s="234"/>
      <c r="AH164" s="234"/>
      <c r="AI164" s="197">
        <f t="shared" si="60"/>
        <v>0</v>
      </c>
    </row>
    <row r="165" spans="1:35" s="189" customFormat="1" ht="26.1" customHeight="1">
      <c r="A165" s="200" t="s">
        <v>237</v>
      </c>
      <c r="B165" s="191" t="s">
        <v>238</v>
      </c>
      <c r="C165" s="230" t="s">
        <v>654</v>
      </c>
      <c r="D165" s="231">
        <v>1</v>
      </c>
      <c r="E165" s="234">
        <f t="shared" si="66"/>
        <v>83937</v>
      </c>
      <c r="F165" s="234">
        <v>83937</v>
      </c>
      <c r="G165" s="234"/>
      <c r="H165" s="234">
        <f t="shared" si="67"/>
        <v>49335</v>
      </c>
      <c r="I165" s="234">
        <v>3532</v>
      </c>
      <c r="J165" s="234">
        <v>11952</v>
      </c>
      <c r="K165" s="234">
        <v>8514</v>
      </c>
      <c r="L165" s="234">
        <v>6226</v>
      </c>
      <c r="M165" s="234">
        <v>7802</v>
      </c>
      <c r="N165" s="234">
        <v>11309</v>
      </c>
      <c r="O165" s="235"/>
      <c r="P165" s="235">
        <f t="shared" si="68"/>
        <v>34168</v>
      </c>
      <c r="Q165" s="234">
        <v>1907</v>
      </c>
      <c r="R165" s="234">
        <v>1940</v>
      </c>
      <c r="S165" s="234">
        <v>2790</v>
      </c>
      <c r="T165" s="234">
        <v>4997</v>
      </c>
      <c r="U165" s="234">
        <v>2336</v>
      </c>
      <c r="V165" s="234">
        <v>3094</v>
      </c>
      <c r="W165" s="234">
        <v>2932</v>
      </c>
      <c r="X165" s="234">
        <v>5234</v>
      </c>
      <c r="Y165" s="234">
        <v>1843</v>
      </c>
      <c r="Z165" s="234">
        <v>1888</v>
      </c>
      <c r="AA165" s="234">
        <v>280</v>
      </c>
      <c r="AB165" s="234">
        <v>2323</v>
      </c>
      <c r="AC165" s="234">
        <v>1253</v>
      </c>
      <c r="AD165" s="234">
        <v>1351</v>
      </c>
      <c r="AE165" s="234"/>
      <c r="AF165" s="234">
        <f t="shared" si="69"/>
        <v>434</v>
      </c>
      <c r="AG165" s="234">
        <v>203</v>
      </c>
      <c r="AH165" s="234">
        <v>231</v>
      </c>
      <c r="AI165" s="197">
        <f t="shared" si="60"/>
        <v>0</v>
      </c>
    </row>
    <row r="166" spans="1:35" s="189" customFormat="1" ht="26.1" customHeight="1">
      <c r="A166" s="190" t="s">
        <v>237</v>
      </c>
      <c r="B166" s="239" t="s">
        <v>655</v>
      </c>
      <c r="C166" s="230" t="s">
        <v>656</v>
      </c>
      <c r="D166" s="238">
        <v>1</v>
      </c>
      <c r="E166" s="234">
        <f t="shared" si="66"/>
        <v>5000</v>
      </c>
      <c r="F166" s="234">
        <v>5000</v>
      </c>
      <c r="G166" s="234"/>
      <c r="H166" s="234">
        <f t="shared" si="67"/>
        <v>5000</v>
      </c>
      <c r="I166" s="234"/>
      <c r="J166" s="234">
        <v>5000</v>
      </c>
      <c r="K166" s="234"/>
      <c r="L166" s="234"/>
      <c r="M166" s="234">
        <v>0</v>
      </c>
      <c r="N166" s="234"/>
      <c r="O166" s="235"/>
      <c r="P166" s="235">
        <f t="shared" si="68"/>
        <v>0</v>
      </c>
      <c r="Q166" s="234"/>
      <c r="R166" s="234"/>
      <c r="S166" s="234"/>
      <c r="T166" s="234"/>
      <c r="U166" s="234"/>
      <c r="V166" s="234"/>
      <c r="W166" s="234"/>
      <c r="X166" s="234"/>
      <c r="Y166" s="234"/>
      <c r="Z166" s="234"/>
      <c r="AA166" s="234"/>
      <c r="AB166" s="234"/>
      <c r="AC166" s="234"/>
      <c r="AD166" s="234"/>
      <c r="AE166" s="234"/>
      <c r="AF166" s="234">
        <f t="shared" si="69"/>
        <v>0</v>
      </c>
      <c r="AG166" s="234"/>
      <c r="AH166" s="234"/>
      <c r="AI166" s="197">
        <f t="shared" si="60"/>
        <v>0</v>
      </c>
    </row>
    <row r="167" spans="1:35" s="189" customFormat="1" ht="26.1" customHeight="1">
      <c r="A167" s="190" t="s">
        <v>237</v>
      </c>
      <c r="B167" s="239" t="s">
        <v>657</v>
      </c>
      <c r="C167" s="230" t="s">
        <v>656</v>
      </c>
      <c r="D167" s="238">
        <v>1</v>
      </c>
      <c r="E167" s="234">
        <f t="shared" si="66"/>
        <v>386</v>
      </c>
      <c r="F167" s="234">
        <v>386</v>
      </c>
      <c r="G167" s="234"/>
      <c r="H167" s="234">
        <f t="shared" si="67"/>
        <v>0</v>
      </c>
      <c r="I167" s="234"/>
      <c r="J167" s="234"/>
      <c r="K167" s="234"/>
      <c r="L167" s="234"/>
      <c r="M167" s="234"/>
      <c r="N167" s="234"/>
      <c r="O167" s="235"/>
      <c r="P167" s="235">
        <f t="shared" si="68"/>
        <v>386</v>
      </c>
      <c r="Q167" s="234"/>
      <c r="R167" s="234">
        <v>194</v>
      </c>
      <c r="S167" s="234"/>
      <c r="T167" s="234"/>
      <c r="U167" s="234"/>
      <c r="V167" s="234"/>
      <c r="W167" s="234"/>
      <c r="X167" s="234"/>
      <c r="Y167" s="234"/>
      <c r="Z167" s="234"/>
      <c r="AA167" s="234"/>
      <c r="AB167" s="234"/>
      <c r="AC167" s="234">
        <v>192</v>
      </c>
      <c r="AD167" s="234"/>
      <c r="AE167" s="234"/>
      <c r="AF167" s="234">
        <f t="shared" si="69"/>
        <v>0</v>
      </c>
      <c r="AG167" s="234"/>
      <c r="AH167" s="234"/>
      <c r="AI167" s="197">
        <f t="shared" si="60"/>
        <v>0</v>
      </c>
    </row>
    <row r="168" spans="1:35" s="189" customFormat="1" ht="26.1" customHeight="1">
      <c r="A168" s="190" t="s">
        <v>237</v>
      </c>
      <c r="B168" s="239" t="s">
        <v>658</v>
      </c>
      <c r="C168" s="230" t="s">
        <v>656</v>
      </c>
      <c r="D168" s="238">
        <v>1</v>
      </c>
      <c r="E168" s="234">
        <f t="shared" si="66"/>
        <v>3000</v>
      </c>
      <c r="F168" s="234">
        <v>3000</v>
      </c>
      <c r="G168" s="234"/>
      <c r="H168" s="234">
        <f t="shared" si="67"/>
        <v>0</v>
      </c>
      <c r="I168" s="234"/>
      <c r="J168" s="234"/>
      <c r="K168" s="234"/>
      <c r="L168" s="234"/>
      <c r="M168" s="234"/>
      <c r="N168" s="234"/>
      <c r="O168" s="235"/>
      <c r="P168" s="235">
        <f t="shared" si="68"/>
        <v>3000</v>
      </c>
      <c r="Q168" s="234"/>
      <c r="R168" s="234"/>
      <c r="S168" s="234">
        <v>3000</v>
      </c>
      <c r="T168" s="234"/>
      <c r="U168" s="234"/>
      <c r="V168" s="234"/>
      <c r="W168" s="234"/>
      <c r="X168" s="234"/>
      <c r="Y168" s="234"/>
      <c r="Z168" s="234"/>
      <c r="AA168" s="234"/>
      <c r="AB168" s="234"/>
      <c r="AC168" s="234"/>
      <c r="AD168" s="234"/>
      <c r="AE168" s="234"/>
      <c r="AF168" s="234">
        <f t="shared" si="69"/>
        <v>0</v>
      </c>
      <c r="AG168" s="234"/>
      <c r="AH168" s="234"/>
      <c r="AI168" s="197">
        <f t="shared" si="60"/>
        <v>0</v>
      </c>
    </row>
    <row r="169" spans="1:35" s="189" customFormat="1" ht="26.1" customHeight="1">
      <c r="A169" s="190" t="s">
        <v>237</v>
      </c>
      <c r="B169" s="239" t="s">
        <v>659</v>
      </c>
      <c r="C169" s="230" t="s">
        <v>660</v>
      </c>
      <c r="D169" s="238">
        <v>1</v>
      </c>
      <c r="E169" s="234">
        <f t="shared" si="66"/>
        <v>2000</v>
      </c>
      <c r="F169" s="234">
        <v>2000</v>
      </c>
      <c r="G169" s="234">
        <v>0</v>
      </c>
      <c r="H169" s="234">
        <f t="shared" si="67"/>
        <v>2000</v>
      </c>
      <c r="I169" s="234">
        <v>0</v>
      </c>
      <c r="J169" s="234">
        <v>0</v>
      </c>
      <c r="K169" s="234">
        <v>0</v>
      </c>
      <c r="L169" s="234">
        <v>2000</v>
      </c>
      <c r="M169" s="234">
        <v>0</v>
      </c>
      <c r="N169" s="234">
        <v>0</v>
      </c>
      <c r="O169" s="235">
        <v>0</v>
      </c>
      <c r="P169" s="235">
        <f t="shared" si="68"/>
        <v>0</v>
      </c>
      <c r="Q169" s="234">
        <v>0</v>
      </c>
      <c r="R169" s="234">
        <v>0</v>
      </c>
      <c r="S169" s="234">
        <v>0</v>
      </c>
      <c r="T169" s="234">
        <v>0</v>
      </c>
      <c r="U169" s="234">
        <v>0</v>
      </c>
      <c r="V169" s="234">
        <v>0</v>
      </c>
      <c r="W169" s="234">
        <v>0</v>
      </c>
      <c r="X169" s="234">
        <v>0</v>
      </c>
      <c r="Y169" s="234">
        <v>0</v>
      </c>
      <c r="Z169" s="234">
        <v>0</v>
      </c>
      <c r="AA169" s="234">
        <v>0</v>
      </c>
      <c r="AB169" s="234">
        <v>0</v>
      </c>
      <c r="AC169" s="234">
        <v>0</v>
      </c>
      <c r="AD169" s="234">
        <v>0</v>
      </c>
      <c r="AE169" s="234">
        <v>0</v>
      </c>
      <c r="AF169" s="234">
        <f t="shared" si="69"/>
        <v>0</v>
      </c>
      <c r="AG169" s="234">
        <v>0</v>
      </c>
      <c r="AH169" s="234">
        <v>0</v>
      </c>
      <c r="AI169" s="197">
        <f t="shared" si="60"/>
        <v>0</v>
      </c>
    </row>
    <row r="170" spans="1:35" s="189" customFormat="1" ht="26.1" customHeight="1">
      <c r="A170" s="190" t="s">
        <v>237</v>
      </c>
      <c r="B170" s="239" t="s">
        <v>661</v>
      </c>
      <c r="C170" s="230" t="s">
        <v>662</v>
      </c>
      <c r="D170" s="238">
        <v>1</v>
      </c>
      <c r="E170" s="234">
        <f t="shared" si="66"/>
        <v>500</v>
      </c>
      <c r="F170" s="234">
        <v>500</v>
      </c>
      <c r="G170" s="234"/>
      <c r="H170" s="234">
        <f t="shared" si="67"/>
        <v>0</v>
      </c>
      <c r="I170" s="234"/>
      <c r="J170" s="234"/>
      <c r="K170" s="234"/>
      <c r="L170" s="234"/>
      <c r="M170" s="234"/>
      <c r="N170" s="234"/>
      <c r="O170" s="235"/>
      <c r="P170" s="235">
        <f t="shared" si="68"/>
        <v>500</v>
      </c>
      <c r="Q170" s="234"/>
      <c r="R170" s="234"/>
      <c r="S170" s="234"/>
      <c r="T170" s="234"/>
      <c r="U170" s="234">
        <v>500</v>
      </c>
      <c r="V170" s="234"/>
      <c r="W170" s="234"/>
      <c r="X170" s="234"/>
      <c r="Y170" s="234"/>
      <c r="Z170" s="234"/>
      <c r="AA170" s="234"/>
      <c r="AB170" s="234"/>
      <c r="AC170" s="234"/>
      <c r="AD170" s="234"/>
      <c r="AE170" s="234"/>
      <c r="AF170" s="234">
        <f t="shared" si="69"/>
        <v>0</v>
      </c>
      <c r="AG170" s="234"/>
      <c r="AH170" s="234"/>
      <c r="AI170" s="197">
        <f t="shared" si="60"/>
        <v>0</v>
      </c>
    </row>
    <row r="171" spans="1:35" s="189" customFormat="1" ht="26.1" customHeight="1">
      <c r="A171" s="190" t="s">
        <v>237</v>
      </c>
      <c r="B171" s="239" t="s">
        <v>663</v>
      </c>
      <c r="C171" s="230" t="s">
        <v>662</v>
      </c>
      <c r="D171" s="238">
        <v>1</v>
      </c>
      <c r="E171" s="234">
        <f t="shared" si="66"/>
        <v>2246</v>
      </c>
      <c r="F171" s="234">
        <v>2246</v>
      </c>
      <c r="G171" s="234"/>
      <c r="H171" s="234">
        <f t="shared" si="67"/>
        <v>0</v>
      </c>
      <c r="I171" s="234"/>
      <c r="J171" s="234"/>
      <c r="K171" s="234"/>
      <c r="L171" s="234"/>
      <c r="M171" s="234"/>
      <c r="N171" s="234"/>
      <c r="O171" s="235"/>
      <c r="P171" s="235">
        <f t="shared" si="68"/>
        <v>2246</v>
      </c>
      <c r="Q171" s="234"/>
      <c r="R171" s="234"/>
      <c r="S171" s="234"/>
      <c r="T171" s="234">
        <v>2246</v>
      </c>
      <c r="U171" s="234"/>
      <c r="V171" s="234"/>
      <c r="W171" s="234"/>
      <c r="X171" s="234"/>
      <c r="Y171" s="234"/>
      <c r="Z171" s="234"/>
      <c r="AA171" s="234"/>
      <c r="AB171" s="234"/>
      <c r="AC171" s="234"/>
      <c r="AD171" s="234"/>
      <c r="AE171" s="234"/>
      <c r="AF171" s="234">
        <f t="shared" si="69"/>
        <v>0</v>
      </c>
      <c r="AG171" s="234"/>
      <c r="AH171" s="234"/>
      <c r="AI171" s="197">
        <f t="shared" si="60"/>
        <v>0</v>
      </c>
    </row>
    <row r="172" spans="1:35" s="189" customFormat="1" ht="26.1" customHeight="1">
      <c r="A172" s="190" t="s">
        <v>237</v>
      </c>
      <c r="B172" s="239" t="s">
        <v>664</v>
      </c>
      <c r="C172" s="230" t="s">
        <v>656</v>
      </c>
      <c r="D172" s="238">
        <v>1</v>
      </c>
      <c r="E172" s="234">
        <f t="shared" si="66"/>
        <v>2000</v>
      </c>
      <c r="F172" s="234">
        <v>2000</v>
      </c>
      <c r="G172" s="234"/>
      <c r="H172" s="234">
        <f t="shared" si="67"/>
        <v>0</v>
      </c>
      <c r="I172" s="234"/>
      <c r="J172" s="234"/>
      <c r="K172" s="234"/>
      <c r="L172" s="234"/>
      <c r="M172" s="234"/>
      <c r="N172" s="234"/>
      <c r="O172" s="235"/>
      <c r="P172" s="235">
        <f t="shared" si="68"/>
        <v>2000</v>
      </c>
      <c r="Q172" s="234"/>
      <c r="R172" s="234"/>
      <c r="S172" s="234"/>
      <c r="T172" s="234"/>
      <c r="U172" s="234"/>
      <c r="V172" s="234">
        <v>2000</v>
      </c>
      <c r="W172" s="234"/>
      <c r="X172" s="234"/>
      <c r="Y172" s="234"/>
      <c r="Z172" s="234"/>
      <c r="AA172" s="234"/>
      <c r="AB172" s="234"/>
      <c r="AC172" s="234"/>
      <c r="AD172" s="234"/>
      <c r="AE172" s="234"/>
      <c r="AF172" s="234">
        <f t="shared" si="69"/>
        <v>0</v>
      </c>
      <c r="AG172" s="234"/>
      <c r="AH172" s="234"/>
      <c r="AI172" s="197">
        <f t="shared" si="60"/>
        <v>0</v>
      </c>
    </row>
    <row r="173" spans="1:35" s="189" customFormat="1" ht="26.1" customHeight="1">
      <c r="A173" s="190" t="s">
        <v>237</v>
      </c>
      <c r="B173" s="239" t="s">
        <v>665</v>
      </c>
      <c r="C173" s="230" t="s">
        <v>656</v>
      </c>
      <c r="D173" s="238">
        <v>1</v>
      </c>
      <c r="E173" s="234">
        <f t="shared" si="66"/>
        <v>440</v>
      </c>
      <c r="F173" s="234">
        <v>440</v>
      </c>
      <c r="G173" s="234"/>
      <c r="H173" s="234">
        <f t="shared" si="67"/>
        <v>0</v>
      </c>
      <c r="I173" s="234"/>
      <c r="J173" s="234"/>
      <c r="K173" s="234"/>
      <c r="L173" s="234"/>
      <c r="M173" s="234"/>
      <c r="N173" s="234"/>
      <c r="O173" s="235"/>
      <c r="P173" s="235">
        <f t="shared" si="68"/>
        <v>440</v>
      </c>
      <c r="Q173" s="234"/>
      <c r="R173" s="234"/>
      <c r="S173" s="234"/>
      <c r="T173" s="234"/>
      <c r="U173" s="234"/>
      <c r="V173" s="234"/>
      <c r="W173" s="234">
        <v>173</v>
      </c>
      <c r="X173" s="234"/>
      <c r="Y173" s="234"/>
      <c r="Z173" s="234"/>
      <c r="AA173" s="234"/>
      <c r="AB173" s="234"/>
      <c r="AC173" s="234"/>
      <c r="AD173" s="234">
        <v>267</v>
      </c>
      <c r="AE173" s="234"/>
      <c r="AF173" s="234">
        <f t="shared" si="69"/>
        <v>0</v>
      </c>
      <c r="AG173" s="234"/>
      <c r="AH173" s="234"/>
      <c r="AI173" s="197">
        <f t="shared" si="60"/>
        <v>0</v>
      </c>
    </row>
    <row r="174" spans="1:35" s="189" customFormat="1" ht="26.1" customHeight="1">
      <c r="A174" s="190" t="s">
        <v>237</v>
      </c>
      <c r="B174" s="239" t="s">
        <v>666</v>
      </c>
      <c r="C174" s="230" t="s">
        <v>656</v>
      </c>
      <c r="D174" s="238">
        <v>1</v>
      </c>
      <c r="E174" s="234">
        <f t="shared" si="66"/>
        <v>8000</v>
      </c>
      <c r="F174" s="234">
        <v>8000</v>
      </c>
      <c r="G174" s="234"/>
      <c r="H174" s="234">
        <f t="shared" si="67"/>
        <v>8000</v>
      </c>
      <c r="I174" s="234"/>
      <c r="J174" s="234"/>
      <c r="K174" s="234"/>
      <c r="L174" s="234"/>
      <c r="M174" s="234">
        <v>8000</v>
      </c>
      <c r="N174" s="234"/>
      <c r="O174" s="235"/>
      <c r="P174" s="235">
        <f t="shared" si="68"/>
        <v>0</v>
      </c>
      <c r="Q174" s="234"/>
      <c r="R174" s="234"/>
      <c r="S174" s="234"/>
      <c r="T174" s="234"/>
      <c r="U174" s="234"/>
      <c r="V174" s="234"/>
      <c r="W174" s="234"/>
      <c r="X174" s="234"/>
      <c r="Y174" s="234"/>
      <c r="Z174" s="234"/>
      <c r="AA174" s="234"/>
      <c r="AB174" s="234"/>
      <c r="AC174" s="234"/>
      <c r="AD174" s="234"/>
      <c r="AE174" s="234"/>
      <c r="AF174" s="234">
        <f t="shared" si="69"/>
        <v>0</v>
      </c>
      <c r="AG174" s="234"/>
      <c r="AH174" s="234"/>
      <c r="AI174" s="197">
        <f t="shared" si="60"/>
        <v>0</v>
      </c>
    </row>
    <row r="175" spans="1:35" s="189" customFormat="1" ht="26.1" customHeight="1">
      <c r="A175" s="190" t="s">
        <v>237</v>
      </c>
      <c r="B175" s="239" t="s">
        <v>667</v>
      </c>
      <c r="C175" s="230" t="s">
        <v>656</v>
      </c>
      <c r="D175" s="238">
        <v>1</v>
      </c>
      <c r="E175" s="234">
        <f t="shared" si="66"/>
        <v>1743</v>
      </c>
      <c r="F175" s="234">
        <v>1743</v>
      </c>
      <c r="G175" s="234"/>
      <c r="H175" s="234">
        <f t="shared" si="67"/>
        <v>1743</v>
      </c>
      <c r="I175" s="234"/>
      <c r="J175" s="234"/>
      <c r="K175" s="234"/>
      <c r="L175" s="234"/>
      <c r="M175" s="234"/>
      <c r="N175" s="234">
        <v>1743</v>
      </c>
      <c r="O175" s="235"/>
      <c r="P175" s="235">
        <f t="shared" si="68"/>
        <v>0</v>
      </c>
      <c r="Q175" s="234"/>
      <c r="R175" s="234"/>
      <c r="S175" s="234"/>
      <c r="T175" s="234"/>
      <c r="U175" s="234"/>
      <c r="V175" s="234"/>
      <c r="W175" s="234"/>
      <c r="X175" s="234"/>
      <c r="Y175" s="234"/>
      <c r="Z175" s="234"/>
      <c r="AA175" s="234"/>
      <c r="AB175" s="234"/>
      <c r="AC175" s="234"/>
      <c r="AD175" s="234"/>
      <c r="AE175" s="234"/>
      <c r="AF175" s="234">
        <f t="shared" si="69"/>
        <v>0</v>
      </c>
      <c r="AG175" s="234"/>
      <c r="AH175" s="234"/>
      <c r="AI175" s="197">
        <f t="shared" si="60"/>
        <v>0</v>
      </c>
    </row>
    <row r="176" spans="1:35" s="189" customFormat="1" ht="26.1" customHeight="1">
      <c r="A176" s="190" t="s">
        <v>237</v>
      </c>
      <c r="B176" s="239" t="s">
        <v>668</v>
      </c>
      <c r="C176" s="230" t="s">
        <v>656</v>
      </c>
      <c r="D176" s="238">
        <v>1</v>
      </c>
      <c r="E176" s="234">
        <f t="shared" si="66"/>
        <v>100</v>
      </c>
      <c r="F176" s="234">
        <v>100</v>
      </c>
      <c r="G176" s="234"/>
      <c r="H176" s="234">
        <f t="shared" si="67"/>
        <v>0</v>
      </c>
      <c r="I176" s="234"/>
      <c r="J176" s="234"/>
      <c r="K176" s="234"/>
      <c r="L176" s="234"/>
      <c r="M176" s="234"/>
      <c r="N176" s="234"/>
      <c r="O176" s="235"/>
      <c r="P176" s="235">
        <f t="shared" si="68"/>
        <v>100</v>
      </c>
      <c r="Q176" s="234"/>
      <c r="R176" s="234"/>
      <c r="S176" s="234"/>
      <c r="T176" s="234"/>
      <c r="U176" s="234"/>
      <c r="V176" s="234"/>
      <c r="W176" s="234"/>
      <c r="X176" s="234">
        <v>100</v>
      </c>
      <c r="Y176" s="234"/>
      <c r="Z176" s="234"/>
      <c r="AA176" s="234"/>
      <c r="AB176" s="234"/>
      <c r="AC176" s="234"/>
      <c r="AD176" s="234"/>
      <c r="AE176" s="234"/>
      <c r="AF176" s="234">
        <f t="shared" si="69"/>
        <v>0</v>
      </c>
      <c r="AG176" s="234"/>
      <c r="AH176" s="234"/>
      <c r="AI176" s="197">
        <f t="shared" si="60"/>
        <v>0</v>
      </c>
    </row>
    <row r="177" spans="1:35" s="189" customFormat="1" ht="26.1" customHeight="1">
      <c r="A177" s="190" t="s">
        <v>237</v>
      </c>
      <c r="B177" s="239" t="s">
        <v>669</v>
      </c>
      <c r="C177" s="230" t="s">
        <v>656</v>
      </c>
      <c r="D177" s="238">
        <v>1</v>
      </c>
      <c r="E177" s="234">
        <f t="shared" si="66"/>
        <v>247</v>
      </c>
      <c r="F177" s="234">
        <v>247</v>
      </c>
      <c r="G177" s="234"/>
      <c r="H177" s="234">
        <f t="shared" si="67"/>
        <v>0</v>
      </c>
      <c r="I177" s="234"/>
      <c r="J177" s="234"/>
      <c r="K177" s="234"/>
      <c r="L177" s="234"/>
      <c r="M177" s="234"/>
      <c r="N177" s="234"/>
      <c r="O177" s="235"/>
      <c r="P177" s="235">
        <f t="shared" si="68"/>
        <v>247</v>
      </c>
      <c r="Q177" s="234"/>
      <c r="R177" s="234"/>
      <c r="S177" s="234"/>
      <c r="T177" s="234"/>
      <c r="U177" s="234"/>
      <c r="V177" s="234"/>
      <c r="W177" s="234"/>
      <c r="X177" s="234"/>
      <c r="Y177" s="234"/>
      <c r="Z177" s="234">
        <v>247</v>
      </c>
      <c r="AA177" s="234"/>
      <c r="AB177" s="234"/>
      <c r="AC177" s="234"/>
      <c r="AD177" s="234"/>
      <c r="AE177" s="234"/>
      <c r="AF177" s="234">
        <f t="shared" si="69"/>
        <v>0</v>
      </c>
      <c r="AG177" s="234"/>
      <c r="AH177" s="234"/>
      <c r="AI177" s="197">
        <f t="shared" si="60"/>
        <v>0</v>
      </c>
    </row>
    <row r="178" spans="1:35" s="198" customFormat="1" ht="26.1" customHeight="1">
      <c r="A178" s="200"/>
      <c r="B178" s="191"/>
      <c r="C178" s="230"/>
      <c r="D178" s="231"/>
      <c r="E178" s="232">
        <f>E179+E183+E180</f>
        <v>1542118</v>
      </c>
      <c r="F178" s="233">
        <f>F179+F183+F180</f>
        <v>600290</v>
      </c>
      <c r="G178" s="233">
        <f>G179+G183+G180</f>
        <v>941828</v>
      </c>
      <c r="H178" s="232">
        <f>H179+H183+H180</f>
        <v>553615</v>
      </c>
      <c r="I178" s="234"/>
      <c r="J178" s="234"/>
      <c r="K178" s="234"/>
      <c r="L178" s="234"/>
      <c r="M178" s="234"/>
      <c r="N178" s="234"/>
      <c r="O178" s="235"/>
      <c r="P178" s="232">
        <f>P179+P183+P180</f>
        <v>358665</v>
      </c>
      <c r="Q178" s="234"/>
      <c r="R178" s="234"/>
      <c r="S178" s="234"/>
      <c r="T178" s="234"/>
      <c r="U178" s="234"/>
      <c r="V178" s="234"/>
      <c r="W178" s="234"/>
      <c r="X178" s="234"/>
      <c r="Y178" s="234"/>
      <c r="Z178" s="234"/>
      <c r="AA178" s="234"/>
      <c r="AB178" s="234"/>
      <c r="AC178" s="234"/>
      <c r="AD178" s="234"/>
      <c r="AE178" s="234"/>
      <c r="AF178" s="232">
        <f>AF179+AF183+AF180</f>
        <v>629838</v>
      </c>
      <c r="AG178" s="234"/>
      <c r="AH178" s="234"/>
      <c r="AI178" s="197">
        <f>IF(+F178+G178=E178,0,FALSE)</f>
        <v>0</v>
      </c>
    </row>
    <row r="179" spans="1:35" s="198" customFormat="1" ht="26.1" customHeight="1">
      <c r="A179" s="206" t="s">
        <v>2</v>
      </c>
      <c r="B179" s="191" t="s">
        <v>600</v>
      </c>
      <c r="C179" s="201" t="s">
        <v>601</v>
      </c>
      <c r="D179" s="236">
        <v>4</v>
      </c>
      <c r="E179" s="213">
        <f>SUM(H179,P179,AF179)</f>
        <v>266720</v>
      </c>
      <c r="F179" s="203">
        <v>266720</v>
      </c>
      <c r="G179" s="203"/>
      <c r="H179" s="214">
        <f>SUM(I179:O179)</f>
        <v>266720</v>
      </c>
      <c r="I179" s="204"/>
      <c r="J179" s="204"/>
      <c r="K179" s="204"/>
      <c r="L179" s="204"/>
      <c r="M179" s="204">
        <v>266720</v>
      </c>
      <c r="N179" s="204"/>
      <c r="O179" s="237"/>
      <c r="P179" s="215">
        <f>SUM(Q179:AE179)</f>
        <v>0</v>
      </c>
      <c r="Q179" s="204"/>
      <c r="R179" s="204"/>
      <c r="S179" s="204"/>
      <c r="T179" s="204"/>
      <c r="U179" s="204"/>
      <c r="V179" s="204"/>
      <c r="W179" s="204"/>
      <c r="X179" s="204"/>
      <c r="Y179" s="204"/>
      <c r="Z179" s="204"/>
      <c r="AA179" s="204"/>
      <c r="AB179" s="204"/>
      <c r="AC179" s="204"/>
      <c r="AD179" s="204"/>
      <c r="AE179" s="204">
        <v>0</v>
      </c>
      <c r="AF179" s="203">
        <f>SUM(AG179:AH179)</f>
        <v>0</v>
      </c>
      <c r="AG179" s="204"/>
      <c r="AH179" s="204"/>
      <c r="AI179" s="197">
        <f>IF(+F179+G179=E179,0,FALSE)</f>
        <v>0</v>
      </c>
    </row>
    <row r="180" spans="1:35" s="198" customFormat="1" ht="26.1" customHeight="1">
      <c r="A180" s="206"/>
      <c r="B180" s="191"/>
      <c r="C180" s="201"/>
      <c r="D180" s="238"/>
      <c r="E180" s="213">
        <f>SUM(E181:E182)</f>
        <v>16930</v>
      </c>
      <c r="F180" s="203">
        <f>SUM(F181:F182)</f>
        <v>5790</v>
      </c>
      <c r="G180" s="203">
        <f>SUM(G181:G182)</f>
        <v>11140</v>
      </c>
      <c r="H180" s="213">
        <f>SUM(H181:H182)</f>
        <v>8465</v>
      </c>
      <c r="I180" s="204">
        <f t="shared" ref="I180:AH180" si="70">SUM(I181:I182)</f>
        <v>0</v>
      </c>
      <c r="J180" s="204">
        <f t="shared" si="70"/>
        <v>0</v>
      </c>
      <c r="K180" s="204">
        <f t="shared" si="70"/>
        <v>0</v>
      </c>
      <c r="L180" s="204">
        <f t="shared" si="70"/>
        <v>0</v>
      </c>
      <c r="M180" s="204">
        <f t="shared" si="70"/>
        <v>0</v>
      </c>
      <c r="N180" s="204">
        <f t="shared" si="70"/>
        <v>0</v>
      </c>
      <c r="O180" s="205">
        <f t="shared" si="70"/>
        <v>8465</v>
      </c>
      <c r="P180" s="213">
        <f>SUM(P181:P182)</f>
        <v>8465</v>
      </c>
      <c r="Q180" s="204">
        <f t="shared" si="70"/>
        <v>0</v>
      </c>
      <c r="R180" s="204">
        <f t="shared" si="70"/>
        <v>0</v>
      </c>
      <c r="S180" s="204">
        <f t="shared" si="70"/>
        <v>0</v>
      </c>
      <c r="T180" s="204">
        <f t="shared" si="70"/>
        <v>0</v>
      </c>
      <c r="U180" s="204">
        <f t="shared" si="70"/>
        <v>0</v>
      </c>
      <c r="V180" s="204">
        <f t="shared" si="70"/>
        <v>0</v>
      </c>
      <c r="W180" s="204">
        <f t="shared" si="70"/>
        <v>0</v>
      </c>
      <c r="X180" s="204">
        <f t="shared" si="70"/>
        <v>0</v>
      </c>
      <c r="Y180" s="204">
        <f t="shared" si="70"/>
        <v>0</v>
      </c>
      <c r="Z180" s="204">
        <f t="shared" si="70"/>
        <v>0</v>
      </c>
      <c r="AA180" s="204">
        <f t="shared" si="70"/>
        <v>0</v>
      </c>
      <c r="AB180" s="204">
        <f t="shared" si="70"/>
        <v>0</v>
      </c>
      <c r="AC180" s="204">
        <f t="shared" si="70"/>
        <v>0</v>
      </c>
      <c r="AD180" s="204">
        <f t="shared" si="70"/>
        <v>0</v>
      </c>
      <c r="AE180" s="203">
        <f t="shared" si="70"/>
        <v>8465</v>
      </c>
      <c r="AF180" s="213">
        <f>SUM(AF181:AF182)</f>
        <v>0</v>
      </c>
      <c r="AG180" s="204">
        <f t="shared" si="70"/>
        <v>0</v>
      </c>
      <c r="AH180" s="204">
        <f t="shared" si="70"/>
        <v>0</v>
      </c>
      <c r="AI180" s="197">
        <f>IF(+F180+G180=E180,0,FALSE)</f>
        <v>0</v>
      </c>
    </row>
    <row r="181" spans="1:35" s="198" customFormat="1" ht="26.1" customHeight="1">
      <c r="A181" s="206"/>
      <c r="B181" s="191" t="s">
        <v>201</v>
      </c>
      <c r="C181" s="201" t="s">
        <v>156</v>
      </c>
      <c r="D181" s="236">
        <v>4</v>
      </c>
      <c r="E181" s="203">
        <f>SUM(H181,P181,AF181)</f>
        <v>11140</v>
      </c>
      <c r="F181" s="203"/>
      <c r="G181" s="203">
        <v>11140</v>
      </c>
      <c r="H181" s="203">
        <f>SUM(I181:O181)</f>
        <v>5570</v>
      </c>
      <c r="I181" s="204"/>
      <c r="J181" s="204"/>
      <c r="K181" s="204"/>
      <c r="L181" s="204"/>
      <c r="M181" s="204"/>
      <c r="N181" s="204"/>
      <c r="O181" s="205">
        <v>5570</v>
      </c>
      <c r="P181" s="235">
        <f>SUM(Q181:AE181)</f>
        <v>5570</v>
      </c>
      <c r="Q181" s="204"/>
      <c r="R181" s="204"/>
      <c r="S181" s="204"/>
      <c r="T181" s="204"/>
      <c r="U181" s="204"/>
      <c r="V181" s="204"/>
      <c r="W181" s="204"/>
      <c r="X181" s="204"/>
      <c r="Y181" s="204"/>
      <c r="Z181" s="204"/>
      <c r="AA181" s="204"/>
      <c r="AB181" s="204"/>
      <c r="AC181" s="204"/>
      <c r="AD181" s="204"/>
      <c r="AE181" s="203">
        <v>5570</v>
      </c>
      <c r="AF181" s="203">
        <f>SUM(AG181:AH181)</f>
        <v>0</v>
      </c>
      <c r="AG181" s="204"/>
      <c r="AH181" s="204"/>
      <c r="AI181" s="197">
        <f>IF(+F181+G181=E181,0,FALSE)</f>
        <v>0</v>
      </c>
    </row>
    <row r="182" spans="1:35" s="198" customFormat="1" ht="26.1" customHeight="1">
      <c r="A182" s="206"/>
      <c r="B182" s="191" t="s">
        <v>201</v>
      </c>
      <c r="C182" s="201" t="s">
        <v>602</v>
      </c>
      <c r="D182" s="238">
        <v>4</v>
      </c>
      <c r="E182" s="203">
        <f>SUM(H182,P182,AF182)</f>
        <v>5790</v>
      </c>
      <c r="F182" s="203">
        <v>5790</v>
      </c>
      <c r="G182" s="203"/>
      <c r="H182" s="203">
        <f>SUM(I182:O182)</f>
        <v>2895</v>
      </c>
      <c r="I182" s="204"/>
      <c r="J182" s="204"/>
      <c r="K182" s="204"/>
      <c r="L182" s="204"/>
      <c r="M182" s="204"/>
      <c r="N182" s="204"/>
      <c r="O182" s="205">
        <v>2895</v>
      </c>
      <c r="P182" s="235">
        <f>SUM(Q182:AE182)</f>
        <v>2895</v>
      </c>
      <c r="Q182" s="204"/>
      <c r="R182" s="204"/>
      <c r="S182" s="204"/>
      <c r="T182" s="204"/>
      <c r="U182" s="204"/>
      <c r="V182" s="204"/>
      <c r="W182" s="204"/>
      <c r="X182" s="204"/>
      <c r="Y182" s="204"/>
      <c r="Z182" s="204"/>
      <c r="AA182" s="204"/>
      <c r="AB182" s="204"/>
      <c r="AC182" s="204"/>
      <c r="AD182" s="204"/>
      <c r="AE182" s="203">
        <v>2895</v>
      </c>
      <c r="AF182" s="203">
        <f>SUM(AG182:AH182)</f>
        <v>0</v>
      </c>
      <c r="AG182" s="204"/>
      <c r="AH182" s="204"/>
      <c r="AI182" s="197">
        <f>IF(+F182+G182=E182,0,FALSE)</f>
        <v>0</v>
      </c>
    </row>
    <row r="183" spans="1:35" s="198" customFormat="1" ht="26.1" customHeight="1">
      <c r="A183" s="206"/>
      <c r="B183" s="191"/>
      <c r="C183" s="201"/>
      <c r="D183" s="238"/>
      <c r="E183" s="213">
        <f t="shared" ref="E183:J183" si="71">SUM(E184:E193)</f>
        <v>1258468</v>
      </c>
      <c r="F183" s="203">
        <f t="shared" si="71"/>
        <v>327780</v>
      </c>
      <c r="G183" s="203">
        <f t="shared" si="71"/>
        <v>930688</v>
      </c>
      <c r="H183" s="213">
        <f t="shared" si="71"/>
        <v>278430</v>
      </c>
      <c r="I183" s="203">
        <f t="shared" si="71"/>
        <v>0</v>
      </c>
      <c r="J183" s="203">
        <f t="shared" si="71"/>
        <v>200</v>
      </c>
      <c r="K183" s="203"/>
      <c r="L183" s="203">
        <f t="shared" ref="L183:AH183" si="72">SUM(L184:L193)</f>
        <v>81730</v>
      </c>
      <c r="M183" s="203">
        <f t="shared" si="72"/>
        <v>21480</v>
      </c>
      <c r="N183" s="203">
        <f t="shared" si="72"/>
        <v>20000</v>
      </c>
      <c r="O183" s="203">
        <f t="shared" si="72"/>
        <v>155020</v>
      </c>
      <c r="P183" s="213">
        <f t="shared" si="72"/>
        <v>350200</v>
      </c>
      <c r="Q183" s="203">
        <f t="shared" si="72"/>
        <v>4000</v>
      </c>
      <c r="R183" s="203">
        <f t="shared" si="72"/>
        <v>0</v>
      </c>
      <c r="S183" s="203">
        <f t="shared" si="72"/>
        <v>1000</v>
      </c>
      <c r="T183" s="203">
        <f t="shared" si="72"/>
        <v>33101.023000000001</v>
      </c>
      <c r="U183" s="203">
        <f t="shared" si="72"/>
        <v>13000</v>
      </c>
      <c r="V183" s="203">
        <f t="shared" si="72"/>
        <v>39590.800000000003</v>
      </c>
      <c r="W183" s="203">
        <f t="shared" si="72"/>
        <v>9500</v>
      </c>
      <c r="X183" s="203">
        <f t="shared" si="72"/>
        <v>4139</v>
      </c>
      <c r="Y183" s="203">
        <f t="shared" si="72"/>
        <v>2000</v>
      </c>
      <c r="Z183" s="203">
        <f t="shared" si="72"/>
        <v>2000</v>
      </c>
      <c r="AA183" s="203">
        <f t="shared" si="72"/>
        <v>25710</v>
      </c>
      <c r="AB183" s="203">
        <f t="shared" si="72"/>
        <v>40000</v>
      </c>
      <c r="AC183" s="203">
        <f t="shared" si="72"/>
        <v>0</v>
      </c>
      <c r="AD183" s="203">
        <f t="shared" si="72"/>
        <v>1000</v>
      </c>
      <c r="AE183" s="203">
        <f t="shared" si="72"/>
        <v>175159.177</v>
      </c>
      <c r="AF183" s="213">
        <f t="shared" si="72"/>
        <v>629838</v>
      </c>
      <c r="AG183" s="203">
        <f t="shared" si="72"/>
        <v>442338</v>
      </c>
      <c r="AH183" s="203">
        <f t="shared" si="72"/>
        <v>187500</v>
      </c>
      <c r="AI183" s="197">
        <f t="shared" ref="AI183:AI193" si="73">IF(+F183+G183=E183,0,FALSE)</f>
        <v>0</v>
      </c>
    </row>
    <row r="184" spans="1:35" s="198" customFormat="1" ht="26.1" customHeight="1">
      <c r="A184" s="191" t="s">
        <v>2</v>
      </c>
      <c r="B184" s="191" t="s">
        <v>202</v>
      </c>
      <c r="C184" s="239" t="s">
        <v>468</v>
      </c>
      <c r="D184" s="202">
        <v>4</v>
      </c>
      <c r="E184" s="203">
        <f t="shared" ref="E184:E193" si="74">SUM(H184,P184,AF184)</f>
        <v>250</v>
      </c>
      <c r="F184" s="203">
        <v>0</v>
      </c>
      <c r="G184" s="203">
        <v>250</v>
      </c>
      <c r="H184" s="203">
        <f t="shared" ref="H184:H193" si="75">SUM(I184:O184)</f>
        <v>0</v>
      </c>
      <c r="I184" s="203"/>
      <c r="J184" s="203"/>
      <c r="K184" s="203"/>
      <c r="L184" s="203"/>
      <c r="M184" s="203"/>
      <c r="N184" s="203"/>
      <c r="O184" s="205"/>
      <c r="P184" s="205">
        <f t="shared" ref="P184:P193" si="76">SUM(Q184:AE184)</f>
        <v>250</v>
      </c>
      <c r="Q184" s="203"/>
      <c r="R184" s="203"/>
      <c r="S184" s="203"/>
      <c r="T184" s="203"/>
      <c r="U184" s="203"/>
      <c r="V184" s="203"/>
      <c r="W184" s="203"/>
      <c r="X184" s="203"/>
      <c r="Y184" s="203"/>
      <c r="Z184" s="203"/>
      <c r="AA184" s="203"/>
      <c r="AB184" s="203"/>
      <c r="AC184" s="203"/>
      <c r="AD184" s="203"/>
      <c r="AE184" s="203">
        <v>250</v>
      </c>
      <c r="AF184" s="203">
        <f t="shared" ref="AF184:AF193" si="77">SUM(AG184:AH184)</f>
        <v>0</v>
      </c>
      <c r="AG184" s="203"/>
      <c r="AH184" s="203">
        <v>0</v>
      </c>
      <c r="AI184" s="197">
        <f t="shared" si="73"/>
        <v>0</v>
      </c>
    </row>
    <row r="185" spans="1:35" s="198" customFormat="1" ht="26.1" customHeight="1">
      <c r="A185" s="191" t="s">
        <v>2</v>
      </c>
      <c r="B185" s="191" t="s">
        <v>202</v>
      </c>
      <c r="C185" s="239" t="s">
        <v>469</v>
      </c>
      <c r="D185" s="202">
        <v>4</v>
      </c>
      <c r="E185" s="203">
        <f t="shared" si="74"/>
        <v>224000</v>
      </c>
      <c r="F185" s="203">
        <v>224000</v>
      </c>
      <c r="G185" s="203">
        <v>0</v>
      </c>
      <c r="H185" s="203">
        <f t="shared" si="75"/>
        <v>0</v>
      </c>
      <c r="I185" s="203"/>
      <c r="J185" s="203"/>
      <c r="K185" s="203"/>
      <c r="L185" s="203"/>
      <c r="M185" s="203"/>
      <c r="N185" s="203"/>
      <c r="O185" s="205"/>
      <c r="P185" s="205">
        <f t="shared" si="76"/>
        <v>0</v>
      </c>
      <c r="Q185" s="203"/>
      <c r="R185" s="203"/>
      <c r="S185" s="203"/>
      <c r="T185" s="203"/>
      <c r="U185" s="203"/>
      <c r="V185" s="203"/>
      <c r="W185" s="203"/>
      <c r="X185" s="203"/>
      <c r="Y185" s="203"/>
      <c r="Z185" s="203"/>
      <c r="AA185" s="203"/>
      <c r="AB185" s="203"/>
      <c r="AC185" s="203"/>
      <c r="AD185" s="203"/>
      <c r="AE185" s="203"/>
      <c r="AF185" s="203">
        <f t="shared" si="77"/>
        <v>224000</v>
      </c>
      <c r="AG185" s="203">
        <v>160000</v>
      </c>
      <c r="AH185" s="203">
        <v>64000</v>
      </c>
      <c r="AI185" s="197">
        <f t="shared" si="73"/>
        <v>0</v>
      </c>
    </row>
    <row r="186" spans="1:35" s="198" customFormat="1" ht="26.1" customHeight="1">
      <c r="A186" s="191" t="s">
        <v>2</v>
      </c>
      <c r="B186" s="191" t="s">
        <v>202</v>
      </c>
      <c r="C186" s="191" t="s">
        <v>203</v>
      </c>
      <c r="D186" s="202">
        <v>4</v>
      </c>
      <c r="E186" s="203">
        <f t="shared" si="74"/>
        <v>4000</v>
      </c>
      <c r="F186" s="203">
        <v>0</v>
      </c>
      <c r="G186" s="203">
        <v>4000</v>
      </c>
      <c r="H186" s="203">
        <f t="shared" si="75"/>
        <v>0</v>
      </c>
      <c r="I186" s="203"/>
      <c r="J186" s="203"/>
      <c r="K186" s="203"/>
      <c r="L186" s="203"/>
      <c r="M186" s="203"/>
      <c r="N186" s="203"/>
      <c r="O186" s="205"/>
      <c r="P186" s="205">
        <f t="shared" si="76"/>
        <v>4000</v>
      </c>
      <c r="Q186" s="203"/>
      <c r="R186" s="203"/>
      <c r="S186" s="203"/>
      <c r="T186" s="203"/>
      <c r="U186" s="203"/>
      <c r="V186" s="203"/>
      <c r="W186" s="203"/>
      <c r="X186" s="203"/>
      <c r="Y186" s="203"/>
      <c r="Z186" s="203"/>
      <c r="AA186" s="203"/>
      <c r="AB186" s="203"/>
      <c r="AC186" s="203"/>
      <c r="AD186" s="203"/>
      <c r="AE186" s="203">
        <v>4000</v>
      </c>
      <c r="AF186" s="203">
        <f t="shared" si="77"/>
        <v>0</v>
      </c>
      <c r="AG186" s="203"/>
      <c r="AH186" s="203"/>
      <c r="AI186" s="197">
        <f t="shared" si="73"/>
        <v>0</v>
      </c>
    </row>
    <row r="187" spans="1:35" s="198" customFormat="1" ht="26.1" customHeight="1">
      <c r="A187" s="191" t="s">
        <v>2</v>
      </c>
      <c r="B187" s="191" t="s">
        <v>202</v>
      </c>
      <c r="C187" s="201" t="s">
        <v>204</v>
      </c>
      <c r="D187" s="202">
        <v>4</v>
      </c>
      <c r="E187" s="203">
        <f t="shared" si="74"/>
        <v>204715</v>
      </c>
      <c r="F187" s="203">
        <v>0</v>
      </c>
      <c r="G187" s="203">
        <v>204715</v>
      </c>
      <c r="H187" s="203">
        <f t="shared" si="75"/>
        <v>0</v>
      </c>
      <c r="I187" s="203"/>
      <c r="J187" s="203"/>
      <c r="K187" s="203"/>
      <c r="L187" s="203"/>
      <c r="M187" s="203"/>
      <c r="N187" s="203"/>
      <c r="O187" s="205"/>
      <c r="P187" s="205">
        <f t="shared" si="76"/>
        <v>0</v>
      </c>
      <c r="Q187" s="203"/>
      <c r="R187" s="203"/>
      <c r="S187" s="203"/>
      <c r="T187" s="203"/>
      <c r="U187" s="203"/>
      <c r="V187" s="203"/>
      <c r="W187" s="203"/>
      <c r="X187" s="203"/>
      <c r="Y187" s="203"/>
      <c r="Z187" s="203"/>
      <c r="AA187" s="203"/>
      <c r="AB187" s="203"/>
      <c r="AC187" s="203"/>
      <c r="AD187" s="203"/>
      <c r="AE187" s="203"/>
      <c r="AF187" s="203">
        <f t="shared" si="77"/>
        <v>204715</v>
      </c>
      <c r="AG187" s="203">
        <v>181715</v>
      </c>
      <c r="AH187" s="203">
        <v>23000</v>
      </c>
      <c r="AI187" s="197">
        <f t="shared" si="73"/>
        <v>0</v>
      </c>
    </row>
    <row r="188" spans="1:35" s="198" customFormat="1" ht="26.1" customHeight="1">
      <c r="A188" s="191" t="s">
        <v>2</v>
      </c>
      <c r="B188" s="191" t="s">
        <v>202</v>
      </c>
      <c r="C188" s="191" t="s">
        <v>603</v>
      </c>
      <c r="D188" s="202">
        <v>4</v>
      </c>
      <c r="E188" s="203">
        <f t="shared" si="74"/>
        <v>128000</v>
      </c>
      <c r="F188" s="203">
        <v>0</v>
      </c>
      <c r="G188" s="203">
        <v>128000</v>
      </c>
      <c r="H188" s="203">
        <f t="shared" si="75"/>
        <v>0</v>
      </c>
      <c r="I188" s="203"/>
      <c r="J188" s="203"/>
      <c r="K188" s="203"/>
      <c r="L188" s="203"/>
      <c r="M188" s="203"/>
      <c r="N188" s="203"/>
      <c r="O188" s="205"/>
      <c r="P188" s="205">
        <f t="shared" si="76"/>
        <v>20000</v>
      </c>
      <c r="Q188" s="203"/>
      <c r="R188" s="203"/>
      <c r="S188" s="203"/>
      <c r="T188" s="203"/>
      <c r="U188" s="203"/>
      <c r="V188" s="203"/>
      <c r="W188" s="203"/>
      <c r="X188" s="203"/>
      <c r="Y188" s="203"/>
      <c r="Z188" s="203"/>
      <c r="AA188" s="203">
        <v>20000</v>
      </c>
      <c r="AB188" s="203"/>
      <c r="AC188" s="203"/>
      <c r="AD188" s="203"/>
      <c r="AE188" s="203"/>
      <c r="AF188" s="203">
        <f t="shared" si="77"/>
        <v>108000</v>
      </c>
      <c r="AG188" s="203">
        <v>7500</v>
      </c>
      <c r="AH188" s="203">
        <v>100500</v>
      </c>
      <c r="AI188" s="197">
        <f t="shared" si="73"/>
        <v>0</v>
      </c>
    </row>
    <row r="189" spans="1:35" s="198" customFormat="1" ht="26.1" customHeight="1">
      <c r="A189" s="191" t="s">
        <v>2</v>
      </c>
      <c r="B189" s="191" t="s">
        <v>202</v>
      </c>
      <c r="C189" s="201" t="s">
        <v>604</v>
      </c>
      <c r="D189" s="202">
        <v>4</v>
      </c>
      <c r="E189" s="203">
        <f t="shared" si="74"/>
        <v>93123</v>
      </c>
      <c r="F189" s="203">
        <v>0</v>
      </c>
      <c r="G189" s="203">
        <v>93123</v>
      </c>
      <c r="H189" s="203">
        <f t="shared" si="75"/>
        <v>0</v>
      </c>
      <c r="I189" s="203"/>
      <c r="J189" s="203"/>
      <c r="K189" s="203"/>
      <c r="L189" s="203"/>
      <c r="M189" s="203"/>
      <c r="N189" s="203"/>
      <c r="O189" s="205"/>
      <c r="P189" s="205">
        <f t="shared" si="76"/>
        <v>0</v>
      </c>
      <c r="Q189" s="203"/>
      <c r="R189" s="203"/>
      <c r="S189" s="203"/>
      <c r="T189" s="203"/>
      <c r="U189" s="203"/>
      <c r="V189" s="203"/>
      <c r="W189" s="203"/>
      <c r="X189" s="203"/>
      <c r="Y189" s="203"/>
      <c r="Z189" s="203"/>
      <c r="AA189" s="203"/>
      <c r="AB189" s="203"/>
      <c r="AC189" s="203"/>
      <c r="AD189" s="203"/>
      <c r="AE189" s="203"/>
      <c r="AF189" s="203">
        <f t="shared" si="77"/>
        <v>93123</v>
      </c>
      <c r="AG189" s="203">
        <v>93123</v>
      </c>
      <c r="AH189" s="203">
        <v>0</v>
      </c>
      <c r="AI189" s="197">
        <f t="shared" si="73"/>
        <v>0</v>
      </c>
    </row>
    <row r="190" spans="1:35" s="198" customFormat="1" ht="26.1" customHeight="1">
      <c r="A190" s="191" t="s">
        <v>2</v>
      </c>
      <c r="B190" s="191" t="s">
        <v>202</v>
      </c>
      <c r="C190" s="191" t="s">
        <v>605</v>
      </c>
      <c r="D190" s="202">
        <v>4</v>
      </c>
      <c r="E190" s="203">
        <f t="shared" si="74"/>
        <v>260000</v>
      </c>
      <c r="F190" s="203">
        <v>0</v>
      </c>
      <c r="G190" s="203">
        <v>260000</v>
      </c>
      <c r="H190" s="203">
        <f t="shared" si="75"/>
        <v>130000</v>
      </c>
      <c r="I190" s="203"/>
      <c r="J190" s="203"/>
      <c r="K190" s="203"/>
      <c r="L190" s="203"/>
      <c r="M190" s="203"/>
      <c r="N190" s="203"/>
      <c r="O190" s="205">
        <v>130000</v>
      </c>
      <c r="P190" s="205">
        <f t="shared" si="76"/>
        <v>130000</v>
      </c>
      <c r="Q190" s="203"/>
      <c r="R190" s="203"/>
      <c r="S190" s="203"/>
      <c r="T190" s="203"/>
      <c r="U190" s="203"/>
      <c r="V190" s="203"/>
      <c r="W190" s="203"/>
      <c r="X190" s="203"/>
      <c r="Y190" s="203"/>
      <c r="Z190" s="203"/>
      <c r="AA190" s="203"/>
      <c r="AB190" s="203"/>
      <c r="AC190" s="203"/>
      <c r="AD190" s="203"/>
      <c r="AE190" s="203">
        <v>130000</v>
      </c>
      <c r="AF190" s="203">
        <f t="shared" si="77"/>
        <v>0</v>
      </c>
      <c r="AG190" s="203"/>
      <c r="AH190" s="203"/>
      <c r="AI190" s="197">
        <f t="shared" si="73"/>
        <v>0</v>
      </c>
    </row>
    <row r="191" spans="1:35" s="198" customFormat="1" ht="26.1" customHeight="1">
      <c r="A191" s="191" t="s">
        <v>2</v>
      </c>
      <c r="B191" s="191" t="s">
        <v>202</v>
      </c>
      <c r="C191" s="201" t="s">
        <v>606</v>
      </c>
      <c r="D191" s="202">
        <v>4</v>
      </c>
      <c r="E191" s="203">
        <f t="shared" si="74"/>
        <v>162000</v>
      </c>
      <c r="F191" s="203">
        <v>8000</v>
      </c>
      <c r="G191" s="203">
        <v>154000</v>
      </c>
      <c r="H191" s="203">
        <f t="shared" si="75"/>
        <v>93330</v>
      </c>
      <c r="I191" s="203"/>
      <c r="J191" s="203"/>
      <c r="K191" s="203"/>
      <c r="L191" s="203">
        <v>56330</v>
      </c>
      <c r="M191" s="203">
        <v>17000</v>
      </c>
      <c r="N191" s="203">
        <v>20000</v>
      </c>
      <c r="O191" s="205"/>
      <c r="P191" s="205">
        <f t="shared" si="76"/>
        <v>68670</v>
      </c>
      <c r="Q191" s="203"/>
      <c r="R191" s="203"/>
      <c r="S191" s="203">
        <v>1000</v>
      </c>
      <c r="T191" s="203"/>
      <c r="U191" s="203">
        <v>13000</v>
      </c>
      <c r="V191" s="203"/>
      <c r="W191" s="203">
        <v>2000</v>
      </c>
      <c r="X191" s="203">
        <v>2000</v>
      </c>
      <c r="Y191" s="203">
        <v>2000</v>
      </c>
      <c r="Z191" s="203">
        <v>2000</v>
      </c>
      <c r="AA191" s="203"/>
      <c r="AB191" s="203">
        <v>40000</v>
      </c>
      <c r="AC191" s="203"/>
      <c r="AD191" s="203">
        <v>1000</v>
      </c>
      <c r="AE191" s="203">
        <v>5670</v>
      </c>
      <c r="AF191" s="203">
        <f t="shared" si="77"/>
        <v>0</v>
      </c>
      <c r="AG191" s="203"/>
      <c r="AH191" s="203"/>
      <c r="AI191" s="197">
        <f t="shared" si="73"/>
        <v>0</v>
      </c>
    </row>
    <row r="192" spans="1:35" s="198" customFormat="1" ht="26.1" customHeight="1">
      <c r="A192" s="191" t="s">
        <v>2</v>
      </c>
      <c r="B192" s="191" t="s">
        <v>202</v>
      </c>
      <c r="C192" s="191" t="s">
        <v>607</v>
      </c>
      <c r="D192" s="202">
        <v>4</v>
      </c>
      <c r="E192" s="203">
        <f t="shared" si="74"/>
        <v>50000</v>
      </c>
      <c r="F192" s="203">
        <v>0</v>
      </c>
      <c r="G192" s="203">
        <v>50000</v>
      </c>
      <c r="H192" s="203">
        <f t="shared" si="75"/>
        <v>50000</v>
      </c>
      <c r="I192" s="203"/>
      <c r="J192" s="203"/>
      <c r="K192" s="203"/>
      <c r="L192" s="203">
        <v>25000</v>
      </c>
      <c r="M192" s="203"/>
      <c r="N192" s="203"/>
      <c r="O192" s="205">
        <v>25000</v>
      </c>
      <c r="P192" s="205">
        <f t="shared" si="76"/>
        <v>0</v>
      </c>
      <c r="Q192" s="203"/>
      <c r="R192" s="203"/>
      <c r="S192" s="203"/>
      <c r="T192" s="203"/>
      <c r="U192" s="203"/>
      <c r="V192" s="203"/>
      <c r="W192" s="203"/>
      <c r="X192" s="203"/>
      <c r="Y192" s="203"/>
      <c r="Z192" s="203"/>
      <c r="AA192" s="203"/>
      <c r="AB192" s="203"/>
      <c r="AC192" s="203"/>
      <c r="AD192" s="203"/>
      <c r="AE192" s="203"/>
      <c r="AF192" s="203">
        <f t="shared" si="77"/>
        <v>0</v>
      </c>
      <c r="AG192" s="203"/>
      <c r="AH192" s="203"/>
      <c r="AI192" s="197">
        <f t="shared" si="73"/>
        <v>0</v>
      </c>
    </row>
    <row r="193" spans="1:35" s="198" customFormat="1" ht="26.1" customHeight="1">
      <c r="A193" s="191" t="s">
        <v>2</v>
      </c>
      <c r="B193" s="191" t="s">
        <v>202</v>
      </c>
      <c r="C193" s="201" t="s">
        <v>608</v>
      </c>
      <c r="D193" s="202">
        <v>4</v>
      </c>
      <c r="E193" s="203">
        <f t="shared" si="74"/>
        <v>132380</v>
      </c>
      <c r="F193" s="203">
        <v>95780</v>
      </c>
      <c r="G193" s="203">
        <v>36600</v>
      </c>
      <c r="H193" s="203">
        <f t="shared" si="75"/>
        <v>5100</v>
      </c>
      <c r="I193" s="203">
        <v>0</v>
      </c>
      <c r="J193" s="203">
        <v>200</v>
      </c>
      <c r="K193" s="203">
        <v>0</v>
      </c>
      <c r="L193" s="203">
        <v>400</v>
      </c>
      <c r="M193" s="203">
        <v>4480</v>
      </c>
      <c r="N193" s="203">
        <v>0</v>
      </c>
      <c r="O193" s="205">
        <v>20</v>
      </c>
      <c r="P193" s="205">
        <f t="shared" si="76"/>
        <v>127280</v>
      </c>
      <c r="Q193" s="203">
        <v>4000</v>
      </c>
      <c r="R193" s="203">
        <v>0</v>
      </c>
      <c r="S193" s="203">
        <v>0</v>
      </c>
      <c r="T193" s="203">
        <v>33101.023000000001</v>
      </c>
      <c r="U193" s="203">
        <v>0</v>
      </c>
      <c r="V193" s="203">
        <v>39590.800000000003</v>
      </c>
      <c r="W193" s="203">
        <v>7500</v>
      </c>
      <c r="X193" s="203">
        <v>2139</v>
      </c>
      <c r="Y193" s="203">
        <v>0</v>
      </c>
      <c r="Z193" s="203">
        <v>0</v>
      </c>
      <c r="AA193" s="203">
        <v>5710</v>
      </c>
      <c r="AB193" s="203">
        <v>0</v>
      </c>
      <c r="AC193" s="203">
        <v>0</v>
      </c>
      <c r="AD193" s="203">
        <v>0</v>
      </c>
      <c r="AE193" s="203">
        <v>35239.177000000003</v>
      </c>
      <c r="AF193" s="203">
        <f t="shared" si="77"/>
        <v>0</v>
      </c>
      <c r="AG193" s="203"/>
      <c r="AH193" s="203"/>
      <c r="AI193" s="197">
        <f t="shared" si="73"/>
        <v>0</v>
      </c>
    </row>
    <row r="194" spans="1:35" s="198" customFormat="1" ht="26.1" customHeight="1">
      <c r="A194" s="191"/>
      <c r="B194" s="191"/>
      <c r="C194" s="201"/>
      <c r="D194" s="202"/>
      <c r="E194" s="207">
        <f>E195+E230</f>
        <v>37441378</v>
      </c>
      <c r="F194" s="203">
        <f>F195+F230</f>
        <v>4980973</v>
      </c>
      <c r="G194" s="203">
        <f>G195+G230</f>
        <v>32460405</v>
      </c>
      <c r="H194" s="207">
        <f>H195+H230</f>
        <v>29680495</v>
      </c>
      <c r="I194" s="203"/>
      <c r="J194" s="203"/>
      <c r="K194" s="203"/>
      <c r="L194" s="203"/>
      <c r="M194" s="203"/>
      <c r="N194" s="203"/>
      <c r="O194" s="205"/>
      <c r="P194" s="207">
        <f>P195+P230</f>
        <v>5389698</v>
      </c>
      <c r="Q194" s="203"/>
      <c r="R194" s="203"/>
      <c r="S194" s="203"/>
      <c r="T194" s="203"/>
      <c r="U194" s="203"/>
      <c r="V194" s="203"/>
      <c r="W194" s="203"/>
      <c r="X194" s="203"/>
      <c r="Y194" s="203"/>
      <c r="Z194" s="203"/>
      <c r="AA194" s="203"/>
      <c r="AB194" s="203"/>
      <c r="AC194" s="203"/>
      <c r="AD194" s="203"/>
      <c r="AE194" s="203"/>
      <c r="AF194" s="207">
        <f>AF195+AF230</f>
        <v>2371185</v>
      </c>
      <c r="AG194" s="203"/>
      <c r="AH194" s="203"/>
      <c r="AI194" s="197">
        <f t="shared" ref="AI194:AI230" si="78">IF(+F194+G194=E194,0,FALSE)</f>
        <v>0</v>
      </c>
    </row>
    <row r="195" spans="1:35" s="198" customFormat="1" ht="26.1" customHeight="1">
      <c r="A195" s="191"/>
      <c r="B195" s="191"/>
      <c r="C195" s="241"/>
      <c r="D195" s="202"/>
      <c r="E195" s="213">
        <f>SUM(E196:E229)</f>
        <v>27491335</v>
      </c>
      <c r="F195" s="203">
        <f>SUM(F196:F229)</f>
        <v>3739280</v>
      </c>
      <c r="G195" s="203">
        <f>SUM(G196:G229)</f>
        <v>23752055</v>
      </c>
      <c r="H195" s="213">
        <f t="shared" ref="H195:AH195" si="79">SUM(H196:H229)</f>
        <v>25845246</v>
      </c>
      <c r="I195" s="203">
        <f t="shared" si="79"/>
        <v>4611689</v>
      </c>
      <c r="J195" s="203">
        <f t="shared" si="79"/>
        <v>6041921</v>
      </c>
      <c r="K195" s="203">
        <f t="shared" si="79"/>
        <v>671300</v>
      </c>
      <c r="L195" s="203">
        <f t="shared" si="79"/>
        <v>8271000</v>
      </c>
      <c r="M195" s="203">
        <f t="shared" si="79"/>
        <v>313200</v>
      </c>
      <c r="N195" s="203">
        <f t="shared" si="79"/>
        <v>5876286</v>
      </c>
      <c r="O195" s="203">
        <f t="shared" si="79"/>
        <v>59850</v>
      </c>
      <c r="P195" s="213">
        <f>SUM(P196:P229)</f>
        <v>952386</v>
      </c>
      <c r="Q195" s="203">
        <f t="shared" si="79"/>
        <v>0</v>
      </c>
      <c r="R195" s="203">
        <f t="shared" si="79"/>
        <v>0</v>
      </c>
      <c r="S195" s="203">
        <f t="shared" si="79"/>
        <v>0</v>
      </c>
      <c r="T195" s="203">
        <f t="shared" si="79"/>
        <v>400000</v>
      </c>
      <c r="U195" s="203">
        <f t="shared" si="79"/>
        <v>0</v>
      </c>
      <c r="V195" s="203">
        <f t="shared" si="79"/>
        <v>0</v>
      </c>
      <c r="W195" s="203">
        <f t="shared" si="79"/>
        <v>0</v>
      </c>
      <c r="X195" s="203">
        <f t="shared" si="79"/>
        <v>101035</v>
      </c>
      <c r="Y195" s="203">
        <f t="shared" si="79"/>
        <v>45644</v>
      </c>
      <c r="Z195" s="203">
        <f t="shared" si="79"/>
        <v>0</v>
      </c>
      <c r="AA195" s="203">
        <f t="shared" si="79"/>
        <v>297700</v>
      </c>
      <c r="AB195" s="203">
        <f t="shared" si="79"/>
        <v>0</v>
      </c>
      <c r="AC195" s="203">
        <f t="shared" si="79"/>
        <v>0</v>
      </c>
      <c r="AD195" s="203">
        <f t="shared" si="79"/>
        <v>0</v>
      </c>
      <c r="AE195" s="203">
        <f t="shared" si="79"/>
        <v>108007</v>
      </c>
      <c r="AF195" s="213">
        <f t="shared" si="79"/>
        <v>693703</v>
      </c>
      <c r="AG195" s="203">
        <f t="shared" si="79"/>
        <v>103000</v>
      </c>
      <c r="AH195" s="203">
        <f t="shared" si="79"/>
        <v>590703</v>
      </c>
      <c r="AI195" s="197">
        <f t="shared" si="78"/>
        <v>0</v>
      </c>
    </row>
    <row r="196" spans="1:35" s="198" customFormat="1" ht="26.1" customHeight="1">
      <c r="A196" s="242" t="s">
        <v>10</v>
      </c>
      <c r="B196" s="192" t="s">
        <v>70</v>
      </c>
      <c r="C196" s="241" t="s">
        <v>212</v>
      </c>
      <c r="D196" s="202">
        <v>4</v>
      </c>
      <c r="E196" s="203">
        <f t="shared" ref="E196:E210" si="80">H196+P196+AF196</f>
        <v>14811</v>
      </c>
      <c r="F196" s="203">
        <v>0</v>
      </c>
      <c r="G196" s="203">
        <v>14811</v>
      </c>
      <c r="H196" s="203">
        <f t="shared" ref="H196:H229" si="81">SUM(I196:O196)</f>
        <v>0</v>
      </c>
      <c r="I196" s="203"/>
      <c r="J196" s="203"/>
      <c r="K196" s="203"/>
      <c r="L196" s="203"/>
      <c r="M196" s="203"/>
      <c r="N196" s="203"/>
      <c r="O196" s="205"/>
      <c r="P196" s="205">
        <f t="shared" ref="P196:P229" si="82">SUM(Q196:AE196)</f>
        <v>11000</v>
      </c>
      <c r="Q196" s="203"/>
      <c r="R196" s="203"/>
      <c r="S196" s="203"/>
      <c r="T196" s="203"/>
      <c r="U196" s="203"/>
      <c r="V196" s="203"/>
      <c r="W196" s="203"/>
      <c r="X196" s="203">
        <v>3000</v>
      </c>
      <c r="Y196" s="203">
        <v>4500</v>
      </c>
      <c r="Z196" s="203">
        <v>0</v>
      </c>
      <c r="AA196" s="203">
        <v>3500</v>
      </c>
      <c r="AB196" s="203"/>
      <c r="AC196" s="203"/>
      <c r="AD196" s="203"/>
      <c r="AE196" s="203"/>
      <c r="AF196" s="203">
        <f t="shared" ref="AF196:AF229" si="83">SUM(AG196:AH196)</f>
        <v>3811</v>
      </c>
      <c r="AG196" s="203">
        <v>0</v>
      </c>
      <c r="AH196" s="203">
        <v>3811</v>
      </c>
      <c r="AI196" s="197">
        <f t="shared" si="78"/>
        <v>0</v>
      </c>
    </row>
    <row r="197" spans="1:35" s="198" customFormat="1" ht="26.1" customHeight="1">
      <c r="A197" s="192" t="s">
        <v>10</v>
      </c>
      <c r="B197" s="192" t="s">
        <v>70</v>
      </c>
      <c r="C197" s="241" t="s">
        <v>609</v>
      </c>
      <c r="D197" s="202">
        <v>4</v>
      </c>
      <c r="E197" s="203">
        <f t="shared" si="80"/>
        <v>33188</v>
      </c>
      <c r="F197" s="203">
        <v>0</v>
      </c>
      <c r="G197" s="203">
        <v>33188</v>
      </c>
      <c r="H197" s="203">
        <f t="shared" si="81"/>
        <v>0</v>
      </c>
      <c r="I197" s="203"/>
      <c r="J197" s="203"/>
      <c r="K197" s="203"/>
      <c r="L197" s="203"/>
      <c r="M197" s="203"/>
      <c r="N197" s="203"/>
      <c r="O197" s="205"/>
      <c r="P197" s="205">
        <f t="shared" si="82"/>
        <v>33188</v>
      </c>
      <c r="Q197" s="203"/>
      <c r="R197" s="203"/>
      <c r="S197" s="203"/>
      <c r="T197" s="203"/>
      <c r="U197" s="203"/>
      <c r="V197" s="203"/>
      <c r="W197" s="203"/>
      <c r="X197" s="203">
        <v>0</v>
      </c>
      <c r="Y197" s="203">
        <v>33188</v>
      </c>
      <c r="Z197" s="203">
        <v>0</v>
      </c>
      <c r="AA197" s="203">
        <v>0</v>
      </c>
      <c r="AB197" s="203"/>
      <c r="AC197" s="203"/>
      <c r="AD197" s="203"/>
      <c r="AE197" s="203"/>
      <c r="AF197" s="203">
        <f t="shared" si="83"/>
        <v>0</v>
      </c>
      <c r="AG197" s="203">
        <v>0</v>
      </c>
      <c r="AH197" s="203">
        <v>0</v>
      </c>
      <c r="AI197" s="197">
        <f t="shared" si="78"/>
        <v>0</v>
      </c>
    </row>
    <row r="198" spans="1:35" s="198" customFormat="1" ht="26.1" customHeight="1">
      <c r="A198" s="192" t="s">
        <v>10</v>
      </c>
      <c r="B198" s="192" t="s">
        <v>70</v>
      </c>
      <c r="C198" s="241" t="s">
        <v>610</v>
      </c>
      <c r="D198" s="202">
        <v>4</v>
      </c>
      <c r="E198" s="203">
        <f>H198+P198+AF198</f>
        <v>86535</v>
      </c>
      <c r="F198" s="203">
        <v>0</v>
      </c>
      <c r="G198" s="203">
        <v>86535</v>
      </c>
      <c r="H198" s="203">
        <f t="shared" si="81"/>
        <v>0</v>
      </c>
      <c r="I198" s="203"/>
      <c r="J198" s="203"/>
      <c r="K198" s="203"/>
      <c r="L198" s="203"/>
      <c r="M198" s="203"/>
      <c r="N198" s="203"/>
      <c r="O198" s="205"/>
      <c r="P198" s="205">
        <f t="shared" si="82"/>
        <v>86535</v>
      </c>
      <c r="Q198" s="203"/>
      <c r="R198" s="203"/>
      <c r="S198" s="203"/>
      <c r="T198" s="203"/>
      <c r="U198" s="203"/>
      <c r="V198" s="203"/>
      <c r="W198" s="203"/>
      <c r="X198" s="203">
        <v>86535</v>
      </c>
      <c r="Y198" s="203">
        <v>0</v>
      </c>
      <c r="Z198" s="203">
        <v>0</v>
      </c>
      <c r="AA198" s="203">
        <v>0</v>
      </c>
      <c r="AB198" s="203"/>
      <c r="AC198" s="203"/>
      <c r="AD198" s="203"/>
      <c r="AE198" s="203"/>
      <c r="AF198" s="203">
        <f t="shared" si="83"/>
        <v>0</v>
      </c>
      <c r="AG198" s="203">
        <v>0</v>
      </c>
      <c r="AH198" s="203">
        <v>0</v>
      </c>
      <c r="AI198" s="197">
        <f>IF(+F198+G198=E198,0,FALSE)</f>
        <v>0</v>
      </c>
    </row>
    <row r="199" spans="1:35" s="198" customFormat="1" ht="26.1" customHeight="1">
      <c r="A199" s="192" t="s">
        <v>10</v>
      </c>
      <c r="B199" s="192" t="s">
        <v>70</v>
      </c>
      <c r="C199" s="241" t="s">
        <v>502</v>
      </c>
      <c r="D199" s="202">
        <v>4</v>
      </c>
      <c r="E199" s="203">
        <f t="shared" si="80"/>
        <v>25256</v>
      </c>
      <c r="F199" s="203">
        <v>25256</v>
      </c>
      <c r="G199" s="203">
        <v>0</v>
      </c>
      <c r="H199" s="203">
        <f t="shared" si="81"/>
        <v>0</v>
      </c>
      <c r="I199" s="203"/>
      <c r="J199" s="203"/>
      <c r="K199" s="203"/>
      <c r="L199" s="203"/>
      <c r="M199" s="203"/>
      <c r="N199" s="203"/>
      <c r="O199" s="205"/>
      <c r="P199" s="205">
        <f t="shared" si="82"/>
        <v>21956</v>
      </c>
      <c r="Q199" s="203"/>
      <c r="R199" s="203"/>
      <c r="S199" s="203"/>
      <c r="T199" s="203"/>
      <c r="U199" s="203"/>
      <c r="V199" s="203"/>
      <c r="W199" s="203"/>
      <c r="X199" s="203">
        <v>10000</v>
      </c>
      <c r="Y199" s="203">
        <v>7956</v>
      </c>
      <c r="Z199" s="203">
        <v>0</v>
      </c>
      <c r="AA199" s="203">
        <v>4000</v>
      </c>
      <c r="AB199" s="203"/>
      <c r="AC199" s="203"/>
      <c r="AD199" s="203"/>
      <c r="AE199" s="203"/>
      <c r="AF199" s="203">
        <f t="shared" si="83"/>
        <v>3300</v>
      </c>
      <c r="AG199" s="203">
        <v>0</v>
      </c>
      <c r="AH199" s="203">
        <v>3300</v>
      </c>
      <c r="AI199" s="197">
        <f t="shared" si="78"/>
        <v>0</v>
      </c>
    </row>
    <row r="200" spans="1:35" s="198" customFormat="1" ht="26.1" customHeight="1">
      <c r="A200" s="192" t="s">
        <v>10</v>
      </c>
      <c r="B200" s="192" t="s">
        <v>70</v>
      </c>
      <c r="C200" s="241" t="s">
        <v>211</v>
      </c>
      <c r="D200" s="202">
        <v>4</v>
      </c>
      <c r="E200" s="203">
        <f t="shared" si="80"/>
        <v>148707</v>
      </c>
      <c r="F200" s="203">
        <v>148707</v>
      </c>
      <c r="G200" s="203"/>
      <c r="H200" s="203">
        <f t="shared" si="81"/>
        <v>50850</v>
      </c>
      <c r="I200" s="203"/>
      <c r="J200" s="203"/>
      <c r="K200" s="203"/>
      <c r="L200" s="203"/>
      <c r="M200" s="203"/>
      <c r="N200" s="203"/>
      <c r="O200" s="205">
        <v>50850</v>
      </c>
      <c r="P200" s="205">
        <f t="shared" si="82"/>
        <v>91857</v>
      </c>
      <c r="Q200" s="203"/>
      <c r="R200" s="203"/>
      <c r="S200" s="203"/>
      <c r="T200" s="203"/>
      <c r="U200" s="203"/>
      <c r="V200" s="203"/>
      <c r="W200" s="203"/>
      <c r="X200" s="203"/>
      <c r="Y200" s="203"/>
      <c r="Z200" s="203"/>
      <c r="AA200" s="203"/>
      <c r="AB200" s="203"/>
      <c r="AC200" s="203"/>
      <c r="AD200" s="203"/>
      <c r="AE200" s="203">
        <v>91857</v>
      </c>
      <c r="AF200" s="203">
        <f t="shared" si="83"/>
        <v>6000</v>
      </c>
      <c r="AG200" s="203">
        <v>3000</v>
      </c>
      <c r="AH200" s="203">
        <v>3000</v>
      </c>
      <c r="AI200" s="197">
        <f t="shared" si="78"/>
        <v>0</v>
      </c>
    </row>
    <row r="201" spans="1:35" s="198" customFormat="1" ht="26.1" customHeight="1">
      <c r="A201" s="192" t="s">
        <v>10</v>
      </c>
      <c r="B201" s="192" t="s">
        <v>70</v>
      </c>
      <c r="C201" s="241" t="s">
        <v>506</v>
      </c>
      <c r="D201" s="202">
        <v>4</v>
      </c>
      <c r="E201" s="203">
        <f t="shared" si="80"/>
        <v>74642</v>
      </c>
      <c r="F201" s="203">
        <v>74642</v>
      </c>
      <c r="G201" s="203">
        <v>0</v>
      </c>
      <c r="H201" s="203">
        <f t="shared" si="81"/>
        <v>0</v>
      </c>
      <c r="I201" s="203"/>
      <c r="J201" s="203"/>
      <c r="K201" s="203"/>
      <c r="L201" s="203"/>
      <c r="M201" s="203"/>
      <c r="N201" s="203"/>
      <c r="O201" s="205"/>
      <c r="P201" s="205">
        <f t="shared" si="82"/>
        <v>7650</v>
      </c>
      <c r="Q201" s="203"/>
      <c r="R201" s="203"/>
      <c r="S201" s="203"/>
      <c r="T201" s="203"/>
      <c r="U201" s="203"/>
      <c r="V201" s="203"/>
      <c r="W201" s="203"/>
      <c r="X201" s="203"/>
      <c r="Y201" s="203"/>
      <c r="Z201" s="203"/>
      <c r="AA201" s="203"/>
      <c r="AB201" s="203"/>
      <c r="AC201" s="203"/>
      <c r="AD201" s="203"/>
      <c r="AE201" s="203">
        <v>7650</v>
      </c>
      <c r="AF201" s="203">
        <f t="shared" si="83"/>
        <v>66992</v>
      </c>
      <c r="AG201" s="203">
        <v>0</v>
      </c>
      <c r="AH201" s="203">
        <v>66992</v>
      </c>
      <c r="AI201" s="197">
        <f t="shared" si="78"/>
        <v>0</v>
      </c>
    </row>
    <row r="202" spans="1:35" s="198" customFormat="1" ht="26.1" customHeight="1">
      <c r="A202" s="192" t="s">
        <v>10</v>
      </c>
      <c r="B202" s="192" t="s">
        <v>70</v>
      </c>
      <c r="C202" s="241" t="s">
        <v>611</v>
      </c>
      <c r="D202" s="202">
        <v>4</v>
      </c>
      <c r="E202" s="203">
        <f t="shared" si="80"/>
        <v>5900</v>
      </c>
      <c r="F202" s="203">
        <v>5900</v>
      </c>
      <c r="G202" s="203"/>
      <c r="H202" s="203">
        <f t="shared" si="81"/>
        <v>0</v>
      </c>
      <c r="I202" s="203"/>
      <c r="J202" s="203"/>
      <c r="K202" s="203"/>
      <c r="L202" s="203"/>
      <c r="M202" s="203"/>
      <c r="N202" s="203"/>
      <c r="O202" s="205"/>
      <c r="P202" s="205">
        <f t="shared" si="82"/>
        <v>2700</v>
      </c>
      <c r="Q202" s="203"/>
      <c r="R202" s="203"/>
      <c r="S202" s="203"/>
      <c r="T202" s="203"/>
      <c r="U202" s="203"/>
      <c r="V202" s="203"/>
      <c r="W202" s="203"/>
      <c r="X202" s="203">
        <v>1500</v>
      </c>
      <c r="Y202" s="203"/>
      <c r="Z202" s="203"/>
      <c r="AA202" s="203">
        <v>1200</v>
      </c>
      <c r="AB202" s="203"/>
      <c r="AC202" s="203"/>
      <c r="AD202" s="203"/>
      <c r="AE202" s="203"/>
      <c r="AF202" s="203">
        <f t="shared" si="83"/>
        <v>3200</v>
      </c>
      <c r="AG202" s="203"/>
      <c r="AH202" s="203">
        <v>3200</v>
      </c>
      <c r="AI202" s="197">
        <f t="shared" si="78"/>
        <v>0</v>
      </c>
    </row>
    <row r="203" spans="1:35" s="198" customFormat="1" ht="26.1" customHeight="1">
      <c r="A203" s="192" t="s">
        <v>10</v>
      </c>
      <c r="B203" s="192" t="s">
        <v>70</v>
      </c>
      <c r="C203" s="241" t="s">
        <v>612</v>
      </c>
      <c r="D203" s="202">
        <v>9</v>
      </c>
      <c r="E203" s="203">
        <f t="shared" si="80"/>
        <v>3475775</v>
      </c>
      <c r="F203" s="203">
        <v>3475775</v>
      </c>
      <c r="G203" s="203"/>
      <c r="H203" s="203">
        <f t="shared" si="81"/>
        <v>3475775</v>
      </c>
      <c r="I203" s="203">
        <v>3153689</v>
      </c>
      <c r="J203" s="203"/>
      <c r="K203" s="203"/>
      <c r="L203" s="203"/>
      <c r="M203" s="203"/>
      <c r="N203" s="203">
        <v>322086</v>
      </c>
      <c r="O203" s="205"/>
      <c r="P203" s="205">
        <f t="shared" si="82"/>
        <v>0</v>
      </c>
      <c r="Q203" s="203"/>
      <c r="R203" s="203"/>
      <c r="S203" s="203"/>
      <c r="T203" s="203"/>
      <c r="U203" s="203"/>
      <c r="V203" s="203"/>
      <c r="W203" s="203"/>
      <c r="X203" s="203"/>
      <c r="Y203" s="203"/>
      <c r="Z203" s="203"/>
      <c r="AA203" s="203"/>
      <c r="AB203" s="203"/>
      <c r="AC203" s="203"/>
      <c r="AD203" s="203"/>
      <c r="AE203" s="203"/>
      <c r="AF203" s="203">
        <f t="shared" si="83"/>
        <v>0</v>
      </c>
      <c r="AG203" s="203"/>
      <c r="AH203" s="203"/>
      <c r="AI203" s="197">
        <f t="shared" si="78"/>
        <v>0</v>
      </c>
    </row>
    <row r="204" spans="1:35" s="198" customFormat="1" ht="26.1" customHeight="1">
      <c r="A204" s="192" t="s">
        <v>10</v>
      </c>
      <c r="B204" s="192" t="s">
        <v>70</v>
      </c>
      <c r="C204" s="241" t="s">
        <v>217</v>
      </c>
      <c r="D204" s="202">
        <v>4</v>
      </c>
      <c r="E204" s="203">
        <f t="shared" si="80"/>
        <v>0</v>
      </c>
      <c r="F204" s="203"/>
      <c r="G204" s="203"/>
      <c r="H204" s="203">
        <f t="shared" si="81"/>
        <v>0</v>
      </c>
      <c r="I204" s="203"/>
      <c r="J204" s="203"/>
      <c r="K204" s="203"/>
      <c r="L204" s="203"/>
      <c r="M204" s="203"/>
      <c r="N204" s="203">
        <v>0</v>
      </c>
      <c r="O204" s="205"/>
      <c r="P204" s="205">
        <f t="shared" si="82"/>
        <v>0</v>
      </c>
      <c r="Q204" s="203"/>
      <c r="R204" s="203"/>
      <c r="S204" s="203"/>
      <c r="T204" s="203"/>
      <c r="U204" s="203"/>
      <c r="V204" s="203"/>
      <c r="W204" s="203"/>
      <c r="X204" s="203"/>
      <c r="Y204" s="203"/>
      <c r="Z204" s="203"/>
      <c r="AA204" s="203"/>
      <c r="AB204" s="203"/>
      <c r="AC204" s="203"/>
      <c r="AD204" s="203"/>
      <c r="AE204" s="203"/>
      <c r="AF204" s="203">
        <f t="shared" si="83"/>
        <v>0</v>
      </c>
      <c r="AG204" s="203"/>
      <c r="AH204" s="203"/>
      <c r="AI204" s="197">
        <f t="shared" si="78"/>
        <v>0</v>
      </c>
    </row>
    <row r="205" spans="1:35" s="198" customFormat="1" ht="26.1" customHeight="1">
      <c r="A205" s="192" t="s">
        <v>10</v>
      </c>
      <c r="B205" s="192" t="s">
        <v>70</v>
      </c>
      <c r="C205" s="241" t="s">
        <v>218</v>
      </c>
      <c r="D205" s="202">
        <v>4</v>
      </c>
      <c r="E205" s="203">
        <f t="shared" si="80"/>
        <v>345000</v>
      </c>
      <c r="F205" s="203"/>
      <c r="G205" s="203">
        <v>345000</v>
      </c>
      <c r="H205" s="203">
        <f t="shared" si="81"/>
        <v>345000</v>
      </c>
      <c r="I205" s="203"/>
      <c r="J205" s="203"/>
      <c r="K205" s="203"/>
      <c r="L205" s="203"/>
      <c r="M205" s="203"/>
      <c r="N205" s="203">
        <v>345000</v>
      </c>
      <c r="O205" s="205"/>
      <c r="P205" s="205">
        <f t="shared" si="82"/>
        <v>0</v>
      </c>
      <c r="Q205" s="203"/>
      <c r="R205" s="203"/>
      <c r="S205" s="203"/>
      <c r="T205" s="203"/>
      <c r="U205" s="203"/>
      <c r="V205" s="203"/>
      <c r="W205" s="203"/>
      <c r="X205" s="203"/>
      <c r="Y205" s="203"/>
      <c r="Z205" s="203"/>
      <c r="AA205" s="203"/>
      <c r="AB205" s="203"/>
      <c r="AC205" s="203"/>
      <c r="AD205" s="203"/>
      <c r="AE205" s="203"/>
      <c r="AF205" s="203">
        <f t="shared" si="83"/>
        <v>0</v>
      </c>
      <c r="AG205" s="203"/>
      <c r="AH205" s="203"/>
      <c r="AI205" s="197">
        <f t="shared" si="78"/>
        <v>0</v>
      </c>
    </row>
    <row r="206" spans="1:35" s="198" customFormat="1" ht="26.1" customHeight="1">
      <c r="A206" s="192" t="s">
        <v>10</v>
      </c>
      <c r="B206" s="192" t="s">
        <v>70</v>
      </c>
      <c r="C206" s="241" t="s">
        <v>219</v>
      </c>
      <c r="D206" s="202">
        <v>4</v>
      </c>
      <c r="E206" s="203">
        <f t="shared" si="80"/>
        <v>100000</v>
      </c>
      <c r="F206" s="203"/>
      <c r="G206" s="203">
        <v>100000</v>
      </c>
      <c r="H206" s="203">
        <f t="shared" si="81"/>
        <v>100000</v>
      </c>
      <c r="I206" s="203">
        <v>100000</v>
      </c>
      <c r="J206" s="203"/>
      <c r="K206" s="203"/>
      <c r="L206" s="203"/>
      <c r="M206" s="203"/>
      <c r="N206" s="203"/>
      <c r="O206" s="205"/>
      <c r="P206" s="205">
        <f t="shared" si="82"/>
        <v>0</v>
      </c>
      <c r="Q206" s="203"/>
      <c r="R206" s="203"/>
      <c r="S206" s="203"/>
      <c r="T206" s="203"/>
      <c r="U206" s="203"/>
      <c r="V206" s="203"/>
      <c r="W206" s="203"/>
      <c r="X206" s="203"/>
      <c r="Y206" s="203"/>
      <c r="Z206" s="203"/>
      <c r="AA206" s="203"/>
      <c r="AB206" s="203"/>
      <c r="AC206" s="203"/>
      <c r="AD206" s="203"/>
      <c r="AE206" s="203"/>
      <c r="AF206" s="203">
        <f t="shared" si="83"/>
        <v>0</v>
      </c>
      <c r="AG206" s="203"/>
      <c r="AH206" s="203"/>
      <c r="AI206" s="197">
        <f t="shared" si="78"/>
        <v>0</v>
      </c>
    </row>
    <row r="207" spans="1:35" s="198" customFormat="1" ht="26.1" customHeight="1">
      <c r="A207" s="192" t="s">
        <v>10</v>
      </c>
      <c r="B207" s="192" t="s">
        <v>70</v>
      </c>
      <c r="C207" s="241" t="s">
        <v>220</v>
      </c>
      <c r="D207" s="202">
        <v>4</v>
      </c>
      <c r="E207" s="203">
        <f t="shared" si="80"/>
        <v>444000</v>
      </c>
      <c r="F207" s="203"/>
      <c r="G207" s="203">
        <v>444000</v>
      </c>
      <c r="H207" s="203">
        <f t="shared" si="81"/>
        <v>444000</v>
      </c>
      <c r="I207" s="203">
        <v>444000</v>
      </c>
      <c r="J207" s="203"/>
      <c r="K207" s="203"/>
      <c r="L207" s="203"/>
      <c r="M207" s="203"/>
      <c r="N207" s="203"/>
      <c r="O207" s="205"/>
      <c r="P207" s="205">
        <f t="shared" si="82"/>
        <v>0</v>
      </c>
      <c r="Q207" s="203"/>
      <c r="R207" s="203"/>
      <c r="S207" s="203"/>
      <c r="T207" s="203"/>
      <c r="U207" s="203"/>
      <c r="V207" s="203"/>
      <c r="W207" s="203"/>
      <c r="X207" s="203"/>
      <c r="Y207" s="203"/>
      <c r="Z207" s="203"/>
      <c r="AA207" s="203"/>
      <c r="AB207" s="203"/>
      <c r="AC207" s="203"/>
      <c r="AD207" s="203"/>
      <c r="AE207" s="203"/>
      <c r="AF207" s="203">
        <f t="shared" si="83"/>
        <v>0</v>
      </c>
      <c r="AG207" s="203"/>
      <c r="AH207" s="203"/>
      <c r="AI207" s="197">
        <f t="shared" si="78"/>
        <v>0</v>
      </c>
    </row>
    <row r="208" spans="1:35" s="198" customFormat="1" ht="26.1" customHeight="1">
      <c r="A208" s="192" t="s">
        <v>10</v>
      </c>
      <c r="B208" s="192" t="s">
        <v>70</v>
      </c>
      <c r="C208" s="241" t="s">
        <v>221</v>
      </c>
      <c r="D208" s="202">
        <v>4</v>
      </c>
      <c r="E208" s="203">
        <f t="shared" si="80"/>
        <v>876000</v>
      </c>
      <c r="F208" s="203"/>
      <c r="G208" s="203">
        <v>876000</v>
      </c>
      <c r="H208" s="203">
        <f t="shared" si="81"/>
        <v>876000</v>
      </c>
      <c r="I208" s="203">
        <v>876000</v>
      </c>
      <c r="J208" s="203"/>
      <c r="K208" s="203"/>
      <c r="L208" s="203"/>
      <c r="M208" s="203"/>
      <c r="N208" s="203"/>
      <c r="O208" s="205"/>
      <c r="P208" s="205">
        <f t="shared" si="82"/>
        <v>0</v>
      </c>
      <c r="Q208" s="203"/>
      <c r="R208" s="203"/>
      <c r="S208" s="203"/>
      <c r="T208" s="203"/>
      <c r="U208" s="203"/>
      <c r="V208" s="203"/>
      <c r="W208" s="203"/>
      <c r="X208" s="203"/>
      <c r="Y208" s="203"/>
      <c r="Z208" s="203"/>
      <c r="AA208" s="203"/>
      <c r="AB208" s="203"/>
      <c r="AC208" s="203"/>
      <c r="AD208" s="203"/>
      <c r="AE208" s="203"/>
      <c r="AF208" s="203">
        <f t="shared" si="83"/>
        <v>0</v>
      </c>
      <c r="AG208" s="203"/>
      <c r="AH208" s="203"/>
      <c r="AI208" s="197">
        <f t="shared" si="78"/>
        <v>0</v>
      </c>
    </row>
    <row r="209" spans="1:35" s="198" customFormat="1" ht="26.1" customHeight="1">
      <c r="A209" s="192" t="s">
        <v>10</v>
      </c>
      <c r="B209" s="192" t="s">
        <v>70</v>
      </c>
      <c r="C209" s="241" t="s">
        <v>222</v>
      </c>
      <c r="D209" s="202">
        <v>4</v>
      </c>
      <c r="E209" s="203">
        <f t="shared" si="80"/>
        <v>0</v>
      </c>
      <c r="F209" s="203"/>
      <c r="G209" s="203"/>
      <c r="H209" s="203">
        <f t="shared" si="81"/>
        <v>0</v>
      </c>
      <c r="I209" s="203"/>
      <c r="J209" s="203"/>
      <c r="K209" s="203"/>
      <c r="L209" s="203"/>
      <c r="M209" s="203"/>
      <c r="N209" s="203"/>
      <c r="O209" s="205"/>
      <c r="P209" s="205">
        <f t="shared" si="82"/>
        <v>0</v>
      </c>
      <c r="Q209" s="203"/>
      <c r="R209" s="203"/>
      <c r="S209" s="203"/>
      <c r="T209" s="203"/>
      <c r="U209" s="203"/>
      <c r="V209" s="203"/>
      <c r="W209" s="203"/>
      <c r="X209" s="203"/>
      <c r="Y209" s="203"/>
      <c r="Z209" s="203"/>
      <c r="AA209" s="203"/>
      <c r="AB209" s="203"/>
      <c r="AC209" s="203"/>
      <c r="AD209" s="203"/>
      <c r="AE209" s="203"/>
      <c r="AF209" s="203">
        <f t="shared" si="83"/>
        <v>0</v>
      </c>
      <c r="AG209" s="203"/>
      <c r="AH209" s="203"/>
      <c r="AI209" s="197">
        <f t="shared" si="78"/>
        <v>0</v>
      </c>
    </row>
    <row r="210" spans="1:35" s="198" customFormat="1" ht="26.1" customHeight="1">
      <c r="A210" s="192" t="s">
        <v>10</v>
      </c>
      <c r="B210" s="192" t="s">
        <v>70</v>
      </c>
      <c r="C210" s="241" t="s">
        <v>216</v>
      </c>
      <c r="D210" s="202">
        <v>4</v>
      </c>
      <c r="E210" s="203">
        <f t="shared" si="80"/>
        <v>3254000</v>
      </c>
      <c r="F210" s="203"/>
      <c r="G210" s="203">
        <v>3254000</v>
      </c>
      <c r="H210" s="203">
        <f t="shared" si="81"/>
        <v>3254000</v>
      </c>
      <c r="I210" s="203"/>
      <c r="J210" s="203">
        <v>3254000</v>
      </c>
      <c r="K210" s="203"/>
      <c r="L210" s="203"/>
      <c r="M210" s="203"/>
      <c r="N210" s="203"/>
      <c r="O210" s="205"/>
      <c r="P210" s="205">
        <f t="shared" si="82"/>
        <v>0</v>
      </c>
      <c r="Q210" s="203"/>
      <c r="R210" s="203"/>
      <c r="S210" s="203"/>
      <c r="T210" s="203"/>
      <c r="U210" s="203"/>
      <c r="V210" s="203"/>
      <c r="W210" s="203"/>
      <c r="X210" s="203"/>
      <c r="Y210" s="203"/>
      <c r="Z210" s="203"/>
      <c r="AA210" s="203"/>
      <c r="AB210" s="203"/>
      <c r="AC210" s="203"/>
      <c r="AD210" s="203"/>
      <c r="AE210" s="203"/>
      <c r="AF210" s="203">
        <f t="shared" si="83"/>
        <v>0</v>
      </c>
      <c r="AG210" s="203"/>
      <c r="AH210" s="203"/>
      <c r="AI210" s="197">
        <f t="shared" si="78"/>
        <v>0</v>
      </c>
    </row>
    <row r="211" spans="1:35" s="198" customFormat="1" ht="26.1" customHeight="1">
      <c r="A211" s="192" t="s">
        <v>10</v>
      </c>
      <c r="B211" s="192" t="s">
        <v>70</v>
      </c>
      <c r="C211" s="241" t="s">
        <v>214</v>
      </c>
      <c r="D211" s="202">
        <v>4</v>
      </c>
      <c r="E211" s="203">
        <f>SUM(H211,P211,AF211)</f>
        <v>206969</v>
      </c>
      <c r="F211" s="203"/>
      <c r="G211" s="203">
        <v>206969</v>
      </c>
      <c r="H211" s="203">
        <f t="shared" si="81"/>
        <v>206969</v>
      </c>
      <c r="I211" s="203"/>
      <c r="J211" s="203">
        <v>206969</v>
      </c>
      <c r="K211" s="203"/>
      <c r="L211" s="203"/>
      <c r="M211" s="203"/>
      <c r="N211" s="203"/>
      <c r="O211" s="205"/>
      <c r="P211" s="205">
        <f t="shared" si="82"/>
        <v>0</v>
      </c>
      <c r="Q211" s="203"/>
      <c r="R211" s="203"/>
      <c r="S211" s="203"/>
      <c r="T211" s="203"/>
      <c r="U211" s="203"/>
      <c r="V211" s="203"/>
      <c r="W211" s="203"/>
      <c r="X211" s="203"/>
      <c r="Y211" s="203"/>
      <c r="Z211" s="203"/>
      <c r="AA211" s="203"/>
      <c r="AB211" s="203"/>
      <c r="AC211" s="203"/>
      <c r="AD211" s="203"/>
      <c r="AE211" s="203"/>
      <c r="AF211" s="203">
        <f t="shared" si="83"/>
        <v>0</v>
      </c>
      <c r="AG211" s="203"/>
      <c r="AH211" s="203"/>
      <c r="AI211" s="197">
        <f t="shared" si="78"/>
        <v>0</v>
      </c>
    </row>
    <row r="212" spans="1:35" s="198" customFormat="1" ht="26.1" customHeight="1">
      <c r="A212" s="192" t="s">
        <v>10</v>
      </c>
      <c r="B212" s="192" t="s">
        <v>70</v>
      </c>
      <c r="C212" s="241" t="s">
        <v>215</v>
      </c>
      <c r="D212" s="202">
        <v>4</v>
      </c>
      <c r="E212" s="203">
        <f t="shared" ref="E212:E217" si="84">SUM(H212,P212,AF212)</f>
        <v>98252</v>
      </c>
      <c r="F212" s="203"/>
      <c r="G212" s="203">
        <v>98252</v>
      </c>
      <c r="H212" s="203">
        <f t="shared" si="81"/>
        <v>98252</v>
      </c>
      <c r="I212" s="203"/>
      <c r="J212" s="203">
        <v>98252</v>
      </c>
      <c r="K212" s="203"/>
      <c r="L212" s="203"/>
      <c r="M212" s="203"/>
      <c r="N212" s="203"/>
      <c r="O212" s="205"/>
      <c r="P212" s="205">
        <f t="shared" si="82"/>
        <v>0</v>
      </c>
      <c r="Q212" s="203"/>
      <c r="R212" s="203"/>
      <c r="S212" s="203"/>
      <c r="T212" s="203"/>
      <c r="U212" s="203"/>
      <c r="V212" s="203"/>
      <c r="W212" s="203"/>
      <c r="X212" s="203"/>
      <c r="Y212" s="203"/>
      <c r="Z212" s="203"/>
      <c r="AA212" s="203"/>
      <c r="AB212" s="203"/>
      <c r="AC212" s="203"/>
      <c r="AD212" s="203"/>
      <c r="AE212" s="203"/>
      <c r="AF212" s="203">
        <f t="shared" si="83"/>
        <v>0</v>
      </c>
      <c r="AG212" s="203"/>
      <c r="AH212" s="203"/>
      <c r="AI212" s="197">
        <f t="shared" si="78"/>
        <v>0</v>
      </c>
    </row>
    <row r="213" spans="1:35" s="198" customFormat="1" ht="26.1" customHeight="1">
      <c r="A213" s="192" t="s">
        <v>10</v>
      </c>
      <c r="B213" s="192" t="s">
        <v>70</v>
      </c>
      <c r="C213" s="241" t="s">
        <v>503</v>
      </c>
      <c r="D213" s="202">
        <v>4</v>
      </c>
      <c r="E213" s="203">
        <f t="shared" si="84"/>
        <v>500000</v>
      </c>
      <c r="F213" s="203"/>
      <c r="G213" s="203">
        <v>500000</v>
      </c>
      <c r="H213" s="203">
        <f t="shared" si="81"/>
        <v>500000</v>
      </c>
      <c r="I213" s="203"/>
      <c r="J213" s="203">
        <v>500000</v>
      </c>
      <c r="K213" s="203"/>
      <c r="L213" s="203"/>
      <c r="M213" s="203"/>
      <c r="N213" s="203"/>
      <c r="O213" s="205"/>
      <c r="P213" s="205">
        <f t="shared" si="82"/>
        <v>0</v>
      </c>
      <c r="Q213" s="203"/>
      <c r="R213" s="203"/>
      <c r="S213" s="203"/>
      <c r="T213" s="203"/>
      <c r="U213" s="203"/>
      <c r="V213" s="203"/>
      <c r="W213" s="203"/>
      <c r="X213" s="203"/>
      <c r="Y213" s="203"/>
      <c r="Z213" s="203"/>
      <c r="AA213" s="203"/>
      <c r="AB213" s="203"/>
      <c r="AC213" s="203"/>
      <c r="AD213" s="203"/>
      <c r="AE213" s="203"/>
      <c r="AF213" s="203">
        <f t="shared" si="83"/>
        <v>0</v>
      </c>
      <c r="AG213" s="203"/>
      <c r="AH213" s="203"/>
      <c r="AI213" s="197">
        <f t="shared" si="78"/>
        <v>0</v>
      </c>
    </row>
    <row r="214" spans="1:35" s="198" customFormat="1" ht="26.1" customHeight="1">
      <c r="A214" s="192" t="s">
        <v>10</v>
      </c>
      <c r="B214" s="192" t="s">
        <v>70</v>
      </c>
      <c r="C214" s="241" t="s">
        <v>504</v>
      </c>
      <c r="D214" s="202">
        <v>4</v>
      </c>
      <c r="E214" s="203">
        <f t="shared" si="84"/>
        <v>17500</v>
      </c>
      <c r="F214" s="203"/>
      <c r="G214" s="203">
        <v>17500</v>
      </c>
      <c r="H214" s="203">
        <f t="shared" si="81"/>
        <v>9000</v>
      </c>
      <c r="I214" s="203"/>
      <c r="J214" s="203"/>
      <c r="K214" s="203"/>
      <c r="L214" s="203"/>
      <c r="M214" s="203"/>
      <c r="N214" s="203"/>
      <c r="O214" s="205">
        <v>9000</v>
      </c>
      <c r="P214" s="205">
        <f t="shared" si="82"/>
        <v>8500</v>
      </c>
      <c r="Q214" s="203"/>
      <c r="R214" s="203"/>
      <c r="S214" s="203"/>
      <c r="T214" s="203"/>
      <c r="U214" s="203"/>
      <c r="V214" s="203"/>
      <c r="W214" s="203"/>
      <c r="X214" s="203"/>
      <c r="Y214" s="203"/>
      <c r="Z214" s="203"/>
      <c r="AA214" s="203"/>
      <c r="AB214" s="203"/>
      <c r="AC214" s="203"/>
      <c r="AD214" s="203"/>
      <c r="AE214" s="203">
        <v>8500</v>
      </c>
      <c r="AF214" s="203">
        <f t="shared" si="83"/>
        <v>0</v>
      </c>
      <c r="AG214" s="203"/>
      <c r="AH214" s="203"/>
      <c r="AI214" s="197">
        <f t="shared" si="78"/>
        <v>0</v>
      </c>
    </row>
    <row r="215" spans="1:35" s="198" customFormat="1" ht="26.1" customHeight="1">
      <c r="A215" s="192" t="s">
        <v>10</v>
      </c>
      <c r="B215" s="192" t="s">
        <v>70</v>
      </c>
      <c r="C215" s="241" t="s">
        <v>613</v>
      </c>
      <c r="D215" s="202">
        <v>4</v>
      </c>
      <c r="E215" s="203">
        <f t="shared" si="84"/>
        <v>1454000</v>
      </c>
      <c r="F215" s="203"/>
      <c r="G215" s="203">
        <v>1454000</v>
      </c>
      <c r="H215" s="203">
        <f t="shared" si="81"/>
        <v>1454000</v>
      </c>
      <c r="I215" s="203"/>
      <c r="J215" s="203">
        <v>1454000</v>
      </c>
      <c r="K215" s="203"/>
      <c r="L215" s="203"/>
      <c r="M215" s="203"/>
      <c r="N215" s="203"/>
      <c r="O215" s="205"/>
      <c r="P215" s="205">
        <f t="shared" si="82"/>
        <v>0</v>
      </c>
      <c r="Q215" s="203"/>
      <c r="R215" s="203"/>
      <c r="S215" s="203"/>
      <c r="T215" s="203"/>
      <c r="U215" s="203"/>
      <c r="V215" s="203"/>
      <c r="W215" s="203"/>
      <c r="X215" s="203"/>
      <c r="Y215" s="203"/>
      <c r="Z215" s="203"/>
      <c r="AA215" s="203"/>
      <c r="AB215" s="203"/>
      <c r="AC215" s="203"/>
      <c r="AD215" s="203"/>
      <c r="AE215" s="203"/>
      <c r="AF215" s="203">
        <f t="shared" si="83"/>
        <v>0</v>
      </c>
      <c r="AG215" s="203"/>
      <c r="AH215" s="203"/>
      <c r="AI215" s="197">
        <f t="shared" si="78"/>
        <v>0</v>
      </c>
    </row>
    <row r="216" spans="1:35" s="198" customFormat="1" ht="26.1" customHeight="1">
      <c r="A216" s="192" t="s">
        <v>10</v>
      </c>
      <c r="B216" s="192" t="s">
        <v>70</v>
      </c>
      <c r="C216" s="241" t="s">
        <v>614</v>
      </c>
      <c r="D216" s="202">
        <v>4</v>
      </c>
      <c r="E216" s="203">
        <f t="shared" si="84"/>
        <v>500000</v>
      </c>
      <c r="F216" s="203"/>
      <c r="G216" s="203">
        <v>500000</v>
      </c>
      <c r="H216" s="203">
        <f t="shared" si="81"/>
        <v>500000</v>
      </c>
      <c r="I216" s="203"/>
      <c r="J216" s="203">
        <v>500000</v>
      </c>
      <c r="K216" s="203"/>
      <c r="L216" s="203"/>
      <c r="M216" s="203"/>
      <c r="N216" s="203"/>
      <c r="O216" s="205"/>
      <c r="P216" s="205">
        <f t="shared" si="82"/>
        <v>0</v>
      </c>
      <c r="Q216" s="203"/>
      <c r="R216" s="203"/>
      <c r="S216" s="203"/>
      <c r="T216" s="203"/>
      <c r="U216" s="203"/>
      <c r="V216" s="203"/>
      <c r="W216" s="203"/>
      <c r="X216" s="203"/>
      <c r="Y216" s="203"/>
      <c r="Z216" s="203"/>
      <c r="AA216" s="203"/>
      <c r="AB216" s="203"/>
      <c r="AC216" s="203"/>
      <c r="AD216" s="203"/>
      <c r="AE216" s="203"/>
      <c r="AF216" s="203">
        <f t="shared" si="83"/>
        <v>0</v>
      </c>
      <c r="AG216" s="203"/>
      <c r="AH216" s="203"/>
      <c r="AI216" s="197">
        <f t="shared" si="78"/>
        <v>0</v>
      </c>
    </row>
    <row r="217" spans="1:35" s="198" customFormat="1" ht="26.1" customHeight="1">
      <c r="A217" s="192" t="s">
        <v>10</v>
      </c>
      <c r="B217" s="192" t="s">
        <v>70</v>
      </c>
      <c r="C217" s="241" t="s">
        <v>615</v>
      </c>
      <c r="D217" s="202">
        <v>4</v>
      </c>
      <c r="E217" s="203">
        <f t="shared" si="84"/>
        <v>38000</v>
      </c>
      <c r="F217" s="203"/>
      <c r="G217" s="203">
        <v>38000</v>
      </c>
      <c r="H217" s="203">
        <f t="shared" si="81"/>
        <v>38000</v>
      </c>
      <c r="I217" s="203">
        <v>38000</v>
      </c>
      <c r="J217" s="203"/>
      <c r="K217" s="203"/>
      <c r="L217" s="203"/>
      <c r="M217" s="203"/>
      <c r="N217" s="203"/>
      <c r="O217" s="205"/>
      <c r="P217" s="205">
        <f t="shared" si="82"/>
        <v>0</v>
      </c>
      <c r="Q217" s="203"/>
      <c r="R217" s="203"/>
      <c r="S217" s="203"/>
      <c r="T217" s="203"/>
      <c r="U217" s="203"/>
      <c r="V217" s="203"/>
      <c r="W217" s="203"/>
      <c r="X217" s="203"/>
      <c r="Y217" s="203"/>
      <c r="Z217" s="203"/>
      <c r="AA217" s="203"/>
      <c r="AB217" s="203"/>
      <c r="AC217" s="203"/>
      <c r="AD217" s="203"/>
      <c r="AE217" s="203"/>
      <c r="AF217" s="203">
        <f t="shared" si="83"/>
        <v>0</v>
      </c>
      <c r="AG217" s="203"/>
      <c r="AH217" s="203"/>
      <c r="AI217" s="197">
        <f t="shared" si="78"/>
        <v>0</v>
      </c>
    </row>
    <row r="218" spans="1:35" s="198" customFormat="1" ht="26.1" customHeight="1">
      <c r="A218" s="192" t="s">
        <v>10</v>
      </c>
      <c r="B218" s="192" t="s">
        <v>477</v>
      </c>
      <c r="C218" s="241" t="s">
        <v>230</v>
      </c>
      <c r="D218" s="202">
        <v>4</v>
      </c>
      <c r="E218" s="203">
        <f t="shared" ref="E218:E229" si="85">H218+P218+AF218</f>
        <v>5776000</v>
      </c>
      <c r="F218" s="203"/>
      <c r="G218" s="203">
        <v>5776000</v>
      </c>
      <c r="H218" s="203">
        <f t="shared" si="81"/>
        <v>5776000</v>
      </c>
      <c r="I218" s="203"/>
      <c r="J218" s="203"/>
      <c r="K218" s="203"/>
      <c r="L218" s="203">
        <v>5776000</v>
      </c>
      <c r="M218" s="203"/>
      <c r="N218" s="203"/>
      <c r="O218" s="205"/>
      <c r="P218" s="205">
        <f t="shared" si="82"/>
        <v>0</v>
      </c>
      <c r="Q218" s="203"/>
      <c r="R218" s="203"/>
      <c r="S218" s="203"/>
      <c r="T218" s="203"/>
      <c r="U218" s="203"/>
      <c r="V218" s="203"/>
      <c r="W218" s="203"/>
      <c r="X218" s="203"/>
      <c r="Y218" s="203"/>
      <c r="Z218" s="203"/>
      <c r="AA218" s="203"/>
      <c r="AB218" s="203"/>
      <c r="AC218" s="203"/>
      <c r="AD218" s="203"/>
      <c r="AE218" s="203"/>
      <c r="AF218" s="203">
        <f t="shared" si="83"/>
        <v>0</v>
      </c>
      <c r="AG218" s="203"/>
      <c r="AH218" s="203"/>
      <c r="AI218" s="197">
        <f t="shared" si="78"/>
        <v>0</v>
      </c>
    </row>
    <row r="219" spans="1:35" s="198" customFormat="1" ht="26.1" customHeight="1">
      <c r="A219" s="192" t="s">
        <v>10</v>
      </c>
      <c r="B219" s="192" t="s">
        <v>476</v>
      </c>
      <c r="C219" s="241" t="s">
        <v>223</v>
      </c>
      <c r="D219" s="202">
        <v>4</v>
      </c>
      <c r="E219" s="203">
        <f t="shared" si="85"/>
        <v>2495000</v>
      </c>
      <c r="F219" s="203"/>
      <c r="G219" s="203">
        <v>2495000</v>
      </c>
      <c r="H219" s="203">
        <f t="shared" si="81"/>
        <v>2495000</v>
      </c>
      <c r="I219" s="203"/>
      <c r="J219" s="203"/>
      <c r="K219" s="203"/>
      <c r="L219" s="203">
        <v>2495000</v>
      </c>
      <c r="M219" s="203"/>
      <c r="N219" s="203"/>
      <c r="O219" s="205"/>
      <c r="P219" s="205">
        <f t="shared" si="82"/>
        <v>0</v>
      </c>
      <c r="Q219" s="203"/>
      <c r="R219" s="203"/>
      <c r="S219" s="203"/>
      <c r="T219" s="203"/>
      <c r="U219" s="203"/>
      <c r="V219" s="203"/>
      <c r="W219" s="203"/>
      <c r="X219" s="203"/>
      <c r="Y219" s="203"/>
      <c r="Z219" s="203"/>
      <c r="AA219" s="203"/>
      <c r="AB219" s="203"/>
      <c r="AC219" s="203"/>
      <c r="AD219" s="203"/>
      <c r="AE219" s="203"/>
      <c r="AF219" s="203">
        <f t="shared" si="83"/>
        <v>0</v>
      </c>
      <c r="AG219" s="203"/>
      <c r="AH219" s="203"/>
      <c r="AI219" s="197">
        <f t="shared" si="78"/>
        <v>0</v>
      </c>
    </row>
    <row r="220" spans="1:35" s="198" customFormat="1" ht="26.1" customHeight="1">
      <c r="A220" s="192" t="s">
        <v>10</v>
      </c>
      <c r="B220" s="192" t="s">
        <v>476</v>
      </c>
      <c r="C220" s="241" t="s">
        <v>224</v>
      </c>
      <c r="D220" s="202">
        <v>4</v>
      </c>
      <c r="E220" s="203">
        <f t="shared" si="85"/>
        <v>400000</v>
      </c>
      <c r="F220" s="203"/>
      <c r="G220" s="203">
        <v>400000</v>
      </c>
      <c r="H220" s="203">
        <f t="shared" si="81"/>
        <v>0</v>
      </c>
      <c r="I220" s="203"/>
      <c r="J220" s="203"/>
      <c r="K220" s="203"/>
      <c r="L220" s="203"/>
      <c r="M220" s="203"/>
      <c r="N220" s="203"/>
      <c r="O220" s="205"/>
      <c r="P220" s="205">
        <f t="shared" si="82"/>
        <v>400000</v>
      </c>
      <c r="Q220" s="203"/>
      <c r="R220" s="203"/>
      <c r="S220" s="203"/>
      <c r="T220" s="203">
        <v>400000</v>
      </c>
      <c r="U220" s="203"/>
      <c r="V220" s="203"/>
      <c r="W220" s="203"/>
      <c r="X220" s="203"/>
      <c r="Y220" s="203"/>
      <c r="Z220" s="203"/>
      <c r="AA220" s="203"/>
      <c r="AB220" s="203"/>
      <c r="AC220" s="203"/>
      <c r="AD220" s="203"/>
      <c r="AE220" s="203"/>
      <c r="AF220" s="203">
        <f t="shared" si="83"/>
        <v>0</v>
      </c>
      <c r="AG220" s="203"/>
      <c r="AH220" s="203"/>
      <c r="AI220" s="197">
        <f t="shared" si="78"/>
        <v>0</v>
      </c>
    </row>
    <row r="221" spans="1:35" s="198" customFormat="1" ht="26.1" customHeight="1">
      <c r="A221" s="192" t="s">
        <v>10</v>
      </c>
      <c r="B221" s="192" t="s">
        <v>476</v>
      </c>
      <c r="C221" s="241" t="s">
        <v>225</v>
      </c>
      <c r="D221" s="202">
        <v>4</v>
      </c>
      <c r="E221" s="203">
        <f t="shared" si="85"/>
        <v>2632600</v>
      </c>
      <c r="F221" s="203"/>
      <c r="G221" s="203">
        <v>2632600</v>
      </c>
      <c r="H221" s="203">
        <f t="shared" si="81"/>
        <v>2632600</v>
      </c>
      <c r="I221" s="203"/>
      <c r="J221" s="203"/>
      <c r="K221" s="203"/>
      <c r="L221" s="203"/>
      <c r="M221" s="203"/>
      <c r="N221" s="203">
        <v>2632600</v>
      </c>
      <c r="O221" s="205"/>
      <c r="P221" s="205">
        <f t="shared" si="82"/>
        <v>0</v>
      </c>
      <c r="Q221" s="203"/>
      <c r="R221" s="203"/>
      <c r="S221" s="203"/>
      <c r="T221" s="203"/>
      <c r="U221" s="203"/>
      <c r="V221" s="203"/>
      <c r="W221" s="203"/>
      <c r="X221" s="203"/>
      <c r="Y221" s="203"/>
      <c r="Z221" s="203"/>
      <c r="AA221" s="203"/>
      <c r="AB221" s="203"/>
      <c r="AC221" s="203"/>
      <c r="AD221" s="203"/>
      <c r="AE221" s="203"/>
      <c r="AF221" s="203">
        <f t="shared" si="83"/>
        <v>0</v>
      </c>
      <c r="AG221" s="203"/>
      <c r="AH221" s="203"/>
      <c r="AI221" s="197">
        <f t="shared" si="78"/>
        <v>0</v>
      </c>
    </row>
    <row r="222" spans="1:35" s="198" customFormat="1" ht="26.1" customHeight="1">
      <c r="A222" s="192" t="s">
        <v>10</v>
      </c>
      <c r="B222" s="192" t="s">
        <v>476</v>
      </c>
      <c r="C222" s="241" t="s">
        <v>226</v>
      </c>
      <c r="D222" s="202">
        <v>4</v>
      </c>
      <c r="E222" s="203">
        <f t="shared" si="85"/>
        <v>313200</v>
      </c>
      <c r="F222" s="203"/>
      <c r="G222" s="203">
        <v>313200</v>
      </c>
      <c r="H222" s="203">
        <f t="shared" si="81"/>
        <v>313200</v>
      </c>
      <c r="I222" s="203"/>
      <c r="J222" s="203"/>
      <c r="K222" s="203"/>
      <c r="L222" s="203"/>
      <c r="M222" s="203">
        <v>313200</v>
      </c>
      <c r="N222" s="203"/>
      <c r="O222" s="205"/>
      <c r="P222" s="205">
        <f t="shared" si="82"/>
        <v>0</v>
      </c>
      <c r="Q222" s="203"/>
      <c r="R222" s="203"/>
      <c r="S222" s="203"/>
      <c r="T222" s="203"/>
      <c r="U222" s="203"/>
      <c r="V222" s="203"/>
      <c r="W222" s="203"/>
      <c r="X222" s="203"/>
      <c r="Y222" s="203"/>
      <c r="Z222" s="203"/>
      <c r="AA222" s="203"/>
      <c r="AB222" s="203"/>
      <c r="AC222" s="203"/>
      <c r="AD222" s="203"/>
      <c r="AE222" s="203"/>
      <c r="AF222" s="203">
        <f t="shared" si="83"/>
        <v>0</v>
      </c>
      <c r="AG222" s="203"/>
      <c r="AH222" s="203"/>
      <c r="AI222" s="197">
        <f t="shared" si="78"/>
        <v>0</v>
      </c>
    </row>
    <row r="223" spans="1:35" s="198" customFormat="1" ht="26.1" customHeight="1">
      <c r="A223" s="192" t="s">
        <v>10</v>
      </c>
      <c r="B223" s="192" t="s">
        <v>476</v>
      </c>
      <c r="C223" s="241" t="s">
        <v>227</v>
      </c>
      <c r="D223" s="202">
        <v>4</v>
      </c>
      <c r="E223" s="203">
        <f t="shared" si="85"/>
        <v>1538600</v>
      </c>
      <c r="F223" s="203"/>
      <c r="G223" s="203">
        <v>1538600</v>
      </c>
      <c r="H223" s="203">
        <f t="shared" si="81"/>
        <v>1538600</v>
      </c>
      <c r="I223" s="203"/>
      <c r="J223" s="203"/>
      <c r="K223" s="203"/>
      <c r="L223" s="203"/>
      <c r="M223" s="203"/>
      <c r="N223" s="203">
        <v>1538600</v>
      </c>
      <c r="O223" s="205"/>
      <c r="P223" s="205">
        <f t="shared" si="82"/>
        <v>0</v>
      </c>
      <c r="Q223" s="203"/>
      <c r="R223" s="203"/>
      <c r="S223" s="203"/>
      <c r="T223" s="203"/>
      <c r="U223" s="203"/>
      <c r="V223" s="203"/>
      <c r="W223" s="203"/>
      <c r="X223" s="203"/>
      <c r="Y223" s="203"/>
      <c r="Z223" s="203"/>
      <c r="AA223" s="203"/>
      <c r="AB223" s="203"/>
      <c r="AC223" s="203"/>
      <c r="AD223" s="203"/>
      <c r="AE223" s="203"/>
      <c r="AF223" s="203">
        <f t="shared" si="83"/>
        <v>0</v>
      </c>
      <c r="AG223" s="203"/>
      <c r="AH223" s="203"/>
      <c r="AI223" s="197">
        <f t="shared" si="78"/>
        <v>0</v>
      </c>
    </row>
    <row r="224" spans="1:35" s="198" customFormat="1" ht="26.1" customHeight="1">
      <c r="A224" s="192" t="s">
        <v>10</v>
      </c>
      <c r="B224" s="192" t="s">
        <v>476</v>
      </c>
      <c r="C224" s="241" t="s">
        <v>228</v>
      </c>
      <c r="D224" s="202">
        <v>4</v>
      </c>
      <c r="E224" s="203">
        <f t="shared" si="85"/>
        <v>1038000</v>
      </c>
      <c r="F224" s="203"/>
      <c r="G224" s="203">
        <v>1038000</v>
      </c>
      <c r="H224" s="203">
        <f t="shared" si="81"/>
        <v>1038000</v>
      </c>
      <c r="I224" s="203"/>
      <c r="J224" s="203"/>
      <c r="K224" s="203"/>
      <c r="L224" s="203"/>
      <c r="M224" s="203"/>
      <c r="N224" s="203">
        <v>1038000</v>
      </c>
      <c r="O224" s="205"/>
      <c r="P224" s="205">
        <f t="shared" si="82"/>
        <v>0</v>
      </c>
      <c r="Q224" s="203"/>
      <c r="R224" s="203"/>
      <c r="S224" s="203"/>
      <c r="T224" s="203"/>
      <c r="U224" s="203"/>
      <c r="V224" s="203"/>
      <c r="W224" s="203"/>
      <c r="X224" s="203"/>
      <c r="Y224" s="203"/>
      <c r="Z224" s="203"/>
      <c r="AA224" s="203"/>
      <c r="AB224" s="203"/>
      <c r="AC224" s="203"/>
      <c r="AD224" s="203"/>
      <c r="AE224" s="203"/>
      <c r="AF224" s="203">
        <f t="shared" si="83"/>
        <v>0</v>
      </c>
      <c r="AG224" s="203"/>
      <c r="AH224" s="203"/>
      <c r="AI224" s="197">
        <f t="shared" si="78"/>
        <v>0</v>
      </c>
    </row>
    <row r="225" spans="1:35" s="198" customFormat="1" ht="26.1" customHeight="1">
      <c r="A225" s="192" t="s">
        <v>10</v>
      </c>
      <c r="B225" s="192" t="s">
        <v>476</v>
      </c>
      <c r="C225" s="241" t="s">
        <v>229</v>
      </c>
      <c r="D225" s="202">
        <v>4</v>
      </c>
      <c r="E225" s="203">
        <f t="shared" si="85"/>
        <v>700000</v>
      </c>
      <c r="F225" s="203"/>
      <c r="G225" s="203">
        <v>700000</v>
      </c>
      <c r="H225" s="203">
        <f t="shared" si="81"/>
        <v>700000</v>
      </c>
      <c r="I225" s="203"/>
      <c r="J225" s="203">
        <v>28700</v>
      </c>
      <c r="K225" s="203">
        <v>671300</v>
      </c>
      <c r="L225" s="203"/>
      <c r="M225" s="203"/>
      <c r="N225" s="203"/>
      <c r="O225" s="205"/>
      <c r="P225" s="205">
        <f t="shared" si="82"/>
        <v>0</v>
      </c>
      <c r="Q225" s="203"/>
      <c r="R225" s="203"/>
      <c r="S225" s="203"/>
      <c r="T225" s="203"/>
      <c r="U225" s="203"/>
      <c r="V225" s="203"/>
      <c r="W225" s="203"/>
      <c r="X225" s="203"/>
      <c r="Y225" s="203"/>
      <c r="Z225" s="203"/>
      <c r="AA225" s="203"/>
      <c r="AB225" s="203"/>
      <c r="AC225" s="203"/>
      <c r="AD225" s="203"/>
      <c r="AE225" s="203"/>
      <c r="AF225" s="203">
        <f t="shared" si="83"/>
        <v>0</v>
      </c>
      <c r="AG225" s="203"/>
      <c r="AH225" s="203"/>
      <c r="AI225" s="197">
        <f t="shared" si="78"/>
        <v>0</v>
      </c>
    </row>
    <row r="226" spans="1:35" s="198" customFormat="1" ht="26.1" customHeight="1">
      <c r="A226" s="192" t="s">
        <v>10</v>
      </c>
      <c r="B226" s="192" t="s">
        <v>234</v>
      </c>
      <c r="C226" s="241" t="s">
        <v>231</v>
      </c>
      <c r="D226" s="202">
        <v>4</v>
      </c>
      <c r="E226" s="203">
        <f t="shared" si="85"/>
        <v>100000</v>
      </c>
      <c r="F226" s="203"/>
      <c r="G226" s="203">
        <v>100000</v>
      </c>
      <c r="H226" s="203">
        <f t="shared" si="81"/>
        <v>0</v>
      </c>
      <c r="I226" s="203"/>
      <c r="J226" s="203"/>
      <c r="K226" s="203"/>
      <c r="L226" s="203"/>
      <c r="M226" s="203"/>
      <c r="N226" s="203"/>
      <c r="O226" s="205"/>
      <c r="P226" s="205">
        <f t="shared" si="82"/>
        <v>0</v>
      </c>
      <c r="Q226" s="203"/>
      <c r="R226" s="203"/>
      <c r="S226" s="203"/>
      <c r="T226" s="203"/>
      <c r="U226" s="203"/>
      <c r="V226" s="203"/>
      <c r="W226" s="203"/>
      <c r="X226" s="203"/>
      <c r="Y226" s="203"/>
      <c r="Z226" s="203"/>
      <c r="AA226" s="203"/>
      <c r="AB226" s="203"/>
      <c r="AC226" s="203"/>
      <c r="AD226" s="203"/>
      <c r="AE226" s="203"/>
      <c r="AF226" s="203">
        <f t="shared" si="83"/>
        <v>100000</v>
      </c>
      <c r="AG226" s="203">
        <v>100000</v>
      </c>
      <c r="AH226" s="203"/>
      <c r="AI226" s="197">
        <f t="shared" si="78"/>
        <v>0</v>
      </c>
    </row>
    <row r="227" spans="1:35" s="198" customFormat="1" ht="26.1" customHeight="1">
      <c r="A227" s="192" t="s">
        <v>10</v>
      </c>
      <c r="B227" s="192" t="s">
        <v>234</v>
      </c>
      <c r="C227" s="241" t="s">
        <v>232</v>
      </c>
      <c r="D227" s="202">
        <v>4</v>
      </c>
      <c r="E227" s="203">
        <f t="shared" si="85"/>
        <v>501400</v>
      </c>
      <c r="F227" s="203"/>
      <c r="G227" s="203">
        <v>501400</v>
      </c>
      <c r="H227" s="203">
        <f t="shared" si="81"/>
        <v>0</v>
      </c>
      <c r="I227" s="203"/>
      <c r="J227" s="203"/>
      <c r="K227" s="203"/>
      <c r="L227" s="203"/>
      <c r="M227" s="203"/>
      <c r="N227" s="203"/>
      <c r="O227" s="205"/>
      <c r="P227" s="205">
        <f t="shared" si="82"/>
        <v>0</v>
      </c>
      <c r="Q227" s="203"/>
      <c r="R227" s="203"/>
      <c r="S227" s="203"/>
      <c r="T227" s="203"/>
      <c r="U227" s="203"/>
      <c r="V227" s="203"/>
      <c r="W227" s="203"/>
      <c r="X227" s="203"/>
      <c r="Y227" s="203"/>
      <c r="Z227" s="203"/>
      <c r="AA227" s="203"/>
      <c r="AB227" s="203"/>
      <c r="AC227" s="203"/>
      <c r="AD227" s="203"/>
      <c r="AE227" s="203"/>
      <c r="AF227" s="203">
        <f t="shared" si="83"/>
        <v>501400</v>
      </c>
      <c r="AG227" s="203"/>
      <c r="AH227" s="203">
        <v>501400</v>
      </c>
      <c r="AI227" s="197">
        <f t="shared" si="78"/>
        <v>0</v>
      </c>
    </row>
    <row r="228" spans="1:35" s="198" customFormat="1" ht="26.1" customHeight="1">
      <c r="A228" s="192" t="s">
        <v>10</v>
      </c>
      <c r="B228" s="192" t="s">
        <v>234</v>
      </c>
      <c r="C228" s="241" t="s">
        <v>233</v>
      </c>
      <c r="D228" s="202">
        <v>4</v>
      </c>
      <c r="E228" s="203">
        <f t="shared" si="85"/>
        <v>289000</v>
      </c>
      <c r="F228" s="203"/>
      <c r="G228" s="203">
        <v>289000</v>
      </c>
      <c r="H228" s="203">
        <f t="shared" si="81"/>
        <v>0</v>
      </c>
      <c r="I228" s="203"/>
      <c r="J228" s="203"/>
      <c r="K228" s="203"/>
      <c r="L228" s="203"/>
      <c r="M228" s="203"/>
      <c r="N228" s="203"/>
      <c r="O228" s="205"/>
      <c r="P228" s="205">
        <f t="shared" si="82"/>
        <v>289000</v>
      </c>
      <c r="Q228" s="203"/>
      <c r="R228" s="203"/>
      <c r="S228" s="203"/>
      <c r="T228" s="203"/>
      <c r="U228" s="203"/>
      <c r="V228" s="203"/>
      <c r="W228" s="203"/>
      <c r="X228" s="203"/>
      <c r="Y228" s="203"/>
      <c r="Z228" s="203"/>
      <c r="AA228" s="203">
        <v>289000</v>
      </c>
      <c r="AB228" s="203"/>
      <c r="AC228" s="203"/>
      <c r="AD228" s="203"/>
      <c r="AE228" s="203"/>
      <c r="AF228" s="203">
        <f t="shared" si="83"/>
        <v>0</v>
      </c>
      <c r="AG228" s="203"/>
      <c r="AH228" s="203"/>
      <c r="AI228" s="197">
        <f t="shared" si="78"/>
        <v>0</v>
      </c>
    </row>
    <row r="229" spans="1:35" s="198" customFormat="1" ht="26.1" customHeight="1">
      <c r="A229" s="192" t="s">
        <v>10</v>
      </c>
      <c r="B229" s="192" t="s">
        <v>234</v>
      </c>
      <c r="C229" s="241" t="s">
        <v>505</v>
      </c>
      <c r="D229" s="202">
        <v>4</v>
      </c>
      <c r="E229" s="203">
        <f t="shared" si="85"/>
        <v>9000</v>
      </c>
      <c r="F229" s="203">
        <v>9000</v>
      </c>
      <c r="G229" s="203"/>
      <c r="H229" s="203">
        <f t="shared" si="81"/>
        <v>0</v>
      </c>
      <c r="I229" s="203"/>
      <c r="J229" s="203"/>
      <c r="K229" s="203"/>
      <c r="L229" s="203"/>
      <c r="M229" s="203"/>
      <c r="N229" s="203"/>
      <c r="O229" s="205"/>
      <c r="P229" s="205">
        <f t="shared" si="82"/>
        <v>0</v>
      </c>
      <c r="Q229" s="203"/>
      <c r="R229" s="203"/>
      <c r="S229" s="203"/>
      <c r="T229" s="203"/>
      <c r="U229" s="203"/>
      <c r="V229" s="203"/>
      <c r="W229" s="203"/>
      <c r="X229" s="203"/>
      <c r="Y229" s="203"/>
      <c r="Z229" s="203"/>
      <c r="AA229" s="203"/>
      <c r="AB229" s="203"/>
      <c r="AC229" s="203"/>
      <c r="AD229" s="203"/>
      <c r="AE229" s="203"/>
      <c r="AF229" s="203">
        <f t="shared" si="83"/>
        <v>9000</v>
      </c>
      <c r="AG229" s="203"/>
      <c r="AH229" s="203">
        <v>9000</v>
      </c>
      <c r="AI229" s="197">
        <f t="shared" si="78"/>
        <v>0</v>
      </c>
    </row>
    <row r="230" spans="1:35" s="198" customFormat="1" ht="26.1" customHeight="1">
      <c r="A230" s="192"/>
      <c r="B230" s="192"/>
      <c r="C230" s="241"/>
      <c r="D230" s="202"/>
      <c r="E230" s="213">
        <f>SUM(E231:E233)</f>
        <v>9950043</v>
      </c>
      <c r="F230" s="203">
        <f t="shared" ref="F230:AH230" si="86">SUM(F231:F233)</f>
        <v>1241693</v>
      </c>
      <c r="G230" s="203">
        <f t="shared" si="86"/>
        <v>8708350</v>
      </c>
      <c r="H230" s="213">
        <f t="shared" si="86"/>
        <v>3835249</v>
      </c>
      <c r="I230" s="203">
        <f t="shared" si="86"/>
        <v>317763</v>
      </c>
      <c r="J230" s="203">
        <f t="shared" si="86"/>
        <v>409401</v>
      </c>
      <c r="K230" s="203">
        <f t="shared" si="86"/>
        <v>614961</v>
      </c>
      <c r="L230" s="203">
        <f t="shared" si="86"/>
        <v>1231693</v>
      </c>
      <c r="M230" s="203">
        <f t="shared" si="86"/>
        <v>537521</v>
      </c>
      <c r="N230" s="203">
        <f t="shared" si="86"/>
        <v>703910</v>
      </c>
      <c r="O230" s="203">
        <f t="shared" si="86"/>
        <v>20000</v>
      </c>
      <c r="P230" s="213">
        <f t="shared" si="86"/>
        <v>4437312</v>
      </c>
      <c r="Q230" s="203">
        <f t="shared" si="86"/>
        <v>250545</v>
      </c>
      <c r="R230" s="203">
        <f t="shared" si="86"/>
        <v>321836</v>
      </c>
      <c r="S230" s="203">
        <f t="shared" si="86"/>
        <v>341220</v>
      </c>
      <c r="T230" s="203">
        <f t="shared" si="86"/>
        <v>376836</v>
      </c>
      <c r="U230" s="203">
        <f t="shared" si="86"/>
        <v>292349</v>
      </c>
      <c r="V230" s="203">
        <f t="shared" si="86"/>
        <v>282486</v>
      </c>
      <c r="W230" s="203">
        <f t="shared" si="86"/>
        <v>592636</v>
      </c>
      <c r="X230" s="203">
        <f t="shared" si="86"/>
        <v>313057</v>
      </c>
      <c r="Y230" s="203">
        <f t="shared" si="86"/>
        <v>127768</v>
      </c>
      <c r="Z230" s="203">
        <f t="shared" si="86"/>
        <v>551836</v>
      </c>
      <c r="AA230" s="203">
        <f t="shared" si="86"/>
        <v>451836</v>
      </c>
      <c r="AB230" s="203">
        <f t="shared" si="86"/>
        <v>51836</v>
      </c>
      <c r="AC230" s="203">
        <f t="shared" si="86"/>
        <v>131836</v>
      </c>
      <c r="AD230" s="203">
        <f t="shared" si="86"/>
        <v>51836</v>
      </c>
      <c r="AE230" s="203">
        <f t="shared" si="86"/>
        <v>299399</v>
      </c>
      <c r="AF230" s="213">
        <f t="shared" si="86"/>
        <v>1677482</v>
      </c>
      <c r="AG230" s="203">
        <f t="shared" si="86"/>
        <v>1613381</v>
      </c>
      <c r="AH230" s="203">
        <f t="shared" si="86"/>
        <v>64101</v>
      </c>
      <c r="AI230" s="197">
        <f t="shared" si="78"/>
        <v>0</v>
      </c>
    </row>
    <row r="231" spans="1:35" s="198" customFormat="1" ht="26.1" customHeight="1">
      <c r="A231" s="192" t="s">
        <v>10</v>
      </c>
      <c r="B231" s="192" t="s">
        <v>79</v>
      </c>
      <c r="C231" s="241" t="s">
        <v>235</v>
      </c>
      <c r="D231" s="202">
        <v>4</v>
      </c>
      <c r="E231" s="203">
        <f>H231+P231+AF231</f>
        <v>2919043</v>
      </c>
      <c r="F231" s="203">
        <v>1241693</v>
      </c>
      <c r="G231" s="203">
        <v>1677350</v>
      </c>
      <c r="H231" s="203">
        <f>SUM(I231:O231)</f>
        <v>1926568</v>
      </c>
      <c r="I231" s="203">
        <v>317763</v>
      </c>
      <c r="J231" s="203">
        <v>317761</v>
      </c>
      <c r="K231" s="203">
        <v>317761</v>
      </c>
      <c r="L231" s="203">
        <v>317761</v>
      </c>
      <c r="M231" s="203">
        <v>317761</v>
      </c>
      <c r="N231" s="203">
        <v>317761</v>
      </c>
      <c r="O231" s="205">
        <v>20000</v>
      </c>
      <c r="P231" s="205">
        <f>SUM(Q231:AE231)</f>
        <v>875713</v>
      </c>
      <c r="Q231" s="203">
        <v>51845</v>
      </c>
      <c r="R231" s="203">
        <v>51836</v>
      </c>
      <c r="S231" s="203">
        <v>51836</v>
      </c>
      <c r="T231" s="203">
        <v>51836</v>
      </c>
      <c r="U231" s="203">
        <v>51836</v>
      </c>
      <c r="V231" s="203">
        <v>51836</v>
      </c>
      <c r="W231" s="203">
        <v>51836</v>
      </c>
      <c r="X231" s="203">
        <v>51836</v>
      </c>
      <c r="Y231" s="203">
        <v>51836</v>
      </c>
      <c r="Z231" s="203">
        <v>51836</v>
      </c>
      <c r="AA231" s="203">
        <v>51836</v>
      </c>
      <c r="AB231" s="203">
        <v>51836</v>
      </c>
      <c r="AC231" s="203">
        <v>51836</v>
      </c>
      <c r="AD231" s="203">
        <v>51836</v>
      </c>
      <c r="AE231" s="203">
        <v>150000</v>
      </c>
      <c r="AF231" s="203">
        <f>SUM(AG231:AH231)</f>
        <v>116762</v>
      </c>
      <c r="AG231" s="203">
        <v>58381</v>
      </c>
      <c r="AH231" s="203">
        <v>58381</v>
      </c>
      <c r="AI231" s="197">
        <f>IF(+F231+G231=E231,0,FALSE)</f>
        <v>0</v>
      </c>
    </row>
    <row r="232" spans="1:35" s="198" customFormat="1" ht="26.1" customHeight="1">
      <c r="A232" s="192" t="s">
        <v>10</v>
      </c>
      <c r="B232" s="192" t="s">
        <v>79</v>
      </c>
      <c r="C232" s="241" t="s">
        <v>616</v>
      </c>
      <c r="D232" s="202">
        <v>4</v>
      </c>
      <c r="E232" s="203">
        <f>H232+P232+AF232</f>
        <v>5476000</v>
      </c>
      <c r="F232" s="203"/>
      <c r="G232" s="203">
        <v>5476000</v>
      </c>
      <c r="H232" s="203">
        <f>SUM(I232:O232)</f>
        <v>1908681</v>
      </c>
      <c r="I232" s="203"/>
      <c r="J232" s="203">
        <v>91640</v>
      </c>
      <c r="K232" s="203">
        <v>297200</v>
      </c>
      <c r="L232" s="203">
        <v>913932</v>
      </c>
      <c r="M232" s="203">
        <v>219760</v>
      </c>
      <c r="N232" s="203">
        <v>386149</v>
      </c>
      <c r="O232" s="205"/>
      <c r="P232" s="205">
        <f>SUM(Q232:AE232)</f>
        <v>3561599</v>
      </c>
      <c r="Q232" s="203">
        <v>198700</v>
      </c>
      <c r="R232" s="203">
        <v>270000</v>
      </c>
      <c r="S232" s="203">
        <v>289384</v>
      </c>
      <c r="T232" s="203">
        <v>325000</v>
      </c>
      <c r="U232" s="203">
        <v>240513</v>
      </c>
      <c r="V232" s="203">
        <v>230650</v>
      </c>
      <c r="W232" s="203">
        <v>540800</v>
      </c>
      <c r="X232" s="203">
        <v>261221</v>
      </c>
      <c r="Y232" s="203">
        <v>75932</v>
      </c>
      <c r="Z232" s="203">
        <v>500000</v>
      </c>
      <c r="AA232" s="203">
        <v>400000</v>
      </c>
      <c r="AB232" s="203" t="s">
        <v>145</v>
      </c>
      <c r="AC232" s="203">
        <v>80000</v>
      </c>
      <c r="AD232" s="203" t="s">
        <v>145</v>
      </c>
      <c r="AE232" s="203">
        <v>149399</v>
      </c>
      <c r="AF232" s="203">
        <f>SUM(AG232:AH232)</f>
        <v>5720</v>
      </c>
      <c r="AG232" s="203"/>
      <c r="AH232" s="203">
        <v>5720</v>
      </c>
      <c r="AI232" s="197">
        <f>IF(+F232+G232=E232,0,FALSE)</f>
        <v>0</v>
      </c>
    </row>
    <row r="233" spans="1:35" s="198" customFormat="1" ht="26.1" customHeight="1">
      <c r="A233" s="192" t="s">
        <v>10</v>
      </c>
      <c r="B233" s="192" t="s">
        <v>79</v>
      </c>
      <c r="C233" s="241" t="s">
        <v>236</v>
      </c>
      <c r="D233" s="202">
        <v>4</v>
      </c>
      <c r="E233" s="203">
        <f>H233+P233+AF233</f>
        <v>1555000</v>
      </c>
      <c r="F233" s="203"/>
      <c r="G233" s="203">
        <v>1555000</v>
      </c>
      <c r="H233" s="203">
        <f>SUM(I233:O233)</f>
        <v>0</v>
      </c>
      <c r="I233" s="203"/>
      <c r="J233" s="203"/>
      <c r="K233" s="203"/>
      <c r="L233" s="203"/>
      <c r="M233" s="203"/>
      <c r="N233" s="203"/>
      <c r="O233" s="205"/>
      <c r="P233" s="205">
        <f>SUM(Q233:AE233)</f>
        <v>0</v>
      </c>
      <c r="Q233" s="203"/>
      <c r="R233" s="203"/>
      <c r="S233" s="203"/>
      <c r="T233" s="203"/>
      <c r="U233" s="203"/>
      <c r="V233" s="203"/>
      <c r="W233" s="203"/>
      <c r="X233" s="203"/>
      <c r="Y233" s="203"/>
      <c r="Z233" s="203"/>
      <c r="AA233" s="203"/>
      <c r="AB233" s="203"/>
      <c r="AC233" s="203"/>
      <c r="AD233" s="203"/>
      <c r="AE233" s="203"/>
      <c r="AF233" s="203">
        <f>SUM(AG233:AH233)</f>
        <v>1555000</v>
      </c>
      <c r="AG233" s="203">
        <v>1555000</v>
      </c>
      <c r="AH233" s="203"/>
      <c r="AI233" s="197">
        <f>IF(+F233+G233=E233,0,FALSE)</f>
        <v>0</v>
      </c>
    </row>
    <row r="234" spans="1:35" s="198" customFormat="1" ht="26.1" customHeight="1">
      <c r="A234" s="192"/>
      <c r="B234" s="192"/>
      <c r="C234" s="241"/>
      <c r="D234" s="202"/>
      <c r="E234" s="207">
        <f>E235+E259+E274+E280+E292+E308</f>
        <v>4625885</v>
      </c>
      <c r="F234" s="203">
        <f>F235+F259+F274+F280+F292+F308</f>
        <v>858390</v>
      </c>
      <c r="G234" s="203">
        <f>G235+G259+G274+G280+G292+G308</f>
        <v>3767495</v>
      </c>
      <c r="H234" s="207">
        <f>H235+H259+H274+H280+H292+H308</f>
        <v>2161136</v>
      </c>
      <c r="I234" s="203"/>
      <c r="J234" s="203"/>
      <c r="K234" s="203"/>
      <c r="L234" s="203"/>
      <c r="M234" s="203"/>
      <c r="N234" s="203"/>
      <c r="O234" s="205"/>
      <c r="P234" s="207">
        <f>P235+P259+P274+P280+P292+P308</f>
        <v>2394044</v>
      </c>
      <c r="Q234" s="203"/>
      <c r="R234" s="203"/>
      <c r="S234" s="203"/>
      <c r="T234" s="203"/>
      <c r="U234" s="203"/>
      <c r="V234" s="203"/>
      <c r="W234" s="203"/>
      <c r="X234" s="203"/>
      <c r="Y234" s="203"/>
      <c r="Z234" s="203"/>
      <c r="AA234" s="203"/>
      <c r="AB234" s="203"/>
      <c r="AC234" s="203"/>
      <c r="AD234" s="203"/>
      <c r="AE234" s="203"/>
      <c r="AF234" s="207">
        <f>AF235+AF259+AF274+AF280+AF292+AF308</f>
        <v>70705</v>
      </c>
      <c r="AG234" s="203"/>
      <c r="AH234" s="203"/>
      <c r="AI234" s="197">
        <f t="shared" ref="AI234:AI258" si="87">IF(+F234+G234=E234,0,FALSE)</f>
        <v>0</v>
      </c>
    </row>
    <row r="235" spans="1:35" s="198" customFormat="1" ht="26.1" customHeight="1">
      <c r="A235" s="192"/>
      <c r="B235" s="192"/>
      <c r="C235" s="241"/>
      <c r="D235" s="202"/>
      <c r="E235" s="213">
        <f t="shared" ref="E235:J235" si="88">SUM(E236:E258)</f>
        <v>1961491</v>
      </c>
      <c r="F235" s="203">
        <f t="shared" si="88"/>
        <v>156671</v>
      </c>
      <c r="G235" s="203">
        <f t="shared" si="88"/>
        <v>1804820</v>
      </c>
      <c r="H235" s="213">
        <f t="shared" si="88"/>
        <v>475625</v>
      </c>
      <c r="I235" s="203">
        <f t="shared" si="88"/>
        <v>5</v>
      </c>
      <c r="J235" s="203">
        <f t="shared" si="88"/>
        <v>16133</v>
      </c>
      <c r="K235" s="203"/>
      <c r="L235" s="203">
        <f t="shared" ref="L235:AH235" si="89">SUM(L236:L258)</f>
        <v>33750</v>
      </c>
      <c r="M235" s="203">
        <f t="shared" si="89"/>
        <v>61337</v>
      </c>
      <c r="N235" s="203">
        <f t="shared" si="89"/>
        <v>13403</v>
      </c>
      <c r="O235" s="203">
        <f t="shared" si="89"/>
        <v>315116</v>
      </c>
      <c r="P235" s="213">
        <f t="shared" si="89"/>
        <v>1473154</v>
      </c>
      <c r="Q235" s="203">
        <f t="shared" si="89"/>
        <v>11954</v>
      </c>
      <c r="R235" s="203">
        <f t="shared" si="89"/>
        <v>11575</v>
      </c>
      <c r="S235" s="203">
        <f t="shared" si="89"/>
        <v>13405</v>
      </c>
      <c r="T235" s="203">
        <f t="shared" si="89"/>
        <v>17036</v>
      </c>
      <c r="U235" s="203">
        <f t="shared" si="89"/>
        <v>27496</v>
      </c>
      <c r="V235" s="203">
        <f t="shared" si="89"/>
        <v>71892</v>
      </c>
      <c r="W235" s="203">
        <f t="shared" si="89"/>
        <v>35080</v>
      </c>
      <c r="X235" s="203">
        <f t="shared" si="89"/>
        <v>14810</v>
      </c>
      <c r="Y235" s="203">
        <f t="shared" si="89"/>
        <v>9588</v>
      </c>
      <c r="Z235" s="203">
        <f t="shared" si="89"/>
        <v>58516</v>
      </c>
      <c r="AA235" s="203">
        <f t="shared" si="89"/>
        <v>6467</v>
      </c>
      <c r="AB235" s="203">
        <f t="shared" si="89"/>
        <v>6550</v>
      </c>
      <c r="AC235" s="203">
        <f t="shared" si="89"/>
        <v>15746</v>
      </c>
      <c r="AD235" s="203">
        <f t="shared" si="89"/>
        <v>16552</v>
      </c>
      <c r="AE235" s="203">
        <f t="shared" si="89"/>
        <v>1156487</v>
      </c>
      <c r="AF235" s="213">
        <f t="shared" si="89"/>
        <v>12712</v>
      </c>
      <c r="AG235" s="203">
        <f t="shared" si="89"/>
        <v>5780</v>
      </c>
      <c r="AH235" s="203">
        <f t="shared" si="89"/>
        <v>6932</v>
      </c>
      <c r="AI235" s="197">
        <f t="shared" si="87"/>
        <v>0</v>
      </c>
    </row>
    <row r="236" spans="1:35" s="198" customFormat="1" ht="26.1" customHeight="1">
      <c r="A236" s="239" t="s">
        <v>178</v>
      </c>
      <c r="B236" s="190" t="s">
        <v>179</v>
      </c>
      <c r="C236" s="241" t="s">
        <v>822</v>
      </c>
      <c r="D236" s="202">
        <v>4</v>
      </c>
      <c r="E236" s="203">
        <f t="shared" ref="E236:E258" si="90">SUM(H236,P236,AF236)</f>
        <v>5170</v>
      </c>
      <c r="F236" s="203">
        <v>5170</v>
      </c>
      <c r="G236" s="203">
        <v>0</v>
      </c>
      <c r="H236" s="203">
        <f t="shared" ref="H236:H258" si="91">SUM(I236:O236)</f>
        <v>1713</v>
      </c>
      <c r="I236" s="203">
        <v>0</v>
      </c>
      <c r="J236" s="203">
        <v>0</v>
      </c>
      <c r="K236" s="203">
        <v>224</v>
      </c>
      <c r="L236" s="203">
        <v>274</v>
      </c>
      <c r="M236" s="203">
        <v>687</v>
      </c>
      <c r="N236" s="203">
        <v>528</v>
      </c>
      <c r="O236" s="205">
        <v>0</v>
      </c>
      <c r="P236" s="205">
        <f t="shared" ref="P236:P258" si="92">SUM(Q236:AE236)</f>
        <v>3357</v>
      </c>
      <c r="Q236" s="203">
        <v>614</v>
      </c>
      <c r="R236" s="203">
        <v>339</v>
      </c>
      <c r="S236" s="203">
        <v>256</v>
      </c>
      <c r="T236" s="203">
        <v>224</v>
      </c>
      <c r="U236" s="203">
        <v>317</v>
      </c>
      <c r="V236" s="203">
        <v>336</v>
      </c>
      <c r="W236" s="203">
        <v>192</v>
      </c>
      <c r="X236" s="203">
        <v>344</v>
      </c>
      <c r="Y236" s="203">
        <v>320</v>
      </c>
      <c r="Z236" s="203">
        <v>212</v>
      </c>
      <c r="AA236" s="203">
        <v>118</v>
      </c>
      <c r="AB236" s="203">
        <v>30</v>
      </c>
      <c r="AC236" s="203">
        <v>25</v>
      </c>
      <c r="AD236" s="203">
        <v>30</v>
      </c>
      <c r="AE236" s="203">
        <v>0</v>
      </c>
      <c r="AF236" s="203">
        <f t="shared" ref="AF236:AF258" si="93">SUM(AG236:AH236)</f>
        <v>100</v>
      </c>
      <c r="AG236" s="203">
        <v>100</v>
      </c>
      <c r="AH236" s="203">
        <v>0</v>
      </c>
      <c r="AI236" s="197">
        <f t="shared" si="87"/>
        <v>0</v>
      </c>
    </row>
    <row r="237" spans="1:35" s="198" customFormat="1" ht="26.1" customHeight="1">
      <c r="A237" s="239" t="s">
        <v>178</v>
      </c>
      <c r="B237" s="190" t="s">
        <v>179</v>
      </c>
      <c r="C237" s="241" t="s">
        <v>393</v>
      </c>
      <c r="D237" s="202">
        <v>4</v>
      </c>
      <c r="E237" s="203">
        <f t="shared" si="90"/>
        <v>600</v>
      </c>
      <c r="F237" s="203">
        <v>600</v>
      </c>
      <c r="G237" s="203">
        <v>0</v>
      </c>
      <c r="H237" s="203">
        <f t="shared" si="91"/>
        <v>198</v>
      </c>
      <c r="I237" s="203">
        <v>5</v>
      </c>
      <c r="J237" s="203">
        <v>20</v>
      </c>
      <c r="K237" s="203">
        <v>25</v>
      </c>
      <c r="L237" s="203">
        <v>50</v>
      </c>
      <c r="M237" s="203">
        <v>58</v>
      </c>
      <c r="N237" s="203">
        <v>40</v>
      </c>
      <c r="O237" s="205">
        <v>0</v>
      </c>
      <c r="P237" s="205">
        <f t="shared" si="92"/>
        <v>397</v>
      </c>
      <c r="Q237" s="203">
        <v>17</v>
      </c>
      <c r="R237" s="203">
        <v>17</v>
      </c>
      <c r="S237" s="203">
        <v>35</v>
      </c>
      <c r="T237" s="203">
        <v>80</v>
      </c>
      <c r="U237" s="203">
        <v>48</v>
      </c>
      <c r="V237" s="203">
        <v>40</v>
      </c>
      <c r="W237" s="203">
        <v>48</v>
      </c>
      <c r="X237" s="203">
        <v>58</v>
      </c>
      <c r="Y237" s="203">
        <v>22</v>
      </c>
      <c r="Z237" s="203">
        <v>20</v>
      </c>
      <c r="AA237" s="203">
        <v>2</v>
      </c>
      <c r="AB237" s="203">
        <v>2</v>
      </c>
      <c r="AC237" s="203">
        <v>3</v>
      </c>
      <c r="AD237" s="203">
        <v>5</v>
      </c>
      <c r="AE237" s="203">
        <v>0</v>
      </c>
      <c r="AF237" s="203">
        <f t="shared" si="93"/>
        <v>5</v>
      </c>
      <c r="AG237" s="203">
        <v>3</v>
      </c>
      <c r="AH237" s="203">
        <v>2</v>
      </c>
      <c r="AI237" s="197">
        <f t="shared" si="87"/>
        <v>0</v>
      </c>
    </row>
    <row r="238" spans="1:35" s="198" customFormat="1" ht="26.1" customHeight="1">
      <c r="A238" s="239" t="s">
        <v>178</v>
      </c>
      <c r="B238" s="190" t="s">
        <v>179</v>
      </c>
      <c r="C238" s="241" t="s">
        <v>394</v>
      </c>
      <c r="D238" s="202">
        <v>4</v>
      </c>
      <c r="E238" s="203">
        <f t="shared" si="90"/>
        <v>1060965</v>
      </c>
      <c r="F238" s="203">
        <v>35965</v>
      </c>
      <c r="G238" s="203">
        <v>1025000</v>
      </c>
      <c r="H238" s="203">
        <f t="shared" si="91"/>
        <v>213330</v>
      </c>
      <c r="I238" s="203">
        <v>0</v>
      </c>
      <c r="J238" s="203">
        <v>0</v>
      </c>
      <c r="K238" s="203">
        <v>935</v>
      </c>
      <c r="L238" s="203">
        <v>0</v>
      </c>
      <c r="M238" s="203">
        <v>22279</v>
      </c>
      <c r="N238" s="203">
        <v>0</v>
      </c>
      <c r="O238" s="205">
        <v>190116</v>
      </c>
      <c r="P238" s="205">
        <f t="shared" si="92"/>
        <v>847635</v>
      </c>
      <c r="Q238" s="203">
        <v>1161</v>
      </c>
      <c r="R238" s="203">
        <v>0</v>
      </c>
      <c r="S238" s="203">
        <v>0</v>
      </c>
      <c r="T238" s="203">
        <v>1462</v>
      </c>
      <c r="U238" s="203">
        <v>0</v>
      </c>
      <c r="V238" s="203">
        <v>12171</v>
      </c>
      <c r="W238" s="203">
        <v>10580</v>
      </c>
      <c r="X238" s="203">
        <v>0</v>
      </c>
      <c r="Y238" s="203">
        <v>0</v>
      </c>
      <c r="Z238" s="203">
        <v>774</v>
      </c>
      <c r="AA238" s="203">
        <v>0</v>
      </c>
      <c r="AB238" s="203">
        <v>0</v>
      </c>
      <c r="AC238" s="203">
        <v>0</v>
      </c>
      <c r="AD238" s="203">
        <v>0</v>
      </c>
      <c r="AE238" s="203">
        <v>821487</v>
      </c>
      <c r="AF238" s="203">
        <f t="shared" si="93"/>
        <v>0</v>
      </c>
      <c r="AG238" s="203">
        <v>0</v>
      </c>
      <c r="AH238" s="203">
        <v>0</v>
      </c>
      <c r="AI238" s="197">
        <f t="shared" si="87"/>
        <v>0</v>
      </c>
    </row>
    <row r="239" spans="1:35" s="198" customFormat="1" ht="26.1" customHeight="1">
      <c r="A239" s="239" t="s">
        <v>178</v>
      </c>
      <c r="B239" s="190" t="s">
        <v>179</v>
      </c>
      <c r="C239" s="241" t="s">
        <v>395</v>
      </c>
      <c r="D239" s="202">
        <v>4</v>
      </c>
      <c r="E239" s="203">
        <f t="shared" si="90"/>
        <v>460000</v>
      </c>
      <c r="F239" s="203">
        <v>0</v>
      </c>
      <c r="G239" s="203">
        <v>460000</v>
      </c>
      <c r="H239" s="203">
        <f t="shared" si="91"/>
        <v>125000</v>
      </c>
      <c r="I239" s="203">
        <v>0</v>
      </c>
      <c r="J239" s="203">
        <v>0</v>
      </c>
      <c r="K239" s="203">
        <v>0</v>
      </c>
      <c r="L239" s="203">
        <v>0</v>
      </c>
      <c r="M239" s="203">
        <v>0</v>
      </c>
      <c r="N239" s="203">
        <v>0</v>
      </c>
      <c r="O239" s="205">
        <v>125000</v>
      </c>
      <c r="P239" s="205">
        <f t="shared" si="92"/>
        <v>335000</v>
      </c>
      <c r="Q239" s="203">
        <v>0</v>
      </c>
      <c r="R239" s="203">
        <v>0</v>
      </c>
      <c r="S239" s="203">
        <v>0</v>
      </c>
      <c r="T239" s="203">
        <v>0</v>
      </c>
      <c r="U239" s="203">
        <v>0</v>
      </c>
      <c r="V239" s="203">
        <v>0</v>
      </c>
      <c r="W239" s="203">
        <v>0</v>
      </c>
      <c r="X239" s="203">
        <v>0</v>
      </c>
      <c r="Y239" s="203">
        <v>0</v>
      </c>
      <c r="Z239" s="203">
        <v>0</v>
      </c>
      <c r="AA239" s="203">
        <v>0</v>
      </c>
      <c r="AB239" s="203">
        <v>0</v>
      </c>
      <c r="AC239" s="203">
        <v>0</v>
      </c>
      <c r="AD239" s="203">
        <v>0</v>
      </c>
      <c r="AE239" s="203">
        <v>335000</v>
      </c>
      <c r="AF239" s="203">
        <f t="shared" si="93"/>
        <v>0</v>
      </c>
      <c r="AG239" s="203">
        <v>0</v>
      </c>
      <c r="AH239" s="203">
        <v>0</v>
      </c>
      <c r="AI239" s="197">
        <f t="shared" si="87"/>
        <v>0</v>
      </c>
    </row>
    <row r="240" spans="1:35" s="198" customFormat="1" ht="26.1" customHeight="1">
      <c r="A240" s="239" t="s">
        <v>178</v>
      </c>
      <c r="B240" s="190" t="s">
        <v>179</v>
      </c>
      <c r="C240" s="241" t="s">
        <v>848</v>
      </c>
      <c r="D240" s="202">
        <v>4</v>
      </c>
      <c r="E240" s="203">
        <f t="shared" si="90"/>
        <v>3433</v>
      </c>
      <c r="F240" s="203">
        <v>3433</v>
      </c>
      <c r="G240" s="203">
        <v>0</v>
      </c>
      <c r="H240" s="203">
        <f t="shared" si="91"/>
        <v>1288</v>
      </c>
      <c r="I240" s="203">
        <v>0</v>
      </c>
      <c r="J240" s="203">
        <v>156</v>
      </c>
      <c r="K240" s="203">
        <v>233</v>
      </c>
      <c r="L240" s="203">
        <v>333</v>
      </c>
      <c r="M240" s="203">
        <v>333</v>
      </c>
      <c r="N240" s="203">
        <v>233</v>
      </c>
      <c r="O240" s="205">
        <v>0</v>
      </c>
      <c r="P240" s="205">
        <f t="shared" si="92"/>
        <v>2145</v>
      </c>
      <c r="Q240" s="203">
        <v>336</v>
      </c>
      <c r="R240" s="203">
        <v>236</v>
      </c>
      <c r="S240" s="203">
        <v>157</v>
      </c>
      <c r="T240" s="203">
        <v>236</v>
      </c>
      <c r="U240" s="203">
        <v>236</v>
      </c>
      <c r="V240" s="203">
        <v>235</v>
      </c>
      <c r="W240" s="203">
        <v>157</v>
      </c>
      <c r="X240" s="203">
        <v>237</v>
      </c>
      <c r="Y240" s="203">
        <v>157</v>
      </c>
      <c r="Z240" s="203">
        <v>158</v>
      </c>
      <c r="AA240" s="203">
        <v>0</v>
      </c>
      <c r="AB240" s="203">
        <v>0</v>
      </c>
      <c r="AC240" s="203">
        <v>0</v>
      </c>
      <c r="AD240" s="203">
        <v>0</v>
      </c>
      <c r="AE240" s="203">
        <v>0</v>
      </c>
      <c r="AF240" s="203">
        <f t="shared" si="93"/>
        <v>0</v>
      </c>
      <c r="AG240" s="203">
        <v>0</v>
      </c>
      <c r="AH240" s="203">
        <v>0</v>
      </c>
      <c r="AI240" s="197">
        <f t="shared" si="87"/>
        <v>0</v>
      </c>
    </row>
    <row r="241" spans="1:35" s="198" customFormat="1" ht="26.1" customHeight="1">
      <c r="A241" s="239" t="s">
        <v>178</v>
      </c>
      <c r="B241" s="190" t="s">
        <v>179</v>
      </c>
      <c r="C241" s="241" t="s">
        <v>382</v>
      </c>
      <c r="D241" s="202">
        <v>4</v>
      </c>
      <c r="E241" s="203">
        <f t="shared" si="90"/>
        <v>6860</v>
      </c>
      <c r="F241" s="203">
        <v>6860</v>
      </c>
      <c r="G241" s="203">
        <v>0</v>
      </c>
      <c r="H241" s="203">
        <f t="shared" si="91"/>
        <v>2021</v>
      </c>
      <c r="I241" s="203">
        <v>0</v>
      </c>
      <c r="J241" s="203">
        <v>309</v>
      </c>
      <c r="K241" s="203">
        <v>309</v>
      </c>
      <c r="L241" s="203">
        <v>507</v>
      </c>
      <c r="M241" s="203">
        <v>487</v>
      </c>
      <c r="N241" s="203">
        <v>409</v>
      </c>
      <c r="O241" s="205">
        <v>0</v>
      </c>
      <c r="P241" s="205">
        <f t="shared" si="92"/>
        <v>4734</v>
      </c>
      <c r="Q241" s="203">
        <v>491</v>
      </c>
      <c r="R241" s="203">
        <v>412</v>
      </c>
      <c r="S241" s="203">
        <v>312</v>
      </c>
      <c r="T241" s="203">
        <v>462</v>
      </c>
      <c r="U241" s="203">
        <v>491</v>
      </c>
      <c r="V241" s="203">
        <v>382</v>
      </c>
      <c r="W241" s="203">
        <v>365</v>
      </c>
      <c r="X241" s="203">
        <v>412</v>
      </c>
      <c r="Y241" s="203">
        <v>442</v>
      </c>
      <c r="Z241" s="203">
        <v>442</v>
      </c>
      <c r="AA241" s="203">
        <v>262</v>
      </c>
      <c r="AB241" s="203">
        <v>93</v>
      </c>
      <c r="AC241" s="203">
        <v>84</v>
      </c>
      <c r="AD241" s="203">
        <v>84</v>
      </c>
      <c r="AE241" s="203">
        <v>0</v>
      </c>
      <c r="AF241" s="203">
        <f t="shared" si="93"/>
        <v>105</v>
      </c>
      <c r="AG241" s="203">
        <v>105</v>
      </c>
      <c r="AH241" s="203">
        <v>0</v>
      </c>
      <c r="AI241" s="197">
        <f t="shared" si="87"/>
        <v>0</v>
      </c>
    </row>
    <row r="242" spans="1:35" s="198" customFormat="1" ht="26.1" customHeight="1">
      <c r="A242" s="239" t="s">
        <v>178</v>
      </c>
      <c r="B242" s="190" t="s">
        <v>179</v>
      </c>
      <c r="C242" s="241" t="s">
        <v>532</v>
      </c>
      <c r="D242" s="202">
        <v>4</v>
      </c>
      <c r="E242" s="203">
        <f t="shared" si="90"/>
        <v>17311</v>
      </c>
      <c r="F242" s="203">
        <v>17311</v>
      </c>
      <c r="G242" s="203">
        <v>0</v>
      </c>
      <c r="H242" s="203">
        <f t="shared" si="91"/>
        <v>6434</v>
      </c>
      <c r="I242" s="203">
        <v>0</v>
      </c>
      <c r="J242" s="203">
        <v>985</v>
      </c>
      <c r="K242" s="203">
        <v>985</v>
      </c>
      <c r="L242" s="203">
        <v>1784</v>
      </c>
      <c r="M242" s="203">
        <v>1695</v>
      </c>
      <c r="N242" s="203">
        <v>985</v>
      </c>
      <c r="O242" s="205">
        <v>0</v>
      </c>
      <c r="P242" s="205">
        <f t="shared" si="92"/>
        <v>10877</v>
      </c>
      <c r="Q242" s="203">
        <v>999</v>
      </c>
      <c r="R242" s="203">
        <v>999</v>
      </c>
      <c r="S242" s="203">
        <v>999</v>
      </c>
      <c r="T242" s="203">
        <v>999</v>
      </c>
      <c r="U242" s="203">
        <v>999</v>
      </c>
      <c r="V242" s="203">
        <v>1448</v>
      </c>
      <c r="W242" s="203">
        <v>1399</v>
      </c>
      <c r="X242" s="203">
        <v>1037</v>
      </c>
      <c r="Y242" s="203">
        <v>999</v>
      </c>
      <c r="Z242" s="203">
        <v>999</v>
      </c>
      <c r="AA242" s="203">
        <v>0</v>
      </c>
      <c r="AB242" s="203">
        <v>0</v>
      </c>
      <c r="AC242" s="203">
        <v>0</v>
      </c>
      <c r="AD242" s="203">
        <v>0</v>
      </c>
      <c r="AE242" s="203">
        <v>0</v>
      </c>
      <c r="AF242" s="203">
        <f t="shared" si="93"/>
        <v>0</v>
      </c>
      <c r="AG242" s="203">
        <v>0</v>
      </c>
      <c r="AH242" s="203">
        <v>0</v>
      </c>
      <c r="AI242" s="197">
        <f t="shared" si="87"/>
        <v>0</v>
      </c>
    </row>
    <row r="243" spans="1:35" s="198" customFormat="1" ht="26.1" customHeight="1">
      <c r="A243" s="239" t="s">
        <v>178</v>
      </c>
      <c r="B243" s="190" t="s">
        <v>179</v>
      </c>
      <c r="C243" s="241" t="s">
        <v>823</v>
      </c>
      <c r="D243" s="202">
        <v>4</v>
      </c>
      <c r="E243" s="203">
        <f t="shared" si="90"/>
        <v>57360</v>
      </c>
      <c r="F243" s="203">
        <v>57360</v>
      </c>
      <c r="G243" s="203">
        <v>0</v>
      </c>
      <c r="H243" s="203">
        <f t="shared" si="91"/>
        <v>15945</v>
      </c>
      <c r="I243" s="203" t="s">
        <v>145</v>
      </c>
      <c r="J243" s="203">
        <v>2140</v>
      </c>
      <c r="K243" s="203">
        <v>3425</v>
      </c>
      <c r="L243" s="203">
        <v>3400</v>
      </c>
      <c r="M243" s="203">
        <v>3440</v>
      </c>
      <c r="N243" s="203">
        <v>3540</v>
      </c>
      <c r="O243" s="205">
        <v>0</v>
      </c>
      <c r="P243" s="205">
        <f t="shared" si="92"/>
        <v>38685</v>
      </c>
      <c r="Q243" s="203">
        <v>3120</v>
      </c>
      <c r="R243" s="203">
        <v>2400</v>
      </c>
      <c r="S243" s="203">
        <v>2750</v>
      </c>
      <c r="T243" s="203">
        <v>2700</v>
      </c>
      <c r="U243" s="203">
        <v>3400</v>
      </c>
      <c r="V243" s="203">
        <v>2420</v>
      </c>
      <c r="W243" s="203">
        <v>2890</v>
      </c>
      <c r="X243" s="203">
        <v>2880</v>
      </c>
      <c r="Y243" s="203">
        <v>2995</v>
      </c>
      <c r="Z243" s="203">
        <v>3010</v>
      </c>
      <c r="AA243" s="203">
        <v>2300</v>
      </c>
      <c r="AB243" s="203">
        <v>2710</v>
      </c>
      <c r="AC243" s="203">
        <v>2410</v>
      </c>
      <c r="AD243" s="203">
        <v>2700</v>
      </c>
      <c r="AE243" s="203">
        <v>0</v>
      </c>
      <c r="AF243" s="203">
        <f t="shared" si="93"/>
        <v>2730</v>
      </c>
      <c r="AG243" s="203">
        <v>1450</v>
      </c>
      <c r="AH243" s="203">
        <v>1280</v>
      </c>
      <c r="AI243" s="197">
        <f t="shared" si="87"/>
        <v>0</v>
      </c>
    </row>
    <row r="244" spans="1:35" s="198" customFormat="1" ht="26.1" customHeight="1">
      <c r="A244" s="239" t="s">
        <v>178</v>
      </c>
      <c r="B244" s="190" t="s">
        <v>179</v>
      </c>
      <c r="C244" s="241" t="s">
        <v>389</v>
      </c>
      <c r="D244" s="202">
        <v>4</v>
      </c>
      <c r="E244" s="203">
        <f t="shared" si="90"/>
        <v>300000</v>
      </c>
      <c r="F244" s="203">
        <v>0</v>
      </c>
      <c r="G244" s="203">
        <v>300000</v>
      </c>
      <c r="H244" s="203">
        <f t="shared" si="91"/>
        <v>96500</v>
      </c>
      <c r="I244" s="203">
        <v>0</v>
      </c>
      <c r="J244" s="203">
        <v>12000</v>
      </c>
      <c r="K244" s="203">
        <v>28000</v>
      </c>
      <c r="L244" s="203">
        <v>25500</v>
      </c>
      <c r="M244" s="203">
        <v>28000</v>
      </c>
      <c r="N244" s="203">
        <v>3000</v>
      </c>
      <c r="O244" s="205">
        <v>0</v>
      </c>
      <c r="P244" s="205">
        <f t="shared" si="92"/>
        <v>194000</v>
      </c>
      <c r="Q244" s="203">
        <v>3000</v>
      </c>
      <c r="R244" s="203">
        <v>3500</v>
      </c>
      <c r="S244" s="203">
        <v>7000</v>
      </c>
      <c r="T244" s="203">
        <v>3000</v>
      </c>
      <c r="U244" s="203">
        <v>20000</v>
      </c>
      <c r="V244" s="203">
        <v>48860</v>
      </c>
      <c r="W244" s="203">
        <v>17500</v>
      </c>
      <c r="X244" s="203">
        <v>3500</v>
      </c>
      <c r="Y244" s="203">
        <v>3000</v>
      </c>
      <c r="Z244" s="203">
        <v>51340</v>
      </c>
      <c r="AA244" s="203">
        <v>3500</v>
      </c>
      <c r="AB244" s="203">
        <v>3500</v>
      </c>
      <c r="AC244" s="203">
        <v>12800</v>
      </c>
      <c r="AD244" s="203">
        <v>13500</v>
      </c>
      <c r="AE244" s="203">
        <v>0</v>
      </c>
      <c r="AF244" s="203">
        <f t="shared" si="93"/>
        <v>9500</v>
      </c>
      <c r="AG244" s="203">
        <v>4000</v>
      </c>
      <c r="AH244" s="203">
        <v>5500</v>
      </c>
      <c r="AI244" s="197">
        <f t="shared" si="87"/>
        <v>0</v>
      </c>
    </row>
    <row r="245" spans="1:35" s="198" customFormat="1" ht="26.1" customHeight="1">
      <c r="A245" s="239" t="s">
        <v>178</v>
      </c>
      <c r="B245" s="190" t="s">
        <v>179</v>
      </c>
      <c r="C245" s="241" t="s">
        <v>824</v>
      </c>
      <c r="D245" s="202">
        <v>4</v>
      </c>
      <c r="E245" s="203">
        <f t="shared" si="90"/>
        <v>508</v>
      </c>
      <c r="F245" s="203">
        <v>508</v>
      </c>
      <c r="G245" s="203">
        <v>0</v>
      </c>
      <c r="H245" s="203">
        <f t="shared" si="91"/>
        <v>84</v>
      </c>
      <c r="I245" s="203">
        <v>0</v>
      </c>
      <c r="J245" s="203">
        <v>0</v>
      </c>
      <c r="K245" s="203">
        <v>0</v>
      </c>
      <c r="L245" s="203">
        <v>20</v>
      </c>
      <c r="M245" s="203">
        <v>0</v>
      </c>
      <c r="N245" s="203">
        <v>64</v>
      </c>
      <c r="O245" s="205">
        <v>0</v>
      </c>
      <c r="P245" s="205">
        <f t="shared" si="92"/>
        <v>424</v>
      </c>
      <c r="Q245" s="203">
        <v>0</v>
      </c>
      <c r="R245" s="203">
        <v>0</v>
      </c>
      <c r="S245" s="203">
        <v>85</v>
      </c>
      <c r="T245" s="203">
        <v>98</v>
      </c>
      <c r="U245" s="203">
        <v>120</v>
      </c>
      <c r="V245" s="203">
        <v>52</v>
      </c>
      <c r="W245" s="203">
        <v>26</v>
      </c>
      <c r="X245" s="203">
        <v>25</v>
      </c>
      <c r="Y245" s="203">
        <v>18</v>
      </c>
      <c r="Z245" s="203">
        <v>0</v>
      </c>
      <c r="AA245" s="203">
        <v>0</v>
      </c>
      <c r="AB245" s="203">
        <v>0</v>
      </c>
      <c r="AC245" s="203">
        <v>0</v>
      </c>
      <c r="AD245" s="203">
        <v>0</v>
      </c>
      <c r="AE245" s="203">
        <v>0</v>
      </c>
      <c r="AF245" s="203">
        <f t="shared" si="93"/>
        <v>0</v>
      </c>
      <c r="AG245" s="203">
        <v>0</v>
      </c>
      <c r="AH245" s="203">
        <v>0</v>
      </c>
      <c r="AI245" s="197">
        <f t="shared" si="87"/>
        <v>0</v>
      </c>
    </row>
    <row r="246" spans="1:35" s="198" customFormat="1" ht="26.1" customHeight="1">
      <c r="A246" s="239" t="s">
        <v>178</v>
      </c>
      <c r="B246" s="190" t="s">
        <v>179</v>
      </c>
      <c r="C246" s="241" t="s">
        <v>825</v>
      </c>
      <c r="D246" s="202">
        <v>4</v>
      </c>
      <c r="E246" s="203">
        <f t="shared" si="90"/>
        <v>1643</v>
      </c>
      <c r="F246" s="203">
        <v>1643</v>
      </c>
      <c r="G246" s="203">
        <v>0</v>
      </c>
      <c r="H246" s="203">
        <f t="shared" si="91"/>
        <v>685</v>
      </c>
      <c r="I246" s="203">
        <v>0</v>
      </c>
      <c r="J246" s="203">
        <v>92</v>
      </c>
      <c r="K246" s="203">
        <v>108</v>
      </c>
      <c r="L246" s="203">
        <v>173</v>
      </c>
      <c r="M246" s="203">
        <v>225</v>
      </c>
      <c r="N246" s="203">
        <v>87</v>
      </c>
      <c r="O246" s="205">
        <v>0</v>
      </c>
      <c r="P246" s="205">
        <f t="shared" si="92"/>
        <v>958</v>
      </c>
      <c r="Q246" s="203">
        <v>46</v>
      </c>
      <c r="R246" s="203">
        <v>82</v>
      </c>
      <c r="S246" s="203">
        <v>114</v>
      </c>
      <c r="T246" s="203">
        <v>100</v>
      </c>
      <c r="U246" s="203">
        <v>61</v>
      </c>
      <c r="V246" s="203">
        <v>114</v>
      </c>
      <c r="W246" s="203">
        <v>99</v>
      </c>
      <c r="X246" s="203">
        <v>100</v>
      </c>
      <c r="Y246" s="203">
        <v>50</v>
      </c>
      <c r="Z246" s="203">
        <v>50</v>
      </c>
      <c r="AA246" s="203">
        <v>0</v>
      </c>
      <c r="AB246" s="203">
        <v>40</v>
      </c>
      <c r="AC246" s="203">
        <v>54</v>
      </c>
      <c r="AD246" s="203">
        <v>48</v>
      </c>
      <c r="AE246" s="203">
        <v>0</v>
      </c>
      <c r="AF246" s="203">
        <f t="shared" si="93"/>
        <v>0</v>
      </c>
      <c r="AG246" s="203">
        <v>0</v>
      </c>
      <c r="AH246" s="203">
        <v>0</v>
      </c>
      <c r="AI246" s="197">
        <f t="shared" si="87"/>
        <v>0</v>
      </c>
    </row>
    <row r="247" spans="1:35" s="198" customFormat="1" ht="26.1" customHeight="1">
      <c r="A247" s="239" t="s">
        <v>178</v>
      </c>
      <c r="B247" s="190" t="s">
        <v>179</v>
      </c>
      <c r="C247" s="241" t="s">
        <v>384</v>
      </c>
      <c r="D247" s="202">
        <v>4</v>
      </c>
      <c r="E247" s="203">
        <f t="shared" si="90"/>
        <v>3500</v>
      </c>
      <c r="F247" s="203">
        <v>3500</v>
      </c>
      <c r="G247" s="203">
        <v>0</v>
      </c>
      <c r="H247" s="203">
        <f t="shared" si="91"/>
        <v>1150</v>
      </c>
      <c r="I247" s="203">
        <v>0</v>
      </c>
      <c r="J247" s="203">
        <v>120</v>
      </c>
      <c r="K247" s="203">
        <v>140</v>
      </c>
      <c r="L247" s="203">
        <v>150</v>
      </c>
      <c r="M247" s="203">
        <v>190</v>
      </c>
      <c r="N247" s="203">
        <v>550</v>
      </c>
      <c r="O247" s="205">
        <v>0</v>
      </c>
      <c r="P247" s="205">
        <f t="shared" si="92"/>
        <v>2350</v>
      </c>
      <c r="Q247" s="203">
        <v>660</v>
      </c>
      <c r="R247" s="203">
        <v>140</v>
      </c>
      <c r="S247" s="203">
        <v>185</v>
      </c>
      <c r="T247" s="203">
        <v>295</v>
      </c>
      <c r="U247" s="203">
        <v>120</v>
      </c>
      <c r="V247" s="203">
        <v>190</v>
      </c>
      <c r="W247" s="203">
        <v>180</v>
      </c>
      <c r="X247" s="203">
        <v>190</v>
      </c>
      <c r="Y247" s="203">
        <v>120</v>
      </c>
      <c r="Z247" s="203">
        <v>50</v>
      </c>
      <c r="AA247" s="203">
        <v>80</v>
      </c>
      <c r="AB247" s="203">
        <v>0</v>
      </c>
      <c r="AC247" s="203">
        <v>140</v>
      </c>
      <c r="AD247" s="203">
        <v>0</v>
      </c>
      <c r="AE247" s="203">
        <v>0</v>
      </c>
      <c r="AF247" s="203">
        <f t="shared" si="93"/>
        <v>0</v>
      </c>
      <c r="AG247" s="203">
        <v>0</v>
      </c>
      <c r="AH247" s="203">
        <v>0</v>
      </c>
      <c r="AI247" s="197">
        <f t="shared" si="87"/>
        <v>0</v>
      </c>
    </row>
    <row r="248" spans="1:35" s="198" customFormat="1" ht="26.1" customHeight="1">
      <c r="A248" s="239" t="s">
        <v>178</v>
      </c>
      <c r="B248" s="190" t="s">
        <v>179</v>
      </c>
      <c r="C248" s="241" t="s">
        <v>826</v>
      </c>
      <c r="D248" s="202">
        <v>4</v>
      </c>
      <c r="E248" s="203">
        <f t="shared" si="90"/>
        <v>2850</v>
      </c>
      <c r="F248" s="203">
        <v>1200</v>
      </c>
      <c r="G248" s="203">
        <v>1650</v>
      </c>
      <c r="H248" s="203">
        <f t="shared" si="91"/>
        <v>1000</v>
      </c>
      <c r="I248" s="203">
        <v>0</v>
      </c>
      <c r="J248" s="203">
        <v>0</v>
      </c>
      <c r="K248" s="203">
        <v>0</v>
      </c>
      <c r="L248" s="203">
        <v>0</v>
      </c>
      <c r="M248" s="203">
        <v>550</v>
      </c>
      <c r="N248" s="203">
        <v>450</v>
      </c>
      <c r="O248" s="205">
        <v>0</v>
      </c>
      <c r="P248" s="205">
        <f t="shared" si="92"/>
        <v>1850</v>
      </c>
      <c r="Q248" s="203">
        <v>0</v>
      </c>
      <c r="R248" s="203">
        <v>0</v>
      </c>
      <c r="S248" s="203">
        <v>0</v>
      </c>
      <c r="T248" s="203">
        <v>550</v>
      </c>
      <c r="U248" s="203">
        <v>0</v>
      </c>
      <c r="V248" s="203">
        <v>650</v>
      </c>
      <c r="W248" s="203">
        <v>0</v>
      </c>
      <c r="X248" s="203">
        <v>650</v>
      </c>
      <c r="Y248" s="203">
        <v>0</v>
      </c>
      <c r="Z248" s="203">
        <v>0</v>
      </c>
      <c r="AA248" s="203">
        <v>0</v>
      </c>
      <c r="AB248" s="203">
        <v>0</v>
      </c>
      <c r="AC248" s="203">
        <v>0</v>
      </c>
      <c r="AD248" s="203">
        <v>0</v>
      </c>
      <c r="AE248" s="203">
        <v>0</v>
      </c>
      <c r="AF248" s="203">
        <f t="shared" si="93"/>
        <v>0</v>
      </c>
      <c r="AG248" s="203">
        <v>0</v>
      </c>
      <c r="AH248" s="203">
        <v>0</v>
      </c>
      <c r="AI248" s="197">
        <f t="shared" si="87"/>
        <v>0</v>
      </c>
    </row>
    <row r="249" spans="1:35" s="198" customFormat="1" ht="26.1" customHeight="1">
      <c r="A249" s="239" t="s">
        <v>178</v>
      </c>
      <c r="B249" s="190" t="s">
        <v>179</v>
      </c>
      <c r="C249" s="241" t="s">
        <v>827</v>
      </c>
      <c r="D249" s="202">
        <v>4</v>
      </c>
      <c r="E249" s="203">
        <f t="shared" si="90"/>
        <v>4690</v>
      </c>
      <c r="F249" s="203">
        <v>2870</v>
      </c>
      <c r="G249" s="203">
        <v>1820</v>
      </c>
      <c r="H249" s="203">
        <f t="shared" si="91"/>
        <v>1120</v>
      </c>
      <c r="I249" s="203">
        <v>0</v>
      </c>
      <c r="J249" s="203">
        <v>0</v>
      </c>
      <c r="K249" s="203">
        <v>250</v>
      </c>
      <c r="L249" s="203">
        <v>250</v>
      </c>
      <c r="M249" s="203">
        <v>320</v>
      </c>
      <c r="N249" s="203">
        <v>300</v>
      </c>
      <c r="O249" s="205">
        <v>0</v>
      </c>
      <c r="P249" s="205">
        <f t="shared" si="92"/>
        <v>3570</v>
      </c>
      <c r="Q249" s="203">
        <v>250</v>
      </c>
      <c r="R249" s="203">
        <v>250</v>
      </c>
      <c r="S249" s="203">
        <v>250</v>
      </c>
      <c r="T249" s="203">
        <v>350</v>
      </c>
      <c r="U249" s="203">
        <v>250</v>
      </c>
      <c r="V249" s="203">
        <v>350</v>
      </c>
      <c r="W249" s="203">
        <v>250</v>
      </c>
      <c r="X249" s="203">
        <v>1120</v>
      </c>
      <c r="Y249" s="203">
        <v>250</v>
      </c>
      <c r="Z249" s="203">
        <v>250</v>
      </c>
      <c r="AA249" s="203">
        <v>0</v>
      </c>
      <c r="AB249" s="203">
        <v>0</v>
      </c>
      <c r="AC249" s="203">
        <v>0</v>
      </c>
      <c r="AD249" s="203">
        <v>0</v>
      </c>
      <c r="AE249" s="203">
        <v>0</v>
      </c>
      <c r="AF249" s="203">
        <f t="shared" si="93"/>
        <v>0</v>
      </c>
      <c r="AG249" s="203">
        <v>0</v>
      </c>
      <c r="AH249" s="203">
        <v>0</v>
      </c>
      <c r="AI249" s="197">
        <f t="shared" si="87"/>
        <v>0</v>
      </c>
    </row>
    <row r="250" spans="1:35" s="198" customFormat="1" ht="26.1" customHeight="1">
      <c r="A250" s="239" t="s">
        <v>178</v>
      </c>
      <c r="B250" s="190" t="s">
        <v>179</v>
      </c>
      <c r="C250" s="241" t="s">
        <v>828</v>
      </c>
      <c r="D250" s="202">
        <v>4</v>
      </c>
      <c r="E250" s="203">
        <f t="shared" si="90"/>
        <v>12800</v>
      </c>
      <c r="F250" s="203">
        <v>800</v>
      </c>
      <c r="G250" s="203">
        <v>12000</v>
      </c>
      <c r="H250" s="203">
        <f t="shared" si="91"/>
        <v>3200</v>
      </c>
      <c r="I250" s="203">
        <v>0</v>
      </c>
      <c r="J250" s="203">
        <v>0</v>
      </c>
      <c r="K250" s="203">
        <v>550</v>
      </c>
      <c r="L250" s="203">
        <v>550</v>
      </c>
      <c r="M250" s="203">
        <v>1050</v>
      </c>
      <c r="N250" s="203">
        <v>1050</v>
      </c>
      <c r="O250" s="205">
        <v>0</v>
      </c>
      <c r="P250" s="205">
        <f t="shared" si="92"/>
        <v>9600</v>
      </c>
      <c r="Q250" s="203">
        <v>550</v>
      </c>
      <c r="R250" s="203">
        <v>550</v>
      </c>
      <c r="S250" s="203">
        <v>550</v>
      </c>
      <c r="T250" s="203">
        <v>1550</v>
      </c>
      <c r="U250" s="203">
        <v>600</v>
      </c>
      <c r="V250" s="203">
        <v>2050</v>
      </c>
      <c r="W250" s="203">
        <v>550</v>
      </c>
      <c r="X250" s="203">
        <v>2050</v>
      </c>
      <c r="Y250" s="203">
        <v>550</v>
      </c>
      <c r="Z250" s="203">
        <v>600</v>
      </c>
      <c r="AA250" s="203">
        <v>0</v>
      </c>
      <c r="AB250" s="203">
        <v>0</v>
      </c>
      <c r="AC250" s="203">
        <v>0</v>
      </c>
      <c r="AD250" s="203">
        <v>0</v>
      </c>
      <c r="AE250" s="203">
        <v>0</v>
      </c>
      <c r="AF250" s="203">
        <f t="shared" si="93"/>
        <v>0</v>
      </c>
      <c r="AG250" s="203">
        <v>0</v>
      </c>
      <c r="AH250" s="203">
        <v>0</v>
      </c>
      <c r="AI250" s="197">
        <f t="shared" si="87"/>
        <v>0</v>
      </c>
    </row>
    <row r="251" spans="1:35" s="198" customFormat="1" ht="26.1" customHeight="1">
      <c r="A251" s="239" t="s">
        <v>178</v>
      </c>
      <c r="B251" s="190" t="s">
        <v>179</v>
      </c>
      <c r="C251" s="241" t="s">
        <v>829</v>
      </c>
      <c r="D251" s="202">
        <v>4</v>
      </c>
      <c r="E251" s="203">
        <f t="shared" si="90"/>
        <v>5200</v>
      </c>
      <c r="F251" s="203">
        <v>1400</v>
      </c>
      <c r="G251" s="203">
        <v>3800</v>
      </c>
      <c r="H251" s="203">
        <f t="shared" si="91"/>
        <v>1400</v>
      </c>
      <c r="I251" s="203">
        <v>0</v>
      </c>
      <c r="J251" s="203">
        <v>0</v>
      </c>
      <c r="K251" s="203">
        <v>300</v>
      </c>
      <c r="L251" s="203">
        <v>300</v>
      </c>
      <c r="M251" s="203">
        <v>400</v>
      </c>
      <c r="N251" s="203">
        <v>400</v>
      </c>
      <c r="O251" s="205">
        <v>0</v>
      </c>
      <c r="P251" s="205">
        <f t="shared" si="92"/>
        <v>3800</v>
      </c>
      <c r="Q251" s="203">
        <v>300</v>
      </c>
      <c r="R251" s="203">
        <v>300</v>
      </c>
      <c r="S251" s="203">
        <v>300</v>
      </c>
      <c r="T251" s="203">
        <v>500</v>
      </c>
      <c r="U251" s="203">
        <v>300</v>
      </c>
      <c r="V251" s="203">
        <v>600</v>
      </c>
      <c r="W251" s="203">
        <v>300</v>
      </c>
      <c r="X251" s="203">
        <v>600</v>
      </c>
      <c r="Y251" s="203">
        <v>300</v>
      </c>
      <c r="Z251" s="203">
        <v>300</v>
      </c>
      <c r="AA251" s="203">
        <v>0</v>
      </c>
      <c r="AB251" s="203">
        <v>0</v>
      </c>
      <c r="AC251" s="203">
        <v>0</v>
      </c>
      <c r="AD251" s="203">
        <v>0</v>
      </c>
      <c r="AE251" s="203">
        <v>0</v>
      </c>
      <c r="AF251" s="203">
        <f t="shared" si="93"/>
        <v>0</v>
      </c>
      <c r="AG251" s="203">
        <v>0</v>
      </c>
      <c r="AH251" s="203">
        <v>0</v>
      </c>
      <c r="AI251" s="197">
        <f t="shared" si="87"/>
        <v>0</v>
      </c>
    </row>
    <row r="252" spans="1:35" s="198" customFormat="1" ht="26.1" customHeight="1">
      <c r="A252" s="239" t="s">
        <v>178</v>
      </c>
      <c r="B252" s="190" t="s">
        <v>179</v>
      </c>
      <c r="C252" s="241" t="s">
        <v>830</v>
      </c>
      <c r="D252" s="202">
        <v>4</v>
      </c>
      <c r="E252" s="203">
        <f t="shared" si="90"/>
        <v>6800</v>
      </c>
      <c r="F252" s="203">
        <v>6800</v>
      </c>
      <c r="G252" s="203">
        <v>0</v>
      </c>
      <c r="H252" s="203">
        <f t="shared" si="91"/>
        <v>2200</v>
      </c>
      <c r="I252" s="203">
        <v>0</v>
      </c>
      <c r="J252" s="203">
        <v>100</v>
      </c>
      <c r="K252" s="203">
        <v>100</v>
      </c>
      <c r="L252" s="203">
        <v>100</v>
      </c>
      <c r="M252" s="203">
        <v>1000</v>
      </c>
      <c r="N252" s="203">
        <v>900</v>
      </c>
      <c r="O252" s="205">
        <v>0</v>
      </c>
      <c r="P252" s="205">
        <f t="shared" si="92"/>
        <v>4500</v>
      </c>
      <c r="Q252" s="203">
        <v>100</v>
      </c>
      <c r="R252" s="203">
        <v>100</v>
      </c>
      <c r="S252" s="203">
        <v>100</v>
      </c>
      <c r="T252" s="203">
        <v>1600</v>
      </c>
      <c r="U252" s="203">
        <v>100</v>
      </c>
      <c r="V252" s="203">
        <v>1000</v>
      </c>
      <c r="W252" s="203">
        <v>100</v>
      </c>
      <c r="X252" s="203">
        <v>1000</v>
      </c>
      <c r="Y252" s="203">
        <v>100</v>
      </c>
      <c r="Z252" s="203">
        <v>100</v>
      </c>
      <c r="AA252" s="203">
        <v>50</v>
      </c>
      <c r="AB252" s="203">
        <v>50</v>
      </c>
      <c r="AC252" s="203">
        <v>50</v>
      </c>
      <c r="AD252" s="203">
        <v>50</v>
      </c>
      <c r="AE252" s="203">
        <v>0</v>
      </c>
      <c r="AF252" s="203">
        <f t="shared" si="93"/>
        <v>100</v>
      </c>
      <c r="AG252" s="203">
        <v>50</v>
      </c>
      <c r="AH252" s="203">
        <v>50</v>
      </c>
      <c r="AI252" s="197">
        <f t="shared" si="87"/>
        <v>0</v>
      </c>
    </row>
    <row r="253" spans="1:35" s="198" customFormat="1" ht="26.1" customHeight="1">
      <c r="A253" s="239" t="s">
        <v>178</v>
      </c>
      <c r="B253" s="190" t="s">
        <v>179</v>
      </c>
      <c r="C253" s="241" t="s">
        <v>831</v>
      </c>
      <c r="D253" s="202">
        <v>4</v>
      </c>
      <c r="E253" s="203">
        <f t="shared" si="90"/>
        <v>4103</v>
      </c>
      <c r="F253" s="203">
        <v>4103</v>
      </c>
      <c r="G253" s="203">
        <v>0</v>
      </c>
      <c r="H253" s="203">
        <f t="shared" si="91"/>
        <v>953</v>
      </c>
      <c r="I253" s="203">
        <v>0</v>
      </c>
      <c r="J253" s="203">
        <v>27</v>
      </c>
      <c r="K253" s="203">
        <v>63</v>
      </c>
      <c r="L253" s="203">
        <v>85</v>
      </c>
      <c r="M253" s="203">
        <v>255</v>
      </c>
      <c r="N253" s="203">
        <v>523</v>
      </c>
      <c r="O253" s="205">
        <v>0</v>
      </c>
      <c r="P253" s="205">
        <f t="shared" si="92"/>
        <v>3123</v>
      </c>
      <c r="Q253" s="203">
        <v>122</v>
      </c>
      <c r="R253" s="203">
        <v>59</v>
      </c>
      <c r="S253" s="203">
        <v>92</v>
      </c>
      <c r="T253" s="203">
        <v>1900</v>
      </c>
      <c r="U253" s="203">
        <v>104</v>
      </c>
      <c r="V253" s="203">
        <v>365</v>
      </c>
      <c r="W253" s="203">
        <v>154</v>
      </c>
      <c r="X253" s="203">
        <v>185</v>
      </c>
      <c r="Y253" s="203">
        <v>56</v>
      </c>
      <c r="Z253" s="203">
        <v>26</v>
      </c>
      <c r="AA253" s="203">
        <v>20</v>
      </c>
      <c r="AB253" s="203">
        <v>0</v>
      </c>
      <c r="AC253" s="203">
        <v>40</v>
      </c>
      <c r="AD253" s="203">
        <v>0</v>
      </c>
      <c r="AE253" s="203">
        <v>0</v>
      </c>
      <c r="AF253" s="203">
        <f t="shared" si="93"/>
        <v>27</v>
      </c>
      <c r="AG253" s="203">
        <v>27</v>
      </c>
      <c r="AH253" s="203">
        <v>0</v>
      </c>
      <c r="AI253" s="197">
        <f t="shared" si="87"/>
        <v>0</v>
      </c>
    </row>
    <row r="254" spans="1:35" s="198" customFormat="1" ht="26.1" customHeight="1">
      <c r="A254" s="239" t="s">
        <v>178</v>
      </c>
      <c r="B254" s="190" t="s">
        <v>179</v>
      </c>
      <c r="C254" s="241" t="s">
        <v>386</v>
      </c>
      <c r="D254" s="202">
        <v>4</v>
      </c>
      <c r="E254" s="203">
        <f t="shared" si="90"/>
        <v>2000</v>
      </c>
      <c r="F254" s="203">
        <v>2000</v>
      </c>
      <c r="G254" s="203">
        <v>0</v>
      </c>
      <c r="H254" s="203">
        <f t="shared" si="91"/>
        <v>500</v>
      </c>
      <c r="I254" s="203">
        <v>0</v>
      </c>
      <c r="J254" s="203">
        <v>100</v>
      </c>
      <c r="K254" s="203">
        <v>100</v>
      </c>
      <c r="L254" s="203">
        <v>100</v>
      </c>
      <c r="M254" s="203">
        <v>100</v>
      </c>
      <c r="N254" s="203">
        <v>100</v>
      </c>
      <c r="O254" s="205">
        <v>0</v>
      </c>
      <c r="P254" s="205">
        <f t="shared" si="92"/>
        <v>1400</v>
      </c>
      <c r="Q254" s="203">
        <v>100</v>
      </c>
      <c r="R254" s="203">
        <v>100</v>
      </c>
      <c r="S254" s="203">
        <v>100</v>
      </c>
      <c r="T254" s="203">
        <v>100</v>
      </c>
      <c r="U254" s="203">
        <v>100</v>
      </c>
      <c r="V254" s="203">
        <v>100</v>
      </c>
      <c r="W254" s="203">
        <v>100</v>
      </c>
      <c r="X254" s="203">
        <v>100</v>
      </c>
      <c r="Y254" s="203">
        <v>100</v>
      </c>
      <c r="Z254" s="203">
        <v>100</v>
      </c>
      <c r="AA254" s="203">
        <v>100</v>
      </c>
      <c r="AB254" s="203">
        <v>100</v>
      </c>
      <c r="AC254" s="203">
        <v>100</v>
      </c>
      <c r="AD254" s="203">
        <v>100</v>
      </c>
      <c r="AE254" s="203">
        <v>0</v>
      </c>
      <c r="AF254" s="203">
        <f t="shared" si="93"/>
        <v>100</v>
      </c>
      <c r="AG254" s="203">
        <v>0</v>
      </c>
      <c r="AH254" s="203">
        <v>100</v>
      </c>
      <c r="AI254" s="197">
        <f t="shared" si="87"/>
        <v>0</v>
      </c>
    </row>
    <row r="255" spans="1:35" s="198" customFormat="1" ht="26.1" customHeight="1">
      <c r="A255" s="239" t="s">
        <v>178</v>
      </c>
      <c r="B255" s="190" t="s">
        <v>179</v>
      </c>
      <c r="C255" s="241" t="s">
        <v>387</v>
      </c>
      <c r="D255" s="202">
        <v>4</v>
      </c>
      <c r="E255" s="203">
        <f t="shared" si="90"/>
        <v>1270</v>
      </c>
      <c r="F255" s="203">
        <v>1270</v>
      </c>
      <c r="G255" s="203">
        <v>0</v>
      </c>
      <c r="H255" s="203">
        <f t="shared" si="91"/>
        <v>370</v>
      </c>
      <c r="I255" s="203">
        <v>0</v>
      </c>
      <c r="J255" s="203">
        <v>70</v>
      </c>
      <c r="K255" s="203">
        <v>70</v>
      </c>
      <c r="L255" s="203">
        <v>100</v>
      </c>
      <c r="M255" s="203">
        <v>130</v>
      </c>
      <c r="N255" s="203">
        <v>0</v>
      </c>
      <c r="O255" s="205">
        <v>0</v>
      </c>
      <c r="P255" s="205">
        <f t="shared" si="92"/>
        <v>865</v>
      </c>
      <c r="Q255" s="203">
        <v>40</v>
      </c>
      <c r="R255" s="203">
        <v>45</v>
      </c>
      <c r="S255" s="203">
        <v>55</v>
      </c>
      <c r="T255" s="203">
        <v>140</v>
      </c>
      <c r="U255" s="203">
        <v>60</v>
      </c>
      <c r="V255" s="203">
        <v>145</v>
      </c>
      <c r="W255" s="203">
        <v>65</v>
      </c>
      <c r="X255" s="203">
        <v>140</v>
      </c>
      <c r="Y255" s="203">
        <v>50</v>
      </c>
      <c r="Z255" s="203">
        <v>30</v>
      </c>
      <c r="AA255" s="203">
        <v>25</v>
      </c>
      <c r="AB255" s="203">
        <v>15</v>
      </c>
      <c r="AC255" s="203">
        <v>30</v>
      </c>
      <c r="AD255" s="203">
        <v>25</v>
      </c>
      <c r="AE255" s="203">
        <v>0</v>
      </c>
      <c r="AF255" s="203">
        <f t="shared" si="93"/>
        <v>35</v>
      </c>
      <c r="AG255" s="203">
        <v>35</v>
      </c>
      <c r="AH255" s="203">
        <v>0</v>
      </c>
      <c r="AI255" s="197">
        <f t="shared" si="87"/>
        <v>0</v>
      </c>
    </row>
    <row r="256" spans="1:35" s="198" customFormat="1" ht="26.1" customHeight="1">
      <c r="A256" s="239" t="s">
        <v>178</v>
      </c>
      <c r="B256" s="190" t="s">
        <v>179</v>
      </c>
      <c r="C256" s="241" t="s">
        <v>388</v>
      </c>
      <c r="D256" s="202">
        <v>4</v>
      </c>
      <c r="E256" s="203">
        <f t="shared" si="90"/>
        <v>2000</v>
      </c>
      <c r="F256" s="203">
        <v>1450</v>
      </c>
      <c r="G256" s="203">
        <v>550</v>
      </c>
      <c r="H256" s="203">
        <f t="shared" si="91"/>
        <v>0</v>
      </c>
      <c r="I256" s="203">
        <v>0</v>
      </c>
      <c r="J256" s="203">
        <v>0</v>
      </c>
      <c r="K256" s="203">
        <v>0</v>
      </c>
      <c r="L256" s="203">
        <v>0</v>
      </c>
      <c r="M256" s="203">
        <v>0</v>
      </c>
      <c r="N256" s="203">
        <v>0</v>
      </c>
      <c r="O256" s="205">
        <v>0</v>
      </c>
      <c r="P256" s="205">
        <f t="shared" si="92"/>
        <v>2000</v>
      </c>
      <c r="Q256" s="203">
        <v>0</v>
      </c>
      <c r="R256" s="203">
        <v>2000</v>
      </c>
      <c r="S256" s="203">
        <v>0</v>
      </c>
      <c r="T256" s="203">
        <v>0</v>
      </c>
      <c r="U256" s="203">
        <v>0</v>
      </c>
      <c r="V256" s="203">
        <v>0</v>
      </c>
      <c r="W256" s="203">
        <v>0</v>
      </c>
      <c r="X256" s="203">
        <v>0</v>
      </c>
      <c r="Y256" s="203">
        <v>0</v>
      </c>
      <c r="Z256" s="203">
        <v>0</v>
      </c>
      <c r="AA256" s="203">
        <v>0</v>
      </c>
      <c r="AB256" s="203">
        <v>0</v>
      </c>
      <c r="AC256" s="203">
        <v>0</v>
      </c>
      <c r="AD256" s="203">
        <v>0</v>
      </c>
      <c r="AE256" s="203">
        <v>0</v>
      </c>
      <c r="AF256" s="203">
        <f t="shared" si="93"/>
        <v>0</v>
      </c>
      <c r="AG256" s="203">
        <v>0</v>
      </c>
      <c r="AH256" s="203">
        <v>0</v>
      </c>
      <c r="AI256" s="197">
        <f t="shared" si="87"/>
        <v>0</v>
      </c>
    </row>
    <row r="257" spans="1:35" s="198" customFormat="1" ht="26.1" customHeight="1">
      <c r="A257" s="239" t="s">
        <v>178</v>
      </c>
      <c r="B257" s="190" t="s">
        <v>179</v>
      </c>
      <c r="C257" s="241" t="s">
        <v>536</v>
      </c>
      <c r="D257" s="202">
        <v>4</v>
      </c>
      <c r="E257" s="203">
        <f t="shared" si="90"/>
        <v>220</v>
      </c>
      <c r="F257" s="203">
        <v>220</v>
      </c>
      <c r="G257" s="203">
        <v>0</v>
      </c>
      <c r="H257" s="203">
        <f t="shared" si="91"/>
        <v>70</v>
      </c>
      <c r="I257" s="203">
        <v>0</v>
      </c>
      <c r="J257" s="203">
        <v>14</v>
      </c>
      <c r="K257" s="203">
        <v>14</v>
      </c>
      <c r="L257" s="203">
        <v>14</v>
      </c>
      <c r="M257" s="203">
        <v>14</v>
      </c>
      <c r="N257" s="203">
        <v>14</v>
      </c>
      <c r="O257" s="205">
        <v>0</v>
      </c>
      <c r="P257" s="205">
        <f t="shared" si="92"/>
        <v>140</v>
      </c>
      <c r="Q257" s="203">
        <v>10</v>
      </c>
      <c r="R257" s="203">
        <v>10</v>
      </c>
      <c r="S257" s="203">
        <v>10</v>
      </c>
      <c r="T257" s="203">
        <v>10</v>
      </c>
      <c r="U257" s="203">
        <v>10</v>
      </c>
      <c r="V257" s="203">
        <v>10</v>
      </c>
      <c r="W257" s="203">
        <v>10</v>
      </c>
      <c r="X257" s="203">
        <v>10</v>
      </c>
      <c r="Y257" s="203">
        <v>10</v>
      </c>
      <c r="Z257" s="203">
        <v>10</v>
      </c>
      <c r="AA257" s="203">
        <v>10</v>
      </c>
      <c r="AB257" s="203">
        <v>10</v>
      </c>
      <c r="AC257" s="203">
        <v>10</v>
      </c>
      <c r="AD257" s="203">
        <v>10</v>
      </c>
      <c r="AE257" s="203">
        <v>0</v>
      </c>
      <c r="AF257" s="203">
        <f t="shared" si="93"/>
        <v>10</v>
      </c>
      <c r="AG257" s="203">
        <v>10</v>
      </c>
      <c r="AH257" s="203">
        <v>0</v>
      </c>
      <c r="AI257" s="197">
        <f t="shared" si="87"/>
        <v>0</v>
      </c>
    </row>
    <row r="258" spans="1:35" s="198" customFormat="1" ht="26.1" customHeight="1">
      <c r="A258" s="239" t="s">
        <v>178</v>
      </c>
      <c r="B258" s="190" t="s">
        <v>179</v>
      </c>
      <c r="C258" s="241" t="s">
        <v>832</v>
      </c>
      <c r="D258" s="202">
        <v>4</v>
      </c>
      <c r="E258" s="203">
        <f t="shared" si="90"/>
        <v>2208</v>
      </c>
      <c r="F258" s="203">
        <v>2208</v>
      </c>
      <c r="G258" s="203">
        <v>0</v>
      </c>
      <c r="H258" s="203">
        <f t="shared" si="91"/>
        <v>464</v>
      </c>
      <c r="I258" s="203">
        <v>0</v>
      </c>
      <c r="J258" s="203">
        <v>0</v>
      </c>
      <c r="K258" s="203">
        <v>50</v>
      </c>
      <c r="L258" s="203">
        <v>60</v>
      </c>
      <c r="M258" s="203">
        <v>124</v>
      </c>
      <c r="N258" s="203">
        <v>230</v>
      </c>
      <c r="O258" s="205">
        <v>0</v>
      </c>
      <c r="P258" s="205">
        <f t="shared" si="92"/>
        <v>1744</v>
      </c>
      <c r="Q258" s="203">
        <v>38</v>
      </c>
      <c r="R258" s="203">
        <v>36</v>
      </c>
      <c r="S258" s="203">
        <v>55</v>
      </c>
      <c r="T258" s="203">
        <v>680</v>
      </c>
      <c r="U258" s="203">
        <v>180</v>
      </c>
      <c r="V258" s="203">
        <v>374</v>
      </c>
      <c r="W258" s="203">
        <v>115</v>
      </c>
      <c r="X258" s="203">
        <v>172</v>
      </c>
      <c r="Y258" s="203">
        <v>49</v>
      </c>
      <c r="Z258" s="203">
        <v>45</v>
      </c>
      <c r="AA258" s="203">
        <v>0</v>
      </c>
      <c r="AB258" s="203">
        <v>0</v>
      </c>
      <c r="AC258" s="203">
        <v>0</v>
      </c>
      <c r="AD258" s="203">
        <v>0</v>
      </c>
      <c r="AE258" s="203">
        <v>0</v>
      </c>
      <c r="AF258" s="203">
        <f t="shared" si="93"/>
        <v>0</v>
      </c>
      <c r="AG258" s="203">
        <v>0</v>
      </c>
      <c r="AH258" s="203">
        <v>0</v>
      </c>
      <c r="AI258" s="197">
        <f t="shared" si="87"/>
        <v>0</v>
      </c>
    </row>
    <row r="259" spans="1:35" s="198" customFormat="1" ht="26.1" customHeight="1">
      <c r="A259" s="239"/>
      <c r="B259" s="190"/>
      <c r="C259" s="241"/>
      <c r="D259" s="202"/>
      <c r="E259" s="213">
        <f t="shared" ref="E259:AH259" si="94">SUM(E260:E273)</f>
        <v>190011</v>
      </c>
      <c r="F259" s="203">
        <f t="shared" si="94"/>
        <v>153991</v>
      </c>
      <c r="G259" s="203">
        <f t="shared" si="94"/>
        <v>36020</v>
      </c>
      <c r="H259" s="213">
        <f t="shared" si="94"/>
        <v>48980</v>
      </c>
      <c r="I259" s="203">
        <f t="shared" si="94"/>
        <v>0</v>
      </c>
      <c r="J259" s="203">
        <f t="shared" si="94"/>
        <v>6550</v>
      </c>
      <c r="K259" s="203"/>
      <c r="L259" s="203">
        <f t="shared" si="94"/>
        <v>7350</v>
      </c>
      <c r="M259" s="203">
        <f t="shared" si="94"/>
        <v>10540</v>
      </c>
      <c r="N259" s="203">
        <f t="shared" si="94"/>
        <v>8440</v>
      </c>
      <c r="O259" s="203">
        <f t="shared" si="94"/>
        <v>9200</v>
      </c>
      <c r="P259" s="213">
        <f t="shared" si="94"/>
        <v>104481</v>
      </c>
      <c r="Q259" s="203">
        <f t="shared" si="94"/>
        <v>7800</v>
      </c>
      <c r="R259" s="203">
        <f t="shared" si="94"/>
        <v>8285</v>
      </c>
      <c r="S259" s="203">
        <f t="shared" si="94"/>
        <v>6700</v>
      </c>
      <c r="T259" s="203">
        <f t="shared" si="94"/>
        <v>6700</v>
      </c>
      <c r="U259" s="203">
        <f t="shared" si="94"/>
        <v>7250</v>
      </c>
      <c r="V259" s="203">
        <f t="shared" si="94"/>
        <v>8500</v>
      </c>
      <c r="W259" s="203">
        <f t="shared" si="94"/>
        <v>4650</v>
      </c>
      <c r="X259" s="203">
        <f t="shared" si="94"/>
        <v>7520</v>
      </c>
      <c r="Y259" s="203">
        <f t="shared" si="94"/>
        <v>8450</v>
      </c>
      <c r="Z259" s="203">
        <f t="shared" si="94"/>
        <v>7965</v>
      </c>
      <c r="AA259" s="203">
        <f t="shared" si="94"/>
        <v>10400</v>
      </c>
      <c r="AB259" s="203">
        <f t="shared" si="94"/>
        <v>3200</v>
      </c>
      <c r="AC259" s="203">
        <f t="shared" si="94"/>
        <v>5050</v>
      </c>
      <c r="AD259" s="203">
        <f t="shared" si="94"/>
        <v>3600</v>
      </c>
      <c r="AE259" s="203">
        <f t="shared" si="94"/>
        <v>8411</v>
      </c>
      <c r="AF259" s="213">
        <f t="shared" si="94"/>
        <v>36550</v>
      </c>
      <c r="AG259" s="203">
        <f t="shared" si="94"/>
        <v>22150</v>
      </c>
      <c r="AH259" s="203">
        <f t="shared" si="94"/>
        <v>14400</v>
      </c>
      <c r="AI259" s="197">
        <f t="shared" ref="AI259:AI273" si="95">IF(+F259+G259=E259,0,FALSE)</f>
        <v>0</v>
      </c>
    </row>
    <row r="260" spans="1:35" s="198" customFormat="1" ht="26.1" customHeight="1">
      <c r="A260" s="239" t="s">
        <v>178</v>
      </c>
      <c r="B260" s="191" t="s">
        <v>3</v>
      </c>
      <c r="C260" s="241" t="s">
        <v>397</v>
      </c>
      <c r="D260" s="202">
        <v>4</v>
      </c>
      <c r="E260" s="203">
        <f t="shared" ref="E260:E273" si="96">SUM(H260,P260,AF260)</f>
        <v>10000</v>
      </c>
      <c r="F260" s="203">
        <v>9800</v>
      </c>
      <c r="G260" s="203">
        <v>200</v>
      </c>
      <c r="H260" s="203">
        <f t="shared" ref="H260:H273" si="97">SUM(I260:O260)</f>
        <v>0</v>
      </c>
      <c r="I260" s="203">
        <v>0</v>
      </c>
      <c r="J260" s="203">
        <v>0</v>
      </c>
      <c r="K260" s="203">
        <v>0</v>
      </c>
      <c r="L260" s="203">
        <v>0</v>
      </c>
      <c r="M260" s="203">
        <v>0</v>
      </c>
      <c r="N260" s="203">
        <v>0</v>
      </c>
      <c r="O260" s="205">
        <v>0</v>
      </c>
      <c r="P260" s="205">
        <f t="shared" ref="P260:P273" si="98">SUM(Q260:AE260)</f>
        <v>8400</v>
      </c>
      <c r="Q260" s="203">
        <v>0</v>
      </c>
      <c r="R260" s="203">
        <v>1000</v>
      </c>
      <c r="S260" s="203">
        <v>1300</v>
      </c>
      <c r="T260" s="203">
        <v>0</v>
      </c>
      <c r="U260" s="203">
        <v>0</v>
      </c>
      <c r="V260" s="203">
        <v>0</v>
      </c>
      <c r="W260" s="203">
        <v>800</v>
      </c>
      <c r="X260" s="203">
        <v>770</v>
      </c>
      <c r="Y260" s="203">
        <v>0</v>
      </c>
      <c r="Z260" s="203">
        <v>750</v>
      </c>
      <c r="AA260" s="203">
        <v>550</v>
      </c>
      <c r="AB260" s="203">
        <v>600</v>
      </c>
      <c r="AC260" s="203">
        <v>930</v>
      </c>
      <c r="AD260" s="203">
        <v>650</v>
      </c>
      <c r="AE260" s="203">
        <v>1050</v>
      </c>
      <c r="AF260" s="203">
        <f t="shared" ref="AF260:AF273" si="99">SUM(AG260:AH260)</f>
        <v>1600</v>
      </c>
      <c r="AG260" s="203">
        <v>900</v>
      </c>
      <c r="AH260" s="203">
        <v>700</v>
      </c>
      <c r="AI260" s="197">
        <f t="shared" si="95"/>
        <v>0</v>
      </c>
    </row>
    <row r="261" spans="1:35" s="198" customFormat="1" ht="26.1" customHeight="1">
      <c r="A261" s="239" t="s">
        <v>178</v>
      </c>
      <c r="B261" s="191" t="s">
        <v>3</v>
      </c>
      <c r="C261" s="241" t="s">
        <v>146</v>
      </c>
      <c r="D261" s="202">
        <v>4</v>
      </c>
      <c r="E261" s="203">
        <f t="shared" si="96"/>
        <v>9600</v>
      </c>
      <c r="F261" s="203">
        <v>9600</v>
      </c>
      <c r="G261" s="203">
        <v>0</v>
      </c>
      <c r="H261" s="203">
        <f t="shared" si="97"/>
        <v>2880</v>
      </c>
      <c r="I261" s="203">
        <v>0</v>
      </c>
      <c r="J261" s="203">
        <v>550</v>
      </c>
      <c r="K261" s="203">
        <v>500</v>
      </c>
      <c r="L261" s="203">
        <v>550</v>
      </c>
      <c r="M261" s="203">
        <v>640</v>
      </c>
      <c r="N261" s="203">
        <v>640</v>
      </c>
      <c r="O261" s="205">
        <v>0</v>
      </c>
      <c r="P261" s="205">
        <f t="shared" si="98"/>
        <v>6120</v>
      </c>
      <c r="Q261" s="203">
        <v>500</v>
      </c>
      <c r="R261" s="203">
        <v>500</v>
      </c>
      <c r="S261" s="203">
        <v>450</v>
      </c>
      <c r="T261" s="203">
        <v>450</v>
      </c>
      <c r="U261" s="203">
        <v>450</v>
      </c>
      <c r="V261" s="203">
        <v>450</v>
      </c>
      <c r="W261" s="203">
        <v>450</v>
      </c>
      <c r="X261" s="203">
        <v>450</v>
      </c>
      <c r="Y261" s="203">
        <v>450</v>
      </c>
      <c r="Z261" s="203">
        <v>450</v>
      </c>
      <c r="AA261" s="203">
        <v>450</v>
      </c>
      <c r="AB261" s="203">
        <v>400</v>
      </c>
      <c r="AC261" s="203">
        <v>320</v>
      </c>
      <c r="AD261" s="203">
        <v>350</v>
      </c>
      <c r="AE261" s="203">
        <v>0</v>
      </c>
      <c r="AF261" s="203">
        <f t="shared" si="99"/>
        <v>600</v>
      </c>
      <c r="AG261" s="203">
        <v>500</v>
      </c>
      <c r="AH261" s="203">
        <v>100</v>
      </c>
      <c r="AI261" s="197">
        <f t="shared" si="95"/>
        <v>0</v>
      </c>
    </row>
    <row r="262" spans="1:35" s="198" customFormat="1" ht="26.1" customHeight="1">
      <c r="A262" s="239" t="s">
        <v>178</v>
      </c>
      <c r="B262" s="191" t="s">
        <v>3</v>
      </c>
      <c r="C262" s="241" t="s">
        <v>398</v>
      </c>
      <c r="D262" s="202">
        <v>4</v>
      </c>
      <c r="E262" s="203">
        <f t="shared" si="96"/>
        <v>13500</v>
      </c>
      <c r="F262" s="203">
        <v>13500</v>
      </c>
      <c r="G262" s="203">
        <v>0</v>
      </c>
      <c r="H262" s="203">
        <f t="shared" si="97"/>
        <v>7100</v>
      </c>
      <c r="I262" s="203">
        <v>0</v>
      </c>
      <c r="J262" s="203">
        <v>1500</v>
      </c>
      <c r="K262" s="203">
        <v>1000</v>
      </c>
      <c r="L262" s="203">
        <v>1000</v>
      </c>
      <c r="M262" s="203">
        <v>1500</v>
      </c>
      <c r="N262" s="203">
        <v>2100</v>
      </c>
      <c r="O262" s="205">
        <v>0</v>
      </c>
      <c r="P262" s="205">
        <f t="shared" si="98"/>
        <v>6400</v>
      </c>
      <c r="Q262" s="203">
        <v>1450</v>
      </c>
      <c r="R262" s="203">
        <v>0</v>
      </c>
      <c r="S262" s="203">
        <v>0</v>
      </c>
      <c r="T262" s="203">
        <v>1000</v>
      </c>
      <c r="U262" s="203">
        <v>1200</v>
      </c>
      <c r="V262" s="203">
        <v>1000</v>
      </c>
      <c r="W262" s="203">
        <v>0</v>
      </c>
      <c r="X262" s="203">
        <v>0</v>
      </c>
      <c r="Y262" s="203">
        <v>1200</v>
      </c>
      <c r="Z262" s="203">
        <v>0</v>
      </c>
      <c r="AA262" s="203">
        <v>0</v>
      </c>
      <c r="AB262" s="203">
        <v>0</v>
      </c>
      <c r="AC262" s="203">
        <v>0</v>
      </c>
      <c r="AD262" s="203">
        <v>0</v>
      </c>
      <c r="AE262" s="203">
        <v>550</v>
      </c>
      <c r="AF262" s="203">
        <f t="shared" si="99"/>
        <v>0</v>
      </c>
      <c r="AG262" s="203">
        <v>0</v>
      </c>
      <c r="AH262" s="203">
        <v>0</v>
      </c>
      <c r="AI262" s="197">
        <f t="shared" si="95"/>
        <v>0</v>
      </c>
    </row>
    <row r="263" spans="1:35" s="198" customFormat="1" ht="26.1" customHeight="1">
      <c r="A263" s="239" t="s">
        <v>178</v>
      </c>
      <c r="B263" s="191" t="s">
        <v>3</v>
      </c>
      <c r="C263" s="241" t="s">
        <v>399</v>
      </c>
      <c r="D263" s="202">
        <v>4</v>
      </c>
      <c r="E263" s="203">
        <f t="shared" si="96"/>
        <v>19400</v>
      </c>
      <c r="F263" s="203">
        <v>19400</v>
      </c>
      <c r="G263" s="203">
        <v>0</v>
      </c>
      <c r="H263" s="203">
        <f t="shared" si="97"/>
        <v>5200</v>
      </c>
      <c r="I263" s="203">
        <v>0</v>
      </c>
      <c r="J263" s="203">
        <v>800</v>
      </c>
      <c r="K263" s="203">
        <v>300</v>
      </c>
      <c r="L263" s="203">
        <v>800</v>
      </c>
      <c r="M263" s="203">
        <v>800</v>
      </c>
      <c r="N263" s="203">
        <v>1000</v>
      </c>
      <c r="O263" s="205">
        <v>1500</v>
      </c>
      <c r="P263" s="205">
        <f t="shared" si="98"/>
        <v>11000</v>
      </c>
      <c r="Q263" s="203">
        <v>700</v>
      </c>
      <c r="R263" s="203">
        <v>800</v>
      </c>
      <c r="S263" s="203">
        <v>700</v>
      </c>
      <c r="T263" s="203">
        <v>1000</v>
      </c>
      <c r="U263" s="203">
        <v>600</v>
      </c>
      <c r="V263" s="203">
        <v>700</v>
      </c>
      <c r="W263" s="203">
        <v>1100</v>
      </c>
      <c r="X263" s="203">
        <v>1000</v>
      </c>
      <c r="Y263" s="203">
        <v>600</v>
      </c>
      <c r="Z263" s="203">
        <v>800</v>
      </c>
      <c r="AA263" s="203">
        <v>700</v>
      </c>
      <c r="AB263" s="203">
        <v>300</v>
      </c>
      <c r="AC263" s="203">
        <v>500</v>
      </c>
      <c r="AD263" s="203">
        <v>500</v>
      </c>
      <c r="AE263" s="203">
        <v>1000</v>
      </c>
      <c r="AF263" s="203">
        <f t="shared" si="99"/>
        <v>3200</v>
      </c>
      <c r="AG263" s="203">
        <v>2200</v>
      </c>
      <c r="AH263" s="203">
        <v>1000</v>
      </c>
      <c r="AI263" s="197">
        <f t="shared" si="95"/>
        <v>0</v>
      </c>
    </row>
    <row r="264" spans="1:35" s="198" customFormat="1" ht="26.1" customHeight="1">
      <c r="A264" s="239" t="s">
        <v>178</v>
      </c>
      <c r="B264" s="191" t="s">
        <v>3</v>
      </c>
      <c r="C264" s="241" t="s">
        <v>400</v>
      </c>
      <c r="D264" s="202">
        <v>4</v>
      </c>
      <c r="E264" s="203">
        <f t="shared" si="96"/>
        <v>20296</v>
      </c>
      <c r="F264" s="203">
        <v>18796</v>
      </c>
      <c r="G264" s="203">
        <v>1500</v>
      </c>
      <c r="H264" s="203">
        <f t="shared" si="97"/>
        <v>9000</v>
      </c>
      <c r="I264" s="203">
        <v>0</v>
      </c>
      <c r="J264" s="203">
        <v>0</v>
      </c>
      <c r="K264" s="203">
        <v>3000</v>
      </c>
      <c r="L264" s="203">
        <v>0</v>
      </c>
      <c r="M264" s="203">
        <v>3000</v>
      </c>
      <c r="N264" s="203">
        <v>1500</v>
      </c>
      <c r="O264" s="205">
        <v>1500</v>
      </c>
      <c r="P264" s="205">
        <f t="shared" si="98"/>
        <v>9396</v>
      </c>
      <c r="Q264" s="203">
        <v>0</v>
      </c>
      <c r="R264" s="203">
        <v>500</v>
      </c>
      <c r="S264" s="203">
        <v>550</v>
      </c>
      <c r="T264" s="203">
        <v>0</v>
      </c>
      <c r="U264" s="203">
        <v>0</v>
      </c>
      <c r="V264" s="203">
        <v>1200</v>
      </c>
      <c r="W264" s="203">
        <v>0</v>
      </c>
      <c r="X264" s="203">
        <v>2000</v>
      </c>
      <c r="Y264" s="203">
        <v>700</v>
      </c>
      <c r="Z264" s="203">
        <v>0</v>
      </c>
      <c r="AA264" s="203">
        <v>2300</v>
      </c>
      <c r="AB264" s="203">
        <v>800</v>
      </c>
      <c r="AC264" s="203">
        <v>0</v>
      </c>
      <c r="AD264" s="203">
        <v>0</v>
      </c>
      <c r="AE264" s="203">
        <v>1346</v>
      </c>
      <c r="AF264" s="203">
        <f t="shared" si="99"/>
        <v>1900</v>
      </c>
      <c r="AG264" s="203">
        <v>0</v>
      </c>
      <c r="AH264" s="203">
        <v>1900</v>
      </c>
      <c r="AI264" s="197">
        <f t="shared" si="95"/>
        <v>0</v>
      </c>
    </row>
    <row r="265" spans="1:35" s="198" customFormat="1" ht="26.1" customHeight="1">
      <c r="A265" s="239" t="s">
        <v>178</v>
      </c>
      <c r="B265" s="191" t="s">
        <v>3</v>
      </c>
      <c r="C265" s="241" t="s">
        <v>401</v>
      </c>
      <c r="D265" s="202">
        <v>4</v>
      </c>
      <c r="E265" s="203">
        <f t="shared" si="96"/>
        <v>16445</v>
      </c>
      <c r="F265" s="203">
        <v>14445</v>
      </c>
      <c r="G265" s="203">
        <v>2000</v>
      </c>
      <c r="H265" s="203">
        <f t="shared" si="97"/>
        <v>5600</v>
      </c>
      <c r="I265" s="203">
        <v>0</v>
      </c>
      <c r="J265" s="203">
        <v>1400</v>
      </c>
      <c r="K265" s="203">
        <v>0</v>
      </c>
      <c r="L265" s="203">
        <v>1700</v>
      </c>
      <c r="M265" s="203">
        <v>1600</v>
      </c>
      <c r="N265" s="203">
        <v>900</v>
      </c>
      <c r="O265" s="205">
        <v>0</v>
      </c>
      <c r="P265" s="205">
        <f t="shared" si="98"/>
        <v>10845</v>
      </c>
      <c r="Q265" s="203">
        <v>2350</v>
      </c>
      <c r="R265" s="203">
        <v>0</v>
      </c>
      <c r="S265" s="203">
        <v>0</v>
      </c>
      <c r="T265" s="203">
        <v>1500</v>
      </c>
      <c r="U265" s="203">
        <v>0</v>
      </c>
      <c r="V265" s="203">
        <v>2350</v>
      </c>
      <c r="W265" s="203">
        <v>900</v>
      </c>
      <c r="X265" s="203">
        <v>0</v>
      </c>
      <c r="Y265" s="203">
        <v>800</v>
      </c>
      <c r="Z265" s="203">
        <v>945</v>
      </c>
      <c r="AA265" s="203">
        <v>0</v>
      </c>
      <c r="AB265" s="203">
        <v>0</v>
      </c>
      <c r="AC265" s="203">
        <v>2000</v>
      </c>
      <c r="AD265" s="203">
        <v>0</v>
      </c>
      <c r="AE265" s="203">
        <v>0</v>
      </c>
      <c r="AF265" s="203">
        <f t="shared" si="99"/>
        <v>0</v>
      </c>
      <c r="AG265" s="203">
        <v>0</v>
      </c>
      <c r="AH265" s="203">
        <v>0</v>
      </c>
      <c r="AI265" s="197">
        <f t="shared" si="95"/>
        <v>0</v>
      </c>
    </row>
    <row r="266" spans="1:35" s="198" customFormat="1" ht="26.1" customHeight="1">
      <c r="A266" s="239" t="s">
        <v>178</v>
      </c>
      <c r="B266" s="191" t="s">
        <v>3</v>
      </c>
      <c r="C266" s="241" t="s">
        <v>396</v>
      </c>
      <c r="D266" s="202">
        <v>4</v>
      </c>
      <c r="E266" s="203">
        <f t="shared" si="96"/>
        <v>450</v>
      </c>
      <c r="F266" s="203">
        <v>450</v>
      </c>
      <c r="G266" s="203">
        <v>0</v>
      </c>
      <c r="H266" s="203">
        <f t="shared" si="97"/>
        <v>0</v>
      </c>
      <c r="I266" s="203">
        <v>0</v>
      </c>
      <c r="J266" s="203">
        <v>0</v>
      </c>
      <c r="K266" s="203">
        <v>0</v>
      </c>
      <c r="L266" s="203">
        <v>0</v>
      </c>
      <c r="M266" s="203">
        <v>0</v>
      </c>
      <c r="N266" s="203">
        <v>0</v>
      </c>
      <c r="O266" s="205">
        <v>0</v>
      </c>
      <c r="P266" s="205">
        <f t="shared" si="98"/>
        <v>0</v>
      </c>
      <c r="Q266" s="203">
        <v>0</v>
      </c>
      <c r="R266" s="203">
        <v>0</v>
      </c>
      <c r="S266" s="203">
        <v>0</v>
      </c>
      <c r="T266" s="203">
        <v>0</v>
      </c>
      <c r="U266" s="203">
        <v>0</v>
      </c>
      <c r="V266" s="203">
        <v>0</v>
      </c>
      <c r="W266" s="203">
        <v>0</v>
      </c>
      <c r="X266" s="203">
        <v>0</v>
      </c>
      <c r="Y266" s="203">
        <v>0</v>
      </c>
      <c r="Z266" s="203">
        <v>0</v>
      </c>
      <c r="AA266" s="203">
        <v>0</v>
      </c>
      <c r="AB266" s="203">
        <v>0</v>
      </c>
      <c r="AC266" s="203">
        <v>0</v>
      </c>
      <c r="AD266" s="203">
        <v>0</v>
      </c>
      <c r="AE266" s="203">
        <v>0</v>
      </c>
      <c r="AF266" s="203">
        <f t="shared" si="99"/>
        <v>450</v>
      </c>
      <c r="AG266" s="203">
        <v>450</v>
      </c>
      <c r="AH266" s="203">
        <v>0</v>
      </c>
      <c r="AI266" s="197">
        <f t="shared" si="95"/>
        <v>0</v>
      </c>
    </row>
    <row r="267" spans="1:35" s="198" customFormat="1" ht="26.1" customHeight="1">
      <c r="A267" s="239" t="s">
        <v>178</v>
      </c>
      <c r="B267" s="191" t="s">
        <v>3</v>
      </c>
      <c r="C267" s="241" t="s">
        <v>8</v>
      </c>
      <c r="D267" s="202">
        <v>4</v>
      </c>
      <c r="E267" s="203">
        <f t="shared" si="96"/>
        <v>7200</v>
      </c>
      <c r="F267" s="203">
        <v>7200</v>
      </c>
      <c r="G267" s="203">
        <v>0</v>
      </c>
      <c r="H267" s="203">
        <f t="shared" si="97"/>
        <v>3000</v>
      </c>
      <c r="I267" s="203">
        <v>0</v>
      </c>
      <c r="J267" s="203">
        <v>500</v>
      </c>
      <c r="K267" s="203">
        <v>0</v>
      </c>
      <c r="L267" s="203">
        <v>500</v>
      </c>
      <c r="M267" s="203">
        <v>500</v>
      </c>
      <c r="N267" s="203">
        <v>0</v>
      </c>
      <c r="O267" s="205">
        <v>1500</v>
      </c>
      <c r="P267" s="205">
        <f t="shared" si="98"/>
        <v>4200</v>
      </c>
      <c r="Q267" s="203">
        <v>500</v>
      </c>
      <c r="R267" s="203">
        <v>500</v>
      </c>
      <c r="S267" s="203">
        <v>500</v>
      </c>
      <c r="T267" s="203">
        <v>0</v>
      </c>
      <c r="U267" s="203">
        <v>500</v>
      </c>
      <c r="V267" s="203">
        <v>0</v>
      </c>
      <c r="W267" s="203">
        <v>500</v>
      </c>
      <c r="X267" s="203">
        <v>500</v>
      </c>
      <c r="Y267" s="203">
        <v>500</v>
      </c>
      <c r="Z267" s="203">
        <v>0</v>
      </c>
      <c r="AA267" s="203">
        <v>0</v>
      </c>
      <c r="AB267" s="203">
        <v>0</v>
      </c>
      <c r="AC267" s="203">
        <v>0</v>
      </c>
      <c r="AD267" s="203">
        <v>0</v>
      </c>
      <c r="AE267" s="203">
        <v>700</v>
      </c>
      <c r="AF267" s="203">
        <f t="shared" si="99"/>
        <v>0</v>
      </c>
      <c r="AG267" s="203">
        <v>0</v>
      </c>
      <c r="AH267" s="203">
        <v>0</v>
      </c>
      <c r="AI267" s="197">
        <f t="shared" si="95"/>
        <v>0</v>
      </c>
    </row>
    <row r="268" spans="1:35" s="198" customFormat="1" ht="26.1" customHeight="1">
      <c r="A268" s="239" t="s">
        <v>178</v>
      </c>
      <c r="B268" s="191" t="s">
        <v>3</v>
      </c>
      <c r="C268" s="241" t="s">
        <v>537</v>
      </c>
      <c r="D268" s="202">
        <v>4</v>
      </c>
      <c r="E268" s="203">
        <f t="shared" si="96"/>
        <v>8600</v>
      </c>
      <c r="F268" s="203">
        <v>8600</v>
      </c>
      <c r="G268" s="203">
        <v>0</v>
      </c>
      <c r="H268" s="203">
        <f t="shared" si="97"/>
        <v>4000</v>
      </c>
      <c r="I268" s="203">
        <v>0</v>
      </c>
      <c r="J268" s="203">
        <v>200</v>
      </c>
      <c r="K268" s="203">
        <v>200</v>
      </c>
      <c r="L268" s="203">
        <v>200</v>
      </c>
      <c r="M268" s="203">
        <v>200</v>
      </c>
      <c r="N268" s="203">
        <v>200</v>
      </c>
      <c r="O268" s="205">
        <v>3000</v>
      </c>
      <c r="P268" s="205">
        <f t="shared" si="98"/>
        <v>4600</v>
      </c>
      <c r="Q268" s="203">
        <v>200</v>
      </c>
      <c r="R268" s="203">
        <v>200</v>
      </c>
      <c r="S268" s="203">
        <v>200</v>
      </c>
      <c r="T268" s="203">
        <v>200</v>
      </c>
      <c r="U268" s="203">
        <v>200</v>
      </c>
      <c r="V268" s="203">
        <v>200</v>
      </c>
      <c r="W268" s="203">
        <v>200</v>
      </c>
      <c r="X268" s="203">
        <v>200</v>
      </c>
      <c r="Y268" s="203">
        <v>200</v>
      </c>
      <c r="Z268" s="203">
        <v>200</v>
      </c>
      <c r="AA268" s="203">
        <v>0</v>
      </c>
      <c r="AB268" s="203">
        <v>200</v>
      </c>
      <c r="AC268" s="203">
        <v>200</v>
      </c>
      <c r="AD268" s="203">
        <v>200</v>
      </c>
      <c r="AE268" s="203">
        <v>2000</v>
      </c>
      <c r="AF268" s="203">
        <f t="shared" si="99"/>
        <v>0</v>
      </c>
      <c r="AG268" s="203">
        <v>0</v>
      </c>
      <c r="AH268" s="203">
        <v>0</v>
      </c>
      <c r="AI268" s="197">
        <f t="shared" si="95"/>
        <v>0</v>
      </c>
    </row>
    <row r="269" spans="1:35" s="198" customFormat="1" ht="26.1" customHeight="1">
      <c r="A269" s="239" t="s">
        <v>178</v>
      </c>
      <c r="B269" s="191" t="s">
        <v>3</v>
      </c>
      <c r="C269" s="241" t="s">
        <v>538</v>
      </c>
      <c r="D269" s="202">
        <v>4</v>
      </c>
      <c r="E269" s="203">
        <f t="shared" si="96"/>
        <v>20675</v>
      </c>
      <c r="F269" s="203">
        <v>20675</v>
      </c>
      <c r="G269" s="203">
        <v>0</v>
      </c>
      <c r="H269" s="203">
        <f t="shared" si="97"/>
        <v>3815</v>
      </c>
      <c r="I269" s="203">
        <v>0</v>
      </c>
      <c r="J269" s="203">
        <v>300</v>
      </c>
      <c r="K269" s="203">
        <v>0</v>
      </c>
      <c r="L269" s="203">
        <v>1300</v>
      </c>
      <c r="M269" s="203">
        <v>1000</v>
      </c>
      <c r="N269" s="203">
        <v>800</v>
      </c>
      <c r="O269" s="205">
        <v>415</v>
      </c>
      <c r="P269" s="205">
        <f t="shared" si="98"/>
        <v>14610</v>
      </c>
      <c r="Q269" s="203">
        <v>600</v>
      </c>
      <c r="R269" s="203">
        <v>1500</v>
      </c>
      <c r="S269" s="203">
        <v>900</v>
      </c>
      <c r="T269" s="203">
        <v>1300</v>
      </c>
      <c r="U269" s="203">
        <v>1500</v>
      </c>
      <c r="V269" s="203">
        <v>1300</v>
      </c>
      <c r="W269" s="203">
        <v>400</v>
      </c>
      <c r="X269" s="203">
        <v>1300</v>
      </c>
      <c r="Y269" s="203">
        <v>2200</v>
      </c>
      <c r="Z269" s="203">
        <v>1200</v>
      </c>
      <c r="AA269" s="203">
        <v>400</v>
      </c>
      <c r="AB269" s="203">
        <v>300</v>
      </c>
      <c r="AC269" s="203">
        <v>500</v>
      </c>
      <c r="AD269" s="203">
        <v>300</v>
      </c>
      <c r="AE269" s="203">
        <v>910</v>
      </c>
      <c r="AF269" s="203">
        <f t="shared" si="99"/>
        <v>2250</v>
      </c>
      <c r="AG269" s="203">
        <v>1550</v>
      </c>
      <c r="AH269" s="203">
        <v>700</v>
      </c>
      <c r="AI269" s="197">
        <f t="shared" si="95"/>
        <v>0</v>
      </c>
    </row>
    <row r="270" spans="1:35" s="198" customFormat="1" ht="26.1" customHeight="1">
      <c r="A270" s="239" t="s">
        <v>178</v>
      </c>
      <c r="B270" s="191" t="s">
        <v>3</v>
      </c>
      <c r="C270" s="241" t="s">
        <v>539</v>
      </c>
      <c r="D270" s="202">
        <v>4</v>
      </c>
      <c r="E270" s="203">
        <f t="shared" si="96"/>
        <v>24325</v>
      </c>
      <c r="F270" s="203">
        <v>24325</v>
      </c>
      <c r="G270" s="203">
        <v>0</v>
      </c>
      <c r="H270" s="203">
        <f t="shared" si="97"/>
        <v>7185</v>
      </c>
      <c r="I270" s="203">
        <v>0</v>
      </c>
      <c r="J270" s="203">
        <v>700</v>
      </c>
      <c r="K270" s="203">
        <v>1300</v>
      </c>
      <c r="L270" s="203">
        <v>1300</v>
      </c>
      <c r="M270" s="203">
        <v>1300</v>
      </c>
      <c r="N270" s="203">
        <v>1300</v>
      </c>
      <c r="O270" s="205">
        <v>1285</v>
      </c>
      <c r="P270" s="205">
        <f t="shared" si="98"/>
        <v>15590</v>
      </c>
      <c r="Q270" s="203">
        <v>1500</v>
      </c>
      <c r="R270" s="203">
        <v>1285</v>
      </c>
      <c r="S270" s="203">
        <v>600</v>
      </c>
      <c r="T270" s="203">
        <v>1250</v>
      </c>
      <c r="U270" s="203">
        <v>1300</v>
      </c>
      <c r="V270" s="203">
        <v>1300</v>
      </c>
      <c r="W270" s="203">
        <v>300</v>
      </c>
      <c r="X270" s="203">
        <v>1300</v>
      </c>
      <c r="Y270" s="203">
        <v>1800</v>
      </c>
      <c r="Z270" s="203">
        <v>1300</v>
      </c>
      <c r="AA270" s="203">
        <v>0</v>
      </c>
      <c r="AB270" s="203">
        <v>600</v>
      </c>
      <c r="AC270" s="203">
        <v>600</v>
      </c>
      <c r="AD270" s="203">
        <v>1600</v>
      </c>
      <c r="AE270" s="203">
        <v>855</v>
      </c>
      <c r="AF270" s="203">
        <f t="shared" si="99"/>
        <v>1550</v>
      </c>
      <c r="AG270" s="203">
        <v>1550</v>
      </c>
      <c r="AH270" s="203">
        <v>0</v>
      </c>
      <c r="AI270" s="197">
        <f t="shared" si="95"/>
        <v>0</v>
      </c>
    </row>
    <row r="271" spans="1:35" s="198" customFormat="1" ht="26.1" customHeight="1">
      <c r="A271" s="239" t="s">
        <v>178</v>
      </c>
      <c r="B271" s="191" t="s">
        <v>3</v>
      </c>
      <c r="C271" s="241" t="s">
        <v>540</v>
      </c>
      <c r="D271" s="202">
        <v>4</v>
      </c>
      <c r="E271" s="203">
        <f t="shared" si="96"/>
        <v>10000</v>
      </c>
      <c r="F271" s="203">
        <v>0</v>
      </c>
      <c r="G271" s="203">
        <v>10000</v>
      </c>
      <c r="H271" s="203">
        <f t="shared" si="97"/>
        <v>0</v>
      </c>
      <c r="I271" s="203">
        <v>0</v>
      </c>
      <c r="J271" s="203">
        <v>0</v>
      </c>
      <c r="K271" s="203">
        <v>0</v>
      </c>
      <c r="L271" s="203">
        <v>0</v>
      </c>
      <c r="M271" s="203">
        <v>0</v>
      </c>
      <c r="N271" s="203">
        <v>0</v>
      </c>
      <c r="O271" s="205">
        <v>0</v>
      </c>
      <c r="P271" s="205">
        <f t="shared" si="98"/>
        <v>0</v>
      </c>
      <c r="Q271" s="203">
        <v>0</v>
      </c>
      <c r="R271" s="203">
        <v>0</v>
      </c>
      <c r="S271" s="203">
        <v>0</v>
      </c>
      <c r="T271" s="203">
        <v>0</v>
      </c>
      <c r="U271" s="203">
        <v>0</v>
      </c>
      <c r="V271" s="203">
        <v>0</v>
      </c>
      <c r="W271" s="203">
        <v>0</v>
      </c>
      <c r="X271" s="203">
        <v>0</v>
      </c>
      <c r="Y271" s="203">
        <v>0</v>
      </c>
      <c r="Z271" s="203">
        <v>0</v>
      </c>
      <c r="AA271" s="203">
        <v>0</v>
      </c>
      <c r="AB271" s="203">
        <v>0</v>
      </c>
      <c r="AC271" s="203">
        <v>0</v>
      </c>
      <c r="AD271" s="203">
        <v>0</v>
      </c>
      <c r="AE271" s="203">
        <v>0</v>
      </c>
      <c r="AF271" s="203">
        <f t="shared" si="99"/>
        <v>10000</v>
      </c>
      <c r="AG271" s="203">
        <v>10000</v>
      </c>
      <c r="AH271" s="203">
        <v>0</v>
      </c>
      <c r="AI271" s="197">
        <f t="shared" si="95"/>
        <v>0</v>
      </c>
    </row>
    <row r="272" spans="1:35" s="198" customFormat="1" ht="26.1" customHeight="1">
      <c r="A272" s="239" t="s">
        <v>178</v>
      </c>
      <c r="B272" s="191" t="s">
        <v>3</v>
      </c>
      <c r="C272" s="241" t="s">
        <v>541</v>
      </c>
      <c r="D272" s="202">
        <v>4</v>
      </c>
      <c r="E272" s="203">
        <f t="shared" si="96"/>
        <v>7200</v>
      </c>
      <c r="F272" s="203">
        <v>7200</v>
      </c>
      <c r="G272" s="203">
        <v>0</v>
      </c>
      <c r="H272" s="203">
        <f t="shared" si="97"/>
        <v>1200</v>
      </c>
      <c r="I272" s="203">
        <v>0</v>
      </c>
      <c r="J272" s="203">
        <v>600</v>
      </c>
      <c r="K272" s="203">
        <v>600</v>
      </c>
      <c r="L272" s="203">
        <v>0</v>
      </c>
      <c r="M272" s="203">
        <v>0</v>
      </c>
      <c r="N272" s="203">
        <v>0</v>
      </c>
      <c r="O272" s="205">
        <v>0</v>
      </c>
      <c r="P272" s="205">
        <f t="shared" si="98"/>
        <v>5000</v>
      </c>
      <c r="Q272" s="203">
        <v>0</v>
      </c>
      <c r="R272" s="203">
        <v>2000</v>
      </c>
      <c r="S272" s="203">
        <v>1500</v>
      </c>
      <c r="T272" s="203">
        <v>0</v>
      </c>
      <c r="U272" s="203">
        <v>1500</v>
      </c>
      <c r="V272" s="203">
        <v>0</v>
      </c>
      <c r="W272" s="203">
        <v>0</v>
      </c>
      <c r="X272" s="203">
        <v>0</v>
      </c>
      <c r="Y272" s="203">
        <v>0</v>
      </c>
      <c r="Z272" s="203">
        <v>0</v>
      </c>
      <c r="AA272" s="203">
        <v>0</v>
      </c>
      <c r="AB272" s="203">
        <v>0</v>
      </c>
      <c r="AC272" s="203">
        <v>0</v>
      </c>
      <c r="AD272" s="203">
        <v>0</v>
      </c>
      <c r="AE272" s="203">
        <v>0</v>
      </c>
      <c r="AF272" s="203">
        <f t="shared" si="99"/>
        <v>1000</v>
      </c>
      <c r="AG272" s="203">
        <v>1000</v>
      </c>
      <c r="AH272" s="203">
        <v>0</v>
      </c>
      <c r="AI272" s="197">
        <f t="shared" si="95"/>
        <v>0</v>
      </c>
    </row>
    <row r="273" spans="1:35" s="198" customFormat="1" ht="26.1" customHeight="1">
      <c r="A273" s="239" t="s">
        <v>178</v>
      </c>
      <c r="B273" s="191" t="s">
        <v>3</v>
      </c>
      <c r="C273" s="241" t="s">
        <v>402</v>
      </c>
      <c r="D273" s="202">
        <v>4</v>
      </c>
      <c r="E273" s="203">
        <f t="shared" si="96"/>
        <v>22320</v>
      </c>
      <c r="F273" s="203">
        <v>0</v>
      </c>
      <c r="G273" s="203">
        <v>22320</v>
      </c>
      <c r="H273" s="203">
        <f t="shared" si="97"/>
        <v>0</v>
      </c>
      <c r="I273" s="203">
        <v>0</v>
      </c>
      <c r="J273" s="203">
        <v>0</v>
      </c>
      <c r="K273" s="203">
        <v>0</v>
      </c>
      <c r="L273" s="203">
        <v>0</v>
      </c>
      <c r="M273" s="203">
        <v>0</v>
      </c>
      <c r="N273" s="203">
        <v>0</v>
      </c>
      <c r="O273" s="205">
        <v>0</v>
      </c>
      <c r="P273" s="205">
        <f t="shared" si="98"/>
        <v>8320</v>
      </c>
      <c r="Q273" s="203">
        <v>0</v>
      </c>
      <c r="R273" s="203">
        <v>0</v>
      </c>
      <c r="S273" s="203">
        <v>0</v>
      </c>
      <c r="T273" s="203">
        <v>0</v>
      </c>
      <c r="U273" s="203">
        <v>0</v>
      </c>
      <c r="V273" s="203">
        <v>0</v>
      </c>
      <c r="W273" s="203">
        <v>0</v>
      </c>
      <c r="X273" s="203">
        <v>0</v>
      </c>
      <c r="Y273" s="203">
        <v>0</v>
      </c>
      <c r="Z273" s="203">
        <v>2320</v>
      </c>
      <c r="AA273" s="203">
        <v>6000</v>
      </c>
      <c r="AB273" s="203">
        <v>0</v>
      </c>
      <c r="AC273" s="203">
        <v>0</v>
      </c>
      <c r="AD273" s="203">
        <v>0</v>
      </c>
      <c r="AE273" s="203">
        <v>0</v>
      </c>
      <c r="AF273" s="203">
        <f t="shared" si="99"/>
        <v>14000</v>
      </c>
      <c r="AG273" s="203">
        <v>4000</v>
      </c>
      <c r="AH273" s="203">
        <v>10000</v>
      </c>
      <c r="AI273" s="197">
        <f t="shared" si="95"/>
        <v>0</v>
      </c>
    </row>
    <row r="274" spans="1:35" s="198" customFormat="1" ht="26.1" customHeight="1">
      <c r="A274" s="239"/>
      <c r="B274" s="191"/>
      <c r="C274" s="241"/>
      <c r="D274" s="202"/>
      <c r="E274" s="213">
        <f t="shared" ref="E274:AH274" si="100">SUM(E275:E279)</f>
        <v>75160</v>
      </c>
      <c r="F274" s="203">
        <f t="shared" si="100"/>
        <v>71560</v>
      </c>
      <c r="G274" s="203">
        <f t="shared" si="100"/>
        <v>3600</v>
      </c>
      <c r="H274" s="213">
        <f t="shared" si="100"/>
        <v>22364</v>
      </c>
      <c r="I274" s="203">
        <f t="shared" si="100"/>
        <v>0</v>
      </c>
      <c r="J274" s="203">
        <f t="shared" si="100"/>
        <v>3350</v>
      </c>
      <c r="K274" s="203"/>
      <c r="L274" s="203">
        <f t="shared" si="100"/>
        <v>2180</v>
      </c>
      <c r="M274" s="203">
        <f t="shared" si="100"/>
        <v>1870</v>
      </c>
      <c r="N274" s="203">
        <f t="shared" si="100"/>
        <v>3660</v>
      </c>
      <c r="O274" s="203">
        <f t="shared" si="100"/>
        <v>9304</v>
      </c>
      <c r="P274" s="213">
        <f t="shared" si="100"/>
        <v>52496</v>
      </c>
      <c r="Q274" s="203">
        <f t="shared" si="100"/>
        <v>2350</v>
      </c>
      <c r="R274" s="203">
        <f t="shared" si="100"/>
        <v>1550</v>
      </c>
      <c r="S274" s="203">
        <f t="shared" si="100"/>
        <v>3060</v>
      </c>
      <c r="T274" s="203">
        <f t="shared" si="100"/>
        <v>2200</v>
      </c>
      <c r="U274" s="203">
        <f t="shared" si="100"/>
        <v>3880</v>
      </c>
      <c r="V274" s="203">
        <f t="shared" si="100"/>
        <v>1600</v>
      </c>
      <c r="W274" s="203">
        <f t="shared" si="100"/>
        <v>2190</v>
      </c>
      <c r="X274" s="203">
        <f t="shared" si="100"/>
        <v>2490</v>
      </c>
      <c r="Y274" s="203">
        <f t="shared" si="100"/>
        <v>2550</v>
      </c>
      <c r="Z274" s="203">
        <f t="shared" si="100"/>
        <v>2026</v>
      </c>
      <c r="AA274" s="203">
        <f t="shared" si="100"/>
        <v>900</v>
      </c>
      <c r="AB274" s="203">
        <f t="shared" si="100"/>
        <v>840</v>
      </c>
      <c r="AC274" s="203">
        <f t="shared" si="100"/>
        <v>500</v>
      </c>
      <c r="AD274" s="203">
        <f t="shared" si="100"/>
        <v>470</v>
      </c>
      <c r="AE274" s="203">
        <f t="shared" si="100"/>
        <v>25890</v>
      </c>
      <c r="AF274" s="213">
        <f t="shared" si="100"/>
        <v>300</v>
      </c>
      <c r="AG274" s="203">
        <f t="shared" si="100"/>
        <v>0</v>
      </c>
      <c r="AH274" s="203">
        <f t="shared" si="100"/>
        <v>300</v>
      </c>
      <c r="AI274" s="197">
        <f t="shared" ref="AI274:AI280" si="101">IF(+F274+G274=E274,0,FALSE)</f>
        <v>0</v>
      </c>
    </row>
    <row r="275" spans="1:35" s="198" customFormat="1" ht="26.1" customHeight="1">
      <c r="A275" s="239" t="s">
        <v>178</v>
      </c>
      <c r="B275" s="191" t="s">
        <v>4</v>
      </c>
      <c r="C275" s="241" t="s">
        <v>833</v>
      </c>
      <c r="D275" s="202">
        <v>4</v>
      </c>
      <c r="E275" s="203">
        <f>SUM(H275,P275,AF275)</f>
        <v>19667</v>
      </c>
      <c r="F275" s="203">
        <v>19667</v>
      </c>
      <c r="G275" s="203">
        <v>0</v>
      </c>
      <c r="H275" s="203">
        <f>SUM(I275:O275)</f>
        <v>4000</v>
      </c>
      <c r="I275" s="203">
        <v>0</v>
      </c>
      <c r="J275" s="203">
        <v>0</v>
      </c>
      <c r="K275" s="203">
        <v>0</v>
      </c>
      <c r="L275" s="203">
        <v>0</v>
      </c>
      <c r="M275" s="203">
        <v>0</v>
      </c>
      <c r="N275" s="203">
        <v>0</v>
      </c>
      <c r="O275" s="205">
        <v>4000</v>
      </c>
      <c r="P275" s="205">
        <f>SUM(Q275:AE275)</f>
        <v>15667</v>
      </c>
      <c r="Q275" s="203">
        <v>880</v>
      </c>
      <c r="R275" s="203">
        <v>140</v>
      </c>
      <c r="S275" s="203">
        <v>1560</v>
      </c>
      <c r="T275" s="203">
        <v>100</v>
      </c>
      <c r="U275" s="203">
        <v>230</v>
      </c>
      <c r="V275" s="203">
        <v>100</v>
      </c>
      <c r="W275" s="203">
        <v>180</v>
      </c>
      <c r="X275" s="203">
        <v>150</v>
      </c>
      <c r="Y275" s="203">
        <v>150</v>
      </c>
      <c r="Z275" s="203">
        <v>220</v>
      </c>
      <c r="AA275" s="203">
        <v>100</v>
      </c>
      <c r="AB275" s="203">
        <v>140</v>
      </c>
      <c r="AC275" s="203">
        <v>100</v>
      </c>
      <c r="AD275" s="203">
        <v>0</v>
      </c>
      <c r="AE275" s="203">
        <v>11617</v>
      </c>
      <c r="AF275" s="203">
        <f>SUM(AG275:AH275)</f>
        <v>0</v>
      </c>
      <c r="AG275" s="203">
        <v>0</v>
      </c>
      <c r="AH275" s="203">
        <v>0</v>
      </c>
      <c r="AI275" s="197">
        <f t="shared" si="101"/>
        <v>0</v>
      </c>
    </row>
    <row r="276" spans="1:35" s="198" customFormat="1" ht="26.1" customHeight="1">
      <c r="A276" s="239" t="s">
        <v>178</v>
      </c>
      <c r="B276" s="191" t="s">
        <v>4</v>
      </c>
      <c r="C276" s="241" t="s">
        <v>403</v>
      </c>
      <c r="D276" s="202">
        <v>4</v>
      </c>
      <c r="E276" s="203">
        <f>SUM(H276,P276,AF276)</f>
        <v>9443</v>
      </c>
      <c r="F276" s="203">
        <v>9443</v>
      </c>
      <c r="G276" s="203">
        <v>0</v>
      </c>
      <c r="H276" s="203">
        <f>SUM(I276:O276)</f>
        <v>6164</v>
      </c>
      <c r="I276" s="203">
        <v>0</v>
      </c>
      <c r="J276" s="203">
        <v>1150</v>
      </c>
      <c r="K276" s="203">
        <v>1100</v>
      </c>
      <c r="L276" s="203">
        <v>1180</v>
      </c>
      <c r="M276" s="203">
        <v>1174</v>
      </c>
      <c r="N276" s="203">
        <v>1560</v>
      </c>
      <c r="O276" s="205">
        <v>0</v>
      </c>
      <c r="P276" s="205">
        <f>SUM(Q276:AE276)</f>
        <v>3279</v>
      </c>
      <c r="Q276" s="203">
        <v>70</v>
      </c>
      <c r="R276" s="203">
        <v>110</v>
      </c>
      <c r="S276" s="203">
        <v>100</v>
      </c>
      <c r="T276" s="203">
        <v>0</v>
      </c>
      <c r="U276" s="203">
        <v>650</v>
      </c>
      <c r="V276" s="203">
        <v>0</v>
      </c>
      <c r="W276" s="203">
        <v>110</v>
      </c>
      <c r="X276" s="203">
        <v>140</v>
      </c>
      <c r="Y276" s="203">
        <v>100</v>
      </c>
      <c r="Z276" s="203">
        <v>156</v>
      </c>
      <c r="AA276" s="203">
        <v>0</v>
      </c>
      <c r="AB276" s="203">
        <v>0</v>
      </c>
      <c r="AC276" s="203">
        <v>0</v>
      </c>
      <c r="AD276" s="203">
        <v>70</v>
      </c>
      <c r="AE276" s="203">
        <v>1773</v>
      </c>
      <c r="AF276" s="203">
        <f>SUM(AG276:AH276)</f>
        <v>0</v>
      </c>
      <c r="AG276" s="203">
        <v>0</v>
      </c>
      <c r="AH276" s="203">
        <v>0</v>
      </c>
      <c r="AI276" s="197">
        <f t="shared" si="101"/>
        <v>0</v>
      </c>
    </row>
    <row r="277" spans="1:35" s="198" customFormat="1" ht="26.1" customHeight="1">
      <c r="A277" s="239" t="s">
        <v>178</v>
      </c>
      <c r="B277" s="191" t="s">
        <v>4</v>
      </c>
      <c r="C277" s="241" t="s">
        <v>404</v>
      </c>
      <c r="D277" s="202">
        <v>4</v>
      </c>
      <c r="E277" s="203">
        <f>SUM(H277,P277,AF277)</f>
        <v>9400</v>
      </c>
      <c r="F277" s="203">
        <v>9400</v>
      </c>
      <c r="G277" s="203">
        <v>0</v>
      </c>
      <c r="H277" s="203">
        <f>SUM(I277:O277)</f>
        <v>3100</v>
      </c>
      <c r="I277" s="203">
        <v>0</v>
      </c>
      <c r="J277" s="203">
        <v>0</v>
      </c>
      <c r="K277" s="203">
        <v>0</v>
      </c>
      <c r="L277" s="203">
        <v>0</v>
      </c>
      <c r="M277" s="203">
        <v>0</v>
      </c>
      <c r="N277" s="203">
        <v>0</v>
      </c>
      <c r="O277" s="205">
        <v>3100</v>
      </c>
      <c r="P277" s="205">
        <f>SUM(Q277:AE277)</f>
        <v>6300</v>
      </c>
      <c r="Q277" s="203">
        <v>0</v>
      </c>
      <c r="R277" s="203">
        <v>0</v>
      </c>
      <c r="S277" s="203">
        <v>0</v>
      </c>
      <c r="T277" s="203">
        <v>0</v>
      </c>
      <c r="U277" s="203">
        <v>0</v>
      </c>
      <c r="V277" s="203">
        <v>0</v>
      </c>
      <c r="W277" s="203">
        <v>0</v>
      </c>
      <c r="X277" s="203">
        <v>0</v>
      </c>
      <c r="Y277" s="203">
        <v>0</v>
      </c>
      <c r="Z277" s="203">
        <v>0</v>
      </c>
      <c r="AA277" s="203">
        <v>0</v>
      </c>
      <c r="AB277" s="203">
        <v>0</v>
      </c>
      <c r="AC277" s="203">
        <v>0</v>
      </c>
      <c r="AD277" s="203">
        <v>0</v>
      </c>
      <c r="AE277" s="203">
        <v>6300</v>
      </c>
      <c r="AF277" s="203">
        <f>SUM(AG277:AH277)</f>
        <v>0</v>
      </c>
      <c r="AG277" s="203">
        <v>0</v>
      </c>
      <c r="AH277" s="203">
        <v>0</v>
      </c>
      <c r="AI277" s="197">
        <f t="shared" si="101"/>
        <v>0</v>
      </c>
    </row>
    <row r="278" spans="1:35" s="198" customFormat="1" ht="26.1" customHeight="1">
      <c r="A278" s="239" t="s">
        <v>178</v>
      </c>
      <c r="B278" s="191" t="s">
        <v>4</v>
      </c>
      <c r="C278" s="241" t="s">
        <v>405</v>
      </c>
      <c r="D278" s="202">
        <v>4</v>
      </c>
      <c r="E278" s="203">
        <f>SUM(H278,P278,AF278)</f>
        <v>9300</v>
      </c>
      <c r="F278" s="203">
        <v>9300</v>
      </c>
      <c r="G278" s="203">
        <v>0</v>
      </c>
      <c r="H278" s="203">
        <f>SUM(I278:O278)</f>
        <v>2200</v>
      </c>
      <c r="I278" s="203">
        <v>0</v>
      </c>
      <c r="J278" s="203">
        <v>400</v>
      </c>
      <c r="K278" s="203">
        <v>400</v>
      </c>
      <c r="L278" s="203">
        <v>400</v>
      </c>
      <c r="M278" s="203">
        <v>396</v>
      </c>
      <c r="N278" s="203">
        <v>400</v>
      </c>
      <c r="O278" s="205">
        <v>204</v>
      </c>
      <c r="P278" s="205">
        <f>SUM(Q278:AE278)</f>
        <v>6800</v>
      </c>
      <c r="Q278" s="203">
        <v>600</v>
      </c>
      <c r="R278" s="203">
        <v>400</v>
      </c>
      <c r="S278" s="203">
        <v>400</v>
      </c>
      <c r="T278" s="203">
        <v>800</v>
      </c>
      <c r="U278" s="203">
        <v>400</v>
      </c>
      <c r="V278" s="203">
        <v>800</v>
      </c>
      <c r="W278" s="203">
        <v>400</v>
      </c>
      <c r="X278" s="203">
        <v>400</v>
      </c>
      <c r="Y278" s="203">
        <v>400</v>
      </c>
      <c r="Z278" s="203">
        <v>0</v>
      </c>
      <c r="AA278" s="203">
        <v>800</v>
      </c>
      <c r="AB278" s="203">
        <v>400</v>
      </c>
      <c r="AC278" s="203">
        <v>400</v>
      </c>
      <c r="AD278" s="203">
        <v>400</v>
      </c>
      <c r="AE278" s="203">
        <v>200</v>
      </c>
      <c r="AF278" s="203">
        <f>SUM(AG278:AH278)</f>
        <v>300</v>
      </c>
      <c r="AG278" s="203">
        <v>0</v>
      </c>
      <c r="AH278" s="203">
        <v>300</v>
      </c>
      <c r="AI278" s="197">
        <f t="shared" si="101"/>
        <v>0</v>
      </c>
    </row>
    <row r="279" spans="1:35" s="198" customFormat="1" ht="26.1" customHeight="1">
      <c r="A279" s="239" t="s">
        <v>178</v>
      </c>
      <c r="B279" s="191" t="s">
        <v>4</v>
      </c>
      <c r="C279" s="241" t="s">
        <v>834</v>
      </c>
      <c r="D279" s="202">
        <v>4</v>
      </c>
      <c r="E279" s="203">
        <f>SUM(H279,P279,AF279)</f>
        <v>27350</v>
      </c>
      <c r="F279" s="203">
        <v>23750</v>
      </c>
      <c r="G279" s="203">
        <v>3600</v>
      </c>
      <c r="H279" s="203">
        <f>SUM(I279:O279)</f>
        <v>6900</v>
      </c>
      <c r="I279" s="203">
        <v>0</v>
      </c>
      <c r="J279" s="203">
        <v>1800</v>
      </c>
      <c r="K279" s="203">
        <v>500</v>
      </c>
      <c r="L279" s="203">
        <v>600</v>
      </c>
      <c r="M279" s="203">
        <v>300</v>
      </c>
      <c r="N279" s="203">
        <v>1700</v>
      </c>
      <c r="O279" s="205">
        <v>2000</v>
      </c>
      <c r="P279" s="205">
        <f>SUM(Q279:AE279)</f>
        <v>20450</v>
      </c>
      <c r="Q279" s="203">
        <v>800</v>
      </c>
      <c r="R279" s="203">
        <v>900</v>
      </c>
      <c r="S279" s="203">
        <v>1000</v>
      </c>
      <c r="T279" s="203">
        <v>1300</v>
      </c>
      <c r="U279" s="203">
        <v>2600</v>
      </c>
      <c r="V279" s="203">
        <v>700</v>
      </c>
      <c r="W279" s="203">
        <v>1500</v>
      </c>
      <c r="X279" s="203">
        <v>1800</v>
      </c>
      <c r="Y279" s="203">
        <v>1900</v>
      </c>
      <c r="Z279" s="203">
        <v>1650</v>
      </c>
      <c r="AA279" s="203">
        <v>0</v>
      </c>
      <c r="AB279" s="203">
        <v>300</v>
      </c>
      <c r="AC279" s="203">
        <v>0</v>
      </c>
      <c r="AD279" s="203">
        <v>0</v>
      </c>
      <c r="AE279" s="203">
        <v>6000</v>
      </c>
      <c r="AF279" s="203">
        <f>SUM(AG279:AH279)</f>
        <v>0</v>
      </c>
      <c r="AG279" s="203">
        <v>0</v>
      </c>
      <c r="AH279" s="203">
        <v>0</v>
      </c>
      <c r="AI279" s="197">
        <f t="shared" si="101"/>
        <v>0</v>
      </c>
    </row>
    <row r="280" spans="1:35" s="198" customFormat="1" ht="26.1" customHeight="1">
      <c r="A280" s="239"/>
      <c r="B280" s="191"/>
      <c r="C280" s="241"/>
      <c r="D280" s="202"/>
      <c r="E280" s="213">
        <f t="shared" ref="E280:J280" si="102">SUM(E281:E291)</f>
        <v>702725</v>
      </c>
      <c r="F280" s="203">
        <f t="shared" si="102"/>
        <v>32529</v>
      </c>
      <c r="G280" s="203">
        <f t="shared" si="102"/>
        <v>670196</v>
      </c>
      <c r="H280" s="213">
        <f t="shared" si="102"/>
        <v>104883</v>
      </c>
      <c r="I280" s="203">
        <f t="shared" si="102"/>
        <v>0</v>
      </c>
      <c r="J280" s="203">
        <f t="shared" si="102"/>
        <v>15000</v>
      </c>
      <c r="K280" s="203"/>
      <c r="L280" s="203">
        <f t="shared" ref="L280:AH280" si="103">SUM(L281:L291)</f>
        <v>5230</v>
      </c>
      <c r="M280" s="203">
        <f t="shared" si="103"/>
        <v>32638</v>
      </c>
      <c r="N280" s="203">
        <f t="shared" si="103"/>
        <v>33352</v>
      </c>
      <c r="O280" s="203">
        <f t="shared" si="103"/>
        <v>11143</v>
      </c>
      <c r="P280" s="213">
        <f t="shared" si="103"/>
        <v>585582</v>
      </c>
      <c r="Q280" s="203">
        <f t="shared" si="103"/>
        <v>18796</v>
      </c>
      <c r="R280" s="203">
        <f t="shared" si="103"/>
        <v>5000</v>
      </c>
      <c r="S280" s="203">
        <f t="shared" si="103"/>
        <v>29000</v>
      </c>
      <c r="T280" s="203">
        <f t="shared" si="103"/>
        <v>323272</v>
      </c>
      <c r="U280" s="203">
        <f t="shared" si="103"/>
        <v>0</v>
      </c>
      <c r="V280" s="203">
        <f t="shared" si="103"/>
        <v>57151</v>
      </c>
      <c r="W280" s="203">
        <f t="shared" si="103"/>
        <v>24452</v>
      </c>
      <c r="X280" s="203">
        <f t="shared" si="103"/>
        <v>56427</v>
      </c>
      <c r="Y280" s="203">
        <f t="shared" si="103"/>
        <v>12020</v>
      </c>
      <c r="Z280" s="203">
        <f t="shared" si="103"/>
        <v>15020</v>
      </c>
      <c r="AA280" s="203">
        <f t="shared" si="103"/>
        <v>6325</v>
      </c>
      <c r="AB280" s="203">
        <f t="shared" si="103"/>
        <v>9000</v>
      </c>
      <c r="AC280" s="203">
        <f t="shared" si="103"/>
        <v>5000</v>
      </c>
      <c r="AD280" s="203">
        <f t="shared" si="103"/>
        <v>0</v>
      </c>
      <c r="AE280" s="203">
        <f t="shared" si="103"/>
        <v>24119</v>
      </c>
      <c r="AF280" s="213">
        <f t="shared" si="103"/>
        <v>12260</v>
      </c>
      <c r="AG280" s="203">
        <f t="shared" si="103"/>
        <v>5570</v>
      </c>
      <c r="AH280" s="203">
        <f t="shared" si="103"/>
        <v>6690</v>
      </c>
      <c r="AI280" s="197">
        <f t="shared" si="101"/>
        <v>0</v>
      </c>
    </row>
    <row r="281" spans="1:35" s="198" customFormat="1" ht="26.1" customHeight="1">
      <c r="A281" s="239" t="s">
        <v>178</v>
      </c>
      <c r="B281" s="191" t="s">
        <v>407</v>
      </c>
      <c r="C281" s="241" t="s">
        <v>408</v>
      </c>
      <c r="D281" s="202">
        <v>4</v>
      </c>
      <c r="E281" s="203">
        <f t="shared" ref="E281:E291" si="104">SUM(H281,P281,AF281)</f>
        <v>3888</v>
      </c>
      <c r="F281" s="203">
        <v>3888</v>
      </c>
      <c r="G281" s="203">
        <v>0</v>
      </c>
      <c r="H281" s="203">
        <f t="shared" ref="H281:H291" si="105">SUM(I281:O281)</f>
        <v>300</v>
      </c>
      <c r="I281" s="203">
        <v>0</v>
      </c>
      <c r="J281" s="203">
        <v>0</v>
      </c>
      <c r="K281" s="203">
        <v>0</v>
      </c>
      <c r="L281" s="203">
        <v>150</v>
      </c>
      <c r="M281" s="203">
        <v>150</v>
      </c>
      <c r="N281" s="203">
        <v>0</v>
      </c>
      <c r="O281" s="205">
        <v>0</v>
      </c>
      <c r="P281" s="205">
        <f t="shared" ref="P281:P291" si="106">SUM(Q281:AE281)</f>
        <v>2958</v>
      </c>
      <c r="Q281" s="203">
        <v>1000</v>
      </c>
      <c r="R281" s="203">
        <v>0</v>
      </c>
      <c r="S281" s="203">
        <v>0</v>
      </c>
      <c r="T281" s="203">
        <v>0</v>
      </c>
      <c r="U281" s="203">
        <v>0</v>
      </c>
      <c r="V281" s="203">
        <v>0</v>
      </c>
      <c r="W281" s="203">
        <v>0</v>
      </c>
      <c r="X281" s="203">
        <v>958</v>
      </c>
      <c r="Y281" s="203">
        <v>0</v>
      </c>
      <c r="Z281" s="203">
        <v>0</v>
      </c>
      <c r="AA281" s="203">
        <v>0</v>
      </c>
      <c r="AB281" s="203">
        <v>1000</v>
      </c>
      <c r="AC281" s="203">
        <v>0</v>
      </c>
      <c r="AD281" s="203">
        <v>0</v>
      </c>
      <c r="AE281" s="203">
        <v>0</v>
      </c>
      <c r="AF281" s="203">
        <f t="shared" ref="AF281:AF291" si="107">SUM(AG281:AH281)</f>
        <v>630</v>
      </c>
      <c r="AG281" s="203">
        <v>315</v>
      </c>
      <c r="AH281" s="203">
        <v>315</v>
      </c>
      <c r="AI281" s="197">
        <f t="shared" ref="AI281:AI291" si="108">IF(+F281+G281=E281,0,FALSE)</f>
        <v>0</v>
      </c>
    </row>
    <row r="282" spans="1:35" s="198" customFormat="1" ht="26.1" customHeight="1">
      <c r="A282" s="239" t="s">
        <v>178</v>
      </c>
      <c r="B282" s="191" t="s">
        <v>407</v>
      </c>
      <c r="C282" s="241" t="s">
        <v>409</v>
      </c>
      <c r="D282" s="202">
        <v>4</v>
      </c>
      <c r="E282" s="203">
        <f t="shared" si="104"/>
        <v>300</v>
      </c>
      <c r="F282" s="203">
        <v>300</v>
      </c>
      <c r="G282" s="203">
        <v>0</v>
      </c>
      <c r="H282" s="203">
        <f t="shared" si="105"/>
        <v>20</v>
      </c>
      <c r="I282" s="203">
        <v>0</v>
      </c>
      <c r="J282" s="203">
        <v>0</v>
      </c>
      <c r="K282" s="203">
        <v>0</v>
      </c>
      <c r="L282" s="203">
        <v>0</v>
      </c>
      <c r="M282" s="203">
        <v>20</v>
      </c>
      <c r="N282" s="203">
        <v>0</v>
      </c>
      <c r="O282" s="205">
        <v>0</v>
      </c>
      <c r="P282" s="205">
        <f t="shared" si="106"/>
        <v>280</v>
      </c>
      <c r="Q282" s="203">
        <v>0</v>
      </c>
      <c r="R282" s="203">
        <v>0</v>
      </c>
      <c r="S282" s="203">
        <v>0</v>
      </c>
      <c r="T282" s="203">
        <v>0</v>
      </c>
      <c r="U282" s="203">
        <v>0</v>
      </c>
      <c r="V282" s="203">
        <v>30</v>
      </c>
      <c r="W282" s="203">
        <v>40</v>
      </c>
      <c r="X282" s="203">
        <v>0</v>
      </c>
      <c r="Y282" s="203">
        <v>0</v>
      </c>
      <c r="Z282" s="203">
        <v>0</v>
      </c>
      <c r="AA282" s="203">
        <v>210</v>
      </c>
      <c r="AB282" s="203">
        <v>0</v>
      </c>
      <c r="AC282" s="203">
        <v>0</v>
      </c>
      <c r="AD282" s="203">
        <v>0</v>
      </c>
      <c r="AE282" s="203">
        <v>0</v>
      </c>
      <c r="AF282" s="203">
        <f t="shared" si="107"/>
        <v>0</v>
      </c>
      <c r="AG282" s="203">
        <v>0</v>
      </c>
      <c r="AH282" s="203">
        <v>0</v>
      </c>
      <c r="AI282" s="197">
        <f t="shared" si="108"/>
        <v>0</v>
      </c>
    </row>
    <row r="283" spans="1:35" s="198" customFormat="1" ht="26.1" customHeight="1">
      <c r="A283" s="239" t="s">
        <v>178</v>
      </c>
      <c r="B283" s="191" t="s">
        <v>407</v>
      </c>
      <c r="C283" s="241" t="s">
        <v>410</v>
      </c>
      <c r="D283" s="202">
        <v>4</v>
      </c>
      <c r="E283" s="203">
        <f t="shared" si="104"/>
        <v>1171</v>
      </c>
      <c r="F283" s="203">
        <v>1171</v>
      </c>
      <c r="G283" s="203">
        <v>0</v>
      </c>
      <c r="H283" s="203">
        <f t="shared" si="105"/>
        <v>674</v>
      </c>
      <c r="I283" s="203">
        <v>0</v>
      </c>
      <c r="J283" s="203">
        <v>0</v>
      </c>
      <c r="K283" s="203">
        <v>20</v>
      </c>
      <c r="L283" s="203">
        <v>80</v>
      </c>
      <c r="M283" s="203">
        <v>274</v>
      </c>
      <c r="N283" s="203">
        <v>300</v>
      </c>
      <c r="O283" s="205">
        <v>0</v>
      </c>
      <c r="P283" s="205">
        <f t="shared" si="106"/>
        <v>497</v>
      </c>
      <c r="Q283" s="203">
        <v>31</v>
      </c>
      <c r="R283" s="203">
        <v>0</v>
      </c>
      <c r="S283" s="203">
        <v>0</v>
      </c>
      <c r="T283" s="203">
        <v>37</v>
      </c>
      <c r="U283" s="203">
        <v>0</v>
      </c>
      <c r="V283" s="203">
        <v>37</v>
      </c>
      <c r="W283" s="203">
        <v>37</v>
      </c>
      <c r="X283" s="203">
        <v>315</v>
      </c>
      <c r="Y283" s="203">
        <v>20</v>
      </c>
      <c r="Z283" s="203">
        <v>20</v>
      </c>
      <c r="AA283" s="203">
        <v>0</v>
      </c>
      <c r="AB283" s="203">
        <v>0</v>
      </c>
      <c r="AC283" s="203">
        <v>0</v>
      </c>
      <c r="AD283" s="203">
        <v>0</v>
      </c>
      <c r="AE283" s="203">
        <v>0</v>
      </c>
      <c r="AF283" s="203">
        <f t="shared" si="107"/>
        <v>0</v>
      </c>
      <c r="AG283" s="203">
        <v>0</v>
      </c>
      <c r="AH283" s="203">
        <v>0</v>
      </c>
      <c r="AI283" s="197">
        <f t="shared" si="108"/>
        <v>0</v>
      </c>
    </row>
    <row r="284" spans="1:35" s="198" customFormat="1" ht="26.1" customHeight="1">
      <c r="A284" s="239" t="s">
        <v>178</v>
      </c>
      <c r="B284" s="191" t="s">
        <v>407</v>
      </c>
      <c r="C284" s="241" t="s">
        <v>835</v>
      </c>
      <c r="D284" s="202">
        <v>4</v>
      </c>
      <c r="E284" s="203">
        <f t="shared" si="104"/>
        <v>2000</v>
      </c>
      <c r="F284" s="203">
        <v>2000</v>
      </c>
      <c r="G284" s="203">
        <v>0</v>
      </c>
      <c r="H284" s="203">
        <f t="shared" si="105"/>
        <v>800</v>
      </c>
      <c r="I284" s="203">
        <v>0</v>
      </c>
      <c r="J284" s="203">
        <v>0</v>
      </c>
      <c r="K284" s="203">
        <v>0</v>
      </c>
      <c r="L284" s="203">
        <v>0</v>
      </c>
      <c r="M284" s="203">
        <v>0</v>
      </c>
      <c r="N284" s="203">
        <v>0</v>
      </c>
      <c r="O284" s="205">
        <v>800</v>
      </c>
      <c r="P284" s="205">
        <f t="shared" si="106"/>
        <v>1200</v>
      </c>
      <c r="Q284" s="203">
        <v>0</v>
      </c>
      <c r="R284" s="203">
        <v>0</v>
      </c>
      <c r="S284" s="203">
        <v>0</v>
      </c>
      <c r="T284" s="203">
        <v>0</v>
      </c>
      <c r="U284" s="203">
        <v>0</v>
      </c>
      <c r="V284" s="203">
        <v>0</v>
      </c>
      <c r="W284" s="203">
        <v>0</v>
      </c>
      <c r="X284" s="203">
        <v>0</v>
      </c>
      <c r="Y284" s="203">
        <v>0</v>
      </c>
      <c r="Z284" s="203">
        <v>0</v>
      </c>
      <c r="AA284" s="203">
        <v>0</v>
      </c>
      <c r="AB284" s="203">
        <v>0</v>
      </c>
      <c r="AC284" s="203">
        <v>0</v>
      </c>
      <c r="AD284" s="203">
        <v>0</v>
      </c>
      <c r="AE284" s="203">
        <v>1200</v>
      </c>
      <c r="AF284" s="203">
        <f t="shared" si="107"/>
        <v>0</v>
      </c>
      <c r="AG284" s="203">
        <v>0</v>
      </c>
      <c r="AH284" s="203">
        <v>0</v>
      </c>
      <c r="AI284" s="197">
        <f t="shared" si="108"/>
        <v>0</v>
      </c>
    </row>
    <row r="285" spans="1:35" s="198" customFormat="1" ht="26.1" customHeight="1">
      <c r="A285" s="239" t="s">
        <v>178</v>
      </c>
      <c r="B285" s="191" t="s">
        <v>407</v>
      </c>
      <c r="C285" s="241" t="s">
        <v>411</v>
      </c>
      <c r="D285" s="202">
        <v>4</v>
      </c>
      <c r="E285" s="203">
        <f t="shared" si="104"/>
        <v>2890</v>
      </c>
      <c r="F285" s="203">
        <v>2890</v>
      </c>
      <c r="G285" s="203">
        <v>0</v>
      </c>
      <c r="H285" s="203">
        <f t="shared" si="105"/>
        <v>343</v>
      </c>
      <c r="I285" s="203">
        <v>0</v>
      </c>
      <c r="J285" s="203">
        <v>0</v>
      </c>
      <c r="K285" s="203">
        <v>0</v>
      </c>
      <c r="L285" s="203">
        <v>0</v>
      </c>
      <c r="M285" s="203">
        <v>0</v>
      </c>
      <c r="N285" s="203">
        <v>0</v>
      </c>
      <c r="O285" s="205">
        <v>343</v>
      </c>
      <c r="P285" s="205">
        <f t="shared" si="106"/>
        <v>1917</v>
      </c>
      <c r="Q285" s="203">
        <v>0</v>
      </c>
      <c r="R285" s="203">
        <v>0</v>
      </c>
      <c r="S285" s="203">
        <v>0</v>
      </c>
      <c r="T285" s="203">
        <v>0</v>
      </c>
      <c r="U285" s="203">
        <v>0</v>
      </c>
      <c r="V285" s="203">
        <v>0</v>
      </c>
      <c r="W285" s="203">
        <v>0</v>
      </c>
      <c r="X285" s="203">
        <v>0</v>
      </c>
      <c r="Y285" s="203">
        <v>0</v>
      </c>
      <c r="Z285" s="203">
        <v>0</v>
      </c>
      <c r="AA285" s="203">
        <v>0</v>
      </c>
      <c r="AB285" s="203">
        <v>0</v>
      </c>
      <c r="AC285" s="203">
        <v>0</v>
      </c>
      <c r="AD285" s="203">
        <v>0</v>
      </c>
      <c r="AE285" s="203">
        <v>1917</v>
      </c>
      <c r="AF285" s="203">
        <f t="shared" si="107"/>
        <v>630</v>
      </c>
      <c r="AG285" s="203">
        <v>255</v>
      </c>
      <c r="AH285" s="203">
        <v>375</v>
      </c>
      <c r="AI285" s="197">
        <f t="shared" si="108"/>
        <v>0</v>
      </c>
    </row>
    <row r="286" spans="1:35" s="198" customFormat="1" ht="26.1" customHeight="1">
      <c r="A286" s="239" t="s">
        <v>178</v>
      </c>
      <c r="B286" s="191" t="s">
        <v>407</v>
      </c>
      <c r="C286" s="241" t="s">
        <v>412</v>
      </c>
      <c r="D286" s="202">
        <v>4</v>
      </c>
      <c r="E286" s="203">
        <f t="shared" si="104"/>
        <v>124194</v>
      </c>
      <c r="F286" s="203">
        <v>0</v>
      </c>
      <c r="G286" s="203">
        <v>124194</v>
      </c>
      <c r="H286" s="203">
        <f t="shared" si="105"/>
        <v>41694</v>
      </c>
      <c r="I286" s="203">
        <v>0</v>
      </c>
      <c r="J286" s="203">
        <v>0</v>
      </c>
      <c r="K286" s="203">
        <v>0</v>
      </c>
      <c r="L286" s="203">
        <v>0</v>
      </c>
      <c r="M286" s="203">
        <v>20847</v>
      </c>
      <c r="N286" s="203">
        <v>20847</v>
      </c>
      <c r="O286" s="205">
        <v>0</v>
      </c>
      <c r="P286" s="205">
        <f t="shared" si="106"/>
        <v>79000</v>
      </c>
      <c r="Q286" s="203">
        <v>5000</v>
      </c>
      <c r="R286" s="203">
        <v>0</v>
      </c>
      <c r="S286" s="203">
        <v>17000</v>
      </c>
      <c r="T286" s="203">
        <v>17000</v>
      </c>
      <c r="U286" s="203">
        <v>0</v>
      </c>
      <c r="V286" s="203">
        <v>17000</v>
      </c>
      <c r="W286" s="203">
        <v>10000</v>
      </c>
      <c r="X286" s="203">
        <v>10000</v>
      </c>
      <c r="Y286" s="203">
        <v>0</v>
      </c>
      <c r="Z286" s="203">
        <v>3000</v>
      </c>
      <c r="AA286" s="203">
        <v>0</v>
      </c>
      <c r="AB286" s="203">
        <v>0</v>
      </c>
      <c r="AC286" s="203">
        <v>0</v>
      </c>
      <c r="AD286" s="203">
        <v>0</v>
      </c>
      <c r="AE286" s="203">
        <v>0</v>
      </c>
      <c r="AF286" s="203">
        <f t="shared" si="107"/>
        <v>3500</v>
      </c>
      <c r="AG286" s="203">
        <v>3500</v>
      </c>
      <c r="AH286" s="203">
        <v>0</v>
      </c>
      <c r="AI286" s="197">
        <f t="shared" si="108"/>
        <v>0</v>
      </c>
    </row>
    <row r="287" spans="1:35" s="198" customFormat="1" ht="26.1" customHeight="1">
      <c r="A287" s="239" t="s">
        <v>178</v>
      </c>
      <c r="B287" s="191" t="s">
        <v>407</v>
      </c>
      <c r="C287" s="241" t="s">
        <v>413</v>
      </c>
      <c r="D287" s="202">
        <v>4</v>
      </c>
      <c r="E287" s="203">
        <f t="shared" si="104"/>
        <v>250502</v>
      </c>
      <c r="F287" s="203">
        <v>4500</v>
      </c>
      <c r="G287" s="203">
        <v>246002</v>
      </c>
      <c r="H287" s="203">
        <f t="shared" si="105"/>
        <v>55000</v>
      </c>
      <c r="I287" s="203" t="s">
        <v>145</v>
      </c>
      <c r="J287" s="203">
        <v>15000</v>
      </c>
      <c r="K287" s="203">
        <v>7500</v>
      </c>
      <c r="L287" s="203">
        <v>5000</v>
      </c>
      <c r="M287" s="203">
        <v>7500</v>
      </c>
      <c r="N287" s="203">
        <v>10000</v>
      </c>
      <c r="O287" s="205">
        <v>10000</v>
      </c>
      <c r="P287" s="205">
        <f t="shared" si="106"/>
        <v>188002</v>
      </c>
      <c r="Q287" s="203">
        <v>12000</v>
      </c>
      <c r="R287" s="203">
        <v>5000</v>
      </c>
      <c r="S287" s="203">
        <v>12000</v>
      </c>
      <c r="T287" s="203">
        <v>5000</v>
      </c>
      <c r="U287" s="203" t="s">
        <v>145</v>
      </c>
      <c r="V287" s="203">
        <v>38000</v>
      </c>
      <c r="W287" s="203">
        <v>12000</v>
      </c>
      <c r="X287" s="203">
        <v>40000</v>
      </c>
      <c r="Y287" s="203">
        <v>12000</v>
      </c>
      <c r="Z287" s="203">
        <v>12000</v>
      </c>
      <c r="AA287" s="203">
        <v>6000</v>
      </c>
      <c r="AB287" s="203">
        <v>8000</v>
      </c>
      <c r="AC287" s="203">
        <v>5000</v>
      </c>
      <c r="AD287" s="203" t="s">
        <v>145</v>
      </c>
      <c r="AE287" s="203">
        <v>21002</v>
      </c>
      <c r="AF287" s="203">
        <f t="shared" si="107"/>
        <v>7500</v>
      </c>
      <c r="AG287" s="203">
        <v>1500</v>
      </c>
      <c r="AH287" s="203">
        <v>6000</v>
      </c>
      <c r="AI287" s="197">
        <f t="shared" si="108"/>
        <v>0</v>
      </c>
    </row>
    <row r="288" spans="1:35" s="198" customFormat="1" ht="26.1" customHeight="1">
      <c r="A288" s="239" t="s">
        <v>178</v>
      </c>
      <c r="B288" s="191" t="s">
        <v>407</v>
      </c>
      <c r="C288" s="241" t="s">
        <v>414</v>
      </c>
      <c r="D288" s="202">
        <v>4</v>
      </c>
      <c r="E288" s="203">
        <f t="shared" si="104"/>
        <v>8600</v>
      </c>
      <c r="F288" s="203">
        <v>8600</v>
      </c>
      <c r="G288" s="203">
        <v>0</v>
      </c>
      <c r="H288" s="203">
        <f t="shared" si="105"/>
        <v>3200</v>
      </c>
      <c r="I288" s="203">
        <v>0</v>
      </c>
      <c r="J288" s="203">
        <v>0</v>
      </c>
      <c r="K288" s="203">
        <v>0</v>
      </c>
      <c r="L288" s="203">
        <v>0</v>
      </c>
      <c r="M288" s="203">
        <v>2263</v>
      </c>
      <c r="N288" s="203">
        <v>937</v>
      </c>
      <c r="O288" s="205">
        <v>0</v>
      </c>
      <c r="P288" s="205">
        <f t="shared" si="106"/>
        <v>5400</v>
      </c>
      <c r="Q288" s="203">
        <v>85</v>
      </c>
      <c r="R288" s="203">
        <v>0</v>
      </c>
      <c r="S288" s="203">
        <v>0</v>
      </c>
      <c r="T288" s="203">
        <v>555</v>
      </c>
      <c r="U288" s="203">
        <v>0</v>
      </c>
      <c r="V288" s="203">
        <v>1134</v>
      </c>
      <c r="W288" s="203">
        <v>1425</v>
      </c>
      <c r="X288" s="203">
        <v>2086</v>
      </c>
      <c r="Y288" s="203">
        <v>0</v>
      </c>
      <c r="Z288" s="203">
        <v>0</v>
      </c>
      <c r="AA288" s="203">
        <v>115</v>
      </c>
      <c r="AB288" s="203">
        <v>0</v>
      </c>
      <c r="AC288" s="203">
        <v>0</v>
      </c>
      <c r="AD288" s="203">
        <v>0</v>
      </c>
      <c r="AE288" s="203">
        <v>0</v>
      </c>
      <c r="AF288" s="203">
        <f t="shared" si="107"/>
        <v>0</v>
      </c>
      <c r="AG288" s="203">
        <v>0</v>
      </c>
      <c r="AH288" s="203">
        <v>0</v>
      </c>
      <c r="AI288" s="197">
        <f t="shared" si="108"/>
        <v>0</v>
      </c>
    </row>
    <row r="289" spans="1:35" s="198" customFormat="1" ht="26.1" customHeight="1">
      <c r="A289" s="239" t="s">
        <v>178</v>
      </c>
      <c r="B289" s="191" t="s">
        <v>407</v>
      </c>
      <c r="C289" s="241" t="s">
        <v>836</v>
      </c>
      <c r="D289" s="202">
        <v>4</v>
      </c>
      <c r="E289" s="203">
        <f t="shared" si="104"/>
        <v>1800</v>
      </c>
      <c r="F289" s="203">
        <v>1800</v>
      </c>
      <c r="G289" s="203">
        <v>0</v>
      </c>
      <c r="H289" s="203">
        <f t="shared" si="105"/>
        <v>0</v>
      </c>
      <c r="I289" s="203">
        <v>0</v>
      </c>
      <c r="J289" s="203">
        <v>0</v>
      </c>
      <c r="K289" s="203">
        <v>0</v>
      </c>
      <c r="L289" s="203">
        <v>0</v>
      </c>
      <c r="M289" s="203">
        <v>0</v>
      </c>
      <c r="N289" s="203">
        <v>0</v>
      </c>
      <c r="O289" s="205">
        <v>0</v>
      </c>
      <c r="P289" s="205">
        <f t="shared" si="106"/>
        <v>1800</v>
      </c>
      <c r="Q289" s="203">
        <v>0</v>
      </c>
      <c r="R289" s="203">
        <v>0</v>
      </c>
      <c r="S289" s="203">
        <v>0</v>
      </c>
      <c r="T289" s="203">
        <v>0</v>
      </c>
      <c r="U289" s="203">
        <v>0</v>
      </c>
      <c r="V289" s="203">
        <v>0</v>
      </c>
      <c r="W289" s="203">
        <v>0</v>
      </c>
      <c r="X289" s="203">
        <v>1800</v>
      </c>
      <c r="Y289" s="203">
        <v>0</v>
      </c>
      <c r="Z289" s="203">
        <v>0</v>
      </c>
      <c r="AA289" s="203">
        <v>0</v>
      </c>
      <c r="AB289" s="203">
        <v>0</v>
      </c>
      <c r="AC289" s="203">
        <v>0</v>
      </c>
      <c r="AD289" s="203">
        <v>0</v>
      </c>
      <c r="AE289" s="203">
        <v>0</v>
      </c>
      <c r="AF289" s="203">
        <f t="shared" si="107"/>
        <v>0</v>
      </c>
      <c r="AG289" s="203">
        <v>0</v>
      </c>
      <c r="AH289" s="203">
        <v>0</v>
      </c>
      <c r="AI289" s="197">
        <f t="shared" si="108"/>
        <v>0</v>
      </c>
    </row>
    <row r="290" spans="1:35" s="198" customFormat="1" ht="26.1" customHeight="1">
      <c r="A290" s="239" t="s">
        <v>178</v>
      </c>
      <c r="B290" s="191" t="s">
        <v>407</v>
      </c>
      <c r="C290" s="241" t="s">
        <v>837</v>
      </c>
      <c r="D290" s="202">
        <v>4</v>
      </c>
      <c r="E290" s="203">
        <f t="shared" si="104"/>
        <v>300000</v>
      </c>
      <c r="F290" s="203">
        <v>0</v>
      </c>
      <c r="G290" s="203">
        <v>300000</v>
      </c>
      <c r="H290" s="203">
        <f t="shared" si="105"/>
        <v>0</v>
      </c>
      <c r="I290" s="203">
        <v>0</v>
      </c>
      <c r="J290" s="203">
        <v>0</v>
      </c>
      <c r="K290" s="203">
        <v>0</v>
      </c>
      <c r="L290" s="203">
        <v>0</v>
      </c>
      <c r="M290" s="203">
        <v>0</v>
      </c>
      <c r="N290" s="203">
        <v>0</v>
      </c>
      <c r="O290" s="205">
        <v>0</v>
      </c>
      <c r="P290" s="205">
        <f t="shared" si="106"/>
        <v>300000</v>
      </c>
      <c r="Q290" s="203">
        <v>0</v>
      </c>
      <c r="R290" s="203">
        <v>0</v>
      </c>
      <c r="S290" s="203">
        <v>0</v>
      </c>
      <c r="T290" s="203">
        <v>300000</v>
      </c>
      <c r="U290" s="203">
        <v>0</v>
      </c>
      <c r="V290" s="203">
        <v>0</v>
      </c>
      <c r="W290" s="203">
        <v>0</v>
      </c>
      <c r="X290" s="203">
        <v>0</v>
      </c>
      <c r="Y290" s="203">
        <v>0</v>
      </c>
      <c r="Z290" s="203">
        <v>0</v>
      </c>
      <c r="AA290" s="203">
        <v>0</v>
      </c>
      <c r="AB290" s="203">
        <v>0</v>
      </c>
      <c r="AC290" s="203">
        <v>0</v>
      </c>
      <c r="AD290" s="203">
        <v>0</v>
      </c>
      <c r="AE290" s="203">
        <v>0</v>
      </c>
      <c r="AF290" s="203">
        <f t="shared" si="107"/>
        <v>0</v>
      </c>
      <c r="AG290" s="203">
        <v>0</v>
      </c>
      <c r="AH290" s="203">
        <v>0</v>
      </c>
      <c r="AI290" s="197">
        <f t="shared" si="108"/>
        <v>0</v>
      </c>
    </row>
    <row r="291" spans="1:35" s="198" customFormat="1" ht="26.1" customHeight="1">
      <c r="A291" s="239" t="s">
        <v>178</v>
      </c>
      <c r="B291" s="191" t="s">
        <v>407</v>
      </c>
      <c r="C291" s="241" t="s">
        <v>838</v>
      </c>
      <c r="D291" s="202">
        <v>4</v>
      </c>
      <c r="E291" s="203">
        <f t="shared" si="104"/>
        <v>7380</v>
      </c>
      <c r="F291" s="203">
        <v>7380</v>
      </c>
      <c r="G291" s="203">
        <v>0</v>
      </c>
      <c r="H291" s="203">
        <f t="shared" si="105"/>
        <v>2852</v>
      </c>
      <c r="I291" s="203">
        <v>0</v>
      </c>
      <c r="J291" s="203">
        <v>0</v>
      </c>
      <c r="K291" s="203">
        <v>0</v>
      </c>
      <c r="L291" s="203">
        <v>0</v>
      </c>
      <c r="M291" s="203">
        <v>1584</v>
      </c>
      <c r="N291" s="203">
        <v>1268</v>
      </c>
      <c r="O291" s="205">
        <v>0</v>
      </c>
      <c r="P291" s="205">
        <f t="shared" si="106"/>
        <v>4528</v>
      </c>
      <c r="Q291" s="203">
        <v>680</v>
      </c>
      <c r="R291" s="203">
        <v>0</v>
      </c>
      <c r="S291" s="203">
        <v>0</v>
      </c>
      <c r="T291" s="203">
        <v>680</v>
      </c>
      <c r="U291" s="203">
        <v>0</v>
      </c>
      <c r="V291" s="203">
        <v>950</v>
      </c>
      <c r="W291" s="203">
        <v>950</v>
      </c>
      <c r="X291" s="203">
        <v>1268</v>
      </c>
      <c r="Y291" s="203">
        <v>0</v>
      </c>
      <c r="Z291" s="203">
        <v>0</v>
      </c>
      <c r="AA291" s="203">
        <v>0</v>
      </c>
      <c r="AB291" s="203">
        <v>0</v>
      </c>
      <c r="AC291" s="203">
        <v>0</v>
      </c>
      <c r="AD291" s="203">
        <v>0</v>
      </c>
      <c r="AE291" s="203">
        <v>0</v>
      </c>
      <c r="AF291" s="203">
        <f t="shared" si="107"/>
        <v>0</v>
      </c>
      <c r="AG291" s="203">
        <v>0</v>
      </c>
      <c r="AH291" s="203">
        <v>0</v>
      </c>
      <c r="AI291" s="197">
        <f t="shared" si="108"/>
        <v>0</v>
      </c>
    </row>
    <row r="292" spans="1:35" s="198" customFormat="1" ht="26.1" customHeight="1">
      <c r="A292" s="239"/>
      <c r="B292" s="191"/>
      <c r="C292" s="241"/>
      <c r="D292" s="202"/>
      <c r="E292" s="213">
        <f t="shared" ref="E292:J292" si="109">SUM(E293:E307)</f>
        <v>145947</v>
      </c>
      <c r="F292" s="203">
        <f t="shared" si="109"/>
        <v>144588</v>
      </c>
      <c r="G292" s="203">
        <f t="shared" si="109"/>
        <v>1359</v>
      </c>
      <c r="H292" s="213">
        <f t="shared" si="109"/>
        <v>41911</v>
      </c>
      <c r="I292" s="203">
        <f t="shared" si="109"/>
        <v>310</v>
      </c>
      <c r="J292" s="203">
        <f t="shared" si="109"/>
        <v>4666</v>
      </c>
      <c r="K292" s="203"/>
      <c r="L292" s="203">
        <f t="shared" ref="L292:AH292" si="110">SUM(L293:L307)</f>
        <v>7334</v>
      </c>
      <c r="M292" s="203">
        <f t="shared" si="110"/>
        <v>9425</v>
      </c>
      <c r="N292" s="203">
        <f t="shared" si="110"/>
        <v>9327</v>
      </c>
      <c r="O292" s="203">
        <f t="shared" si="110"/>
        <v>0</v>
      </c>
      <c r="P292" s="213">
        <f t="shared" si="110"/>
        <v>98134</v>
      </c>
      <c r="Q292" s="203">
        <f t="shared" si="110"/>
        <v>3996</v>
      </c>
      <c r="R292" s="203">
        <f t="shared" si="110"/>
        <v>5354</v>
      </c>
      <c r="S292" s="203">
        <f t="shared" si="110"/>
        <v>4487</v>
      </c>
      <c r="T292" s="203">
        <f t="shared" si="110"/>
        <v>12170</v>
      </c>
      <c r="U292" s="203">
        <f t="shared" si="110"/>
        <v>5009</v>
      </c>
      <c r="V292" s="203">
        <f t="shared" si="110"/>
        <v>10760</v>
      </c>
      <c r="W292" s="203">
        <f t="shared" si="110"/>
        <v>6362</v>
      </c>
      <c r="X292" s="203">
        <f t="shared" si="110"/>
        <v>9415</v>
      </c>
      <c r="Y292" s="203">
        <f t="shared" si="110"/>
        <v>3768</v>
      </c>
      <c r="Z292" s="203">
        <f t="shared" si="110"/>
        <v>4348</v>
      </c>
      <c r="AA292" s="203">
        <f t="shared" si="110"/>
        <v>2397</v>
      </c>
      <c r="AB292" s="203">
        <f t="shared" si="110"/>
        <v>1347</v>
      </c>
      <c r="AC292" s="203">
        <f t="shared" si="110"/>
        <v>1960</v>
      </c>
      <c r="AD292" s="203">
        <f t="shared" si="110"/>
        <v>2222</v>
      </c>
      <c r="AE292" s="203">
        <f t="shared" si="110"/>
        <v>24539</v>
      </c>
      <c r="AF292" s="213">
        <f t="shared" si="110"/>
        <v>5902</v>
      </c>
      <c r="AG292" s="203">
        <f t="shared" si="110"/>
        <v>4704</v>
      </c>
      <c r="AH292" s="203">
        <f t="shared" si="110"/>
        <v>1198</v>
      </c>
      <c r="AI292" s="197">
        <f t="shared" ref="AI292:AI307" si="111">IF(+F292+G292=E292,0,FALSE)</f>
        <v>0</v>
      </c>
    </row>
    <row r="293" spans="1:35" s="198" customFormat="1" ht="26.1" customHeight="1">
      <c r="A293" s="239" t="s">
        <v>178</v>
      </c>
      <c r="B293" s="191" t="s">
        <v>5</v>
      </c>
      <c r="C293" s="191" t="s">
        <v>421</v>
      </c>
      <c r="D293" s="202">
        <v>4</v>
      </c>
      <c r="E293" s="203">
        <f t="shared" ref="E293:E307" si="112">SUM(H293,P293,AF293)</f>
        <v>7022</v>
      </c>
      <c r="F293" s="203">
        <v>6819</v>
      </c>
      <c r="G293" s="203">
        <v>203</v>
      </c>
      <c r="H293" s="203">
        <f t="shared" ref="H293:H307" si="113">SUM(I293:O293)</f>
        <v>2023</v>
      </c>
      <c r="I293" s="203">
        <v>0</v>
      </c>
      <c r="J293" s="203">
        <v>250</v>
      </c>
      <c r="K293" s="203">
        <v>320</v>
      </c>
      <c r="L293" s="203">
        <v>320</v>
      </c>
      <c r="M293" s="203">
        <v>633</v>
      </c>
      <c r="N293" s="203">
        <v>500</v>
      </c>
      <c r="O293" s="205">
        <v>0</v>
      </c>
      <c r="P293" s="205">
        <f t="shared" ref="P293:P307" si="114">SUM(Q293:AE293)</f>
        <v>4619</v>
      </c>
      <c r="Q293" s="203">
        <v>200</v>
      </c>
      <c r="R293" s="203">
        <v>358</v>
      </c>
      <c r="S293" s="203">
        <v>250</v>
      </c>
      <c r="T293" s="203">
        <v>600</v>
      </c>
      <c r="U293" s="203">
        <v>450</v>
      </c>
      <c r="V293" s="203">
        <v>668</v>
      </c>
      <c r="W293" s="203">
        <v>600</v>
      </c>
      <c r="X293" s="203">
        <v>600</v>
      </c>
      <c r="Y293" s="203">
        <v>250</v>
      </c>
      <c r="Z293" s="203">
        <v>250</v>
      </c>
      <c r="AA293" s="203">
        <v>193</v>
      </c>
      <c r="AB293" s="203">
        <v>50</v>
      </c>
      <c r="AC293" s="203">
        <v>100</v>
      </c>
      <c r="AD293" s="203">
        <v>50</v>
      </c>
      <c r="AE293" s="203">
        <v>0</v>
      </c>
      <c r="AF293" s="203">
        <f t="shared" ref="AF293:AF307" si="115">SUM(AG293:AH293)</f>
        <v>380</v>
      </c>
      <c r="AG293" s="203">
        <v>350</v>
      </c>
      <c r="AH293" s="203">
        <v>30</v>
      </c>
      <c r="AI293" s="197">
        <f t="shared" si="111"/>
        <v>0</v>
      </c>
    </row>
    <row r="294" spans="1:35" s="198" customFormat="1" ht="26.1" customHeight="1">
      <c r="A294" s="239" t="s">
        <v>178</v>
      </c>
      <c r="B294" s="191" t="s">
        <v>5</v>
      </c>
      <c r="C294" s="241" t="s">
        <v>422</v>
      </c>
      <c r="D294" s="202">
        <v>4</v>
      </c>
      <c r="E294" s="203">
        <f t="shared" si="112"/>
        <v>4548</v>
      </c>
      <c r="F294" s="203">
        <v>4548</v>
      </c>
      <c r="G294" s="203">
        <v>0</v>
      </c>
      <c r="H294" s="203">
        <f t="shared" si="113"/>
        <v>1135</v>
      </c>
      <c r="I294" s="203">
        <v>0</v>
      </c>
      <c r="J294" s="203">
        <v>130</v>
      </c>
      <c r="K294" s="203">
        <v>189</v>
      </c>
      <c r="L294" s="203">
        <v>272</v>
      </c>
      <c r="M294" s="203">
        <v>272</v>
      </c>
      <c r="N294" s="203">
        <v>272</v>
      </c>
      <c r="O294" s="205">
        <v>0</v>
      </c>
      <c r="P294" s="205">
        <f t="shared" si="114"/>
        <v>3113</v>
      </c>
      <c r="Q294" s="203">
        <v>226</v>
      </c>
      <c r="R294" s="203">
        <v>226</v>
      </c>
      <c r="S294" s="203">
        <v>212</v>
      </c>
      <c r="T294" s="203">
        <v>212</v>
      </c>
      <c r="U294" s="203">
        <v>368</v>
      </c>
      <c r="V294" s="203">
        <v>212</v>
      </c>
      <c r="W294" s="203">
        <v>226</v>
      </c>
      <c r="X294" s="203">
        <v>212</v>
      </c>
      <c r="Y294" s="203">
        <v>317</v>
      </c>
      <c r="Z294" s="203">
        <v>226</v>
      </c>
      <c r="AA294" s="203">
        <v>169</v>
      </c>
      <c r="AB294" s="203">
        <v>169</v>
      </c>
      <c r="AC294" s="203">
        <v>169</v>
      </c>
      <c r="AD294" s="203">
        <v>169</v>
      </c>
      <c r="AE294" s="203">
        <v>0</v>
      </c>
      <c r="AF294" s="203">
        <f t="shared" si="115"/>
        <v>300</v>
      </c>
      <c r="AG294" s="203">
        <v>220</v>
      </c>
      <c r="AH294" s="203">
        <v>80</v>
      </c>
      <c r="AI294" s="197">
        <f t="shared" si="111"/>
        <v>0</v>
      </c>
    </row>
    <row r="295" spans="1:35" s="198" customFormat="1" ht="26.1" customHeight="1">
      <c r="A295" s="239" t="s">
        <v>178</v>
      </c>
      <c r="B295" s="191" t="s">
        <v>5</v>
      </c>
      <c r="C295" s="241" t="s">
        <v>423</v>
      </c>
      <c r="D295" s="202">
        <v>4</v>
      </c>
      <c r="E295" s="203">
        <f t="shared" si="112"/>
        <v>145</v>
      </c>
      <c r="F295" s="203">
        <v>145</v>
      </c>
      <c r="G295" s="203">
        <v>0</v>
      </c>
      <c r="H295" s="203">
        <f t="shared" si="113"/>
        <v>49</v>
      </c>
      <c r="I295" s="203">
        <v>0</v>
      </c>
      <c r="J295" s="203">
        <v>0</v>
      </c>
      <c r="K295" s="203">
        <v>0</v>
      </c>
      <c r="L295" s="203">
        <v>0</v>
      </c>
      <c r="M295" s="203">
        <v>49</v>
      </c>
      <c r="N295" s="203">
        <v>0</v>
      </c>
      <c r="O295" s="205">
        <v>0</v>
      </c>
      <c r="P295" s="205">
        <f t="shared" si="114"/>
        <v>96</v>
      </c>
      <c r="Q295" s="203">
        <v>0</v>
      </c>
      <c r="R295" s="203">
        <v>48</v>
      </c>
      <c r="S295" s="203">
        <v>0</v>
      </c>
      <c r="T295" s="203">
        <v>0</v>
      </c>
      <c r="U295" s="203">
        <v>48</v>
      </c>
      <c r="V295" s="203">
        <v>0</v>
      </c>
      <c r="W295" s="203">
        <v>0</v>
      </c>
      <c r="X295" s="203">
        <v>0</v>
      </c>
      <c r="Y295" s="203">
        <v>0</v>
      </c>
      <c r="Z295" s="203">
        <v>0</v>
      </c>
      <c r="AA295" s="203">
        <v>0</v>
      </c>
      <c r="AB295" s="203">
        <v>0</v>
      </c>
      <c r="AC295" s="203">
        <v>0</v>
      </c>
      <c r="AD295" s="203">
        <v>0</v>
      </c>
      <c r="AE295" s="203">
        <v>0</v>
      </c>
      <c r="AF295" s="203">
        <f t="shared" si="115"/>
        <v>0</v>
      </c>
      <c r="AG295" s="203">
        <v>0</v>
      </c>
      <c r="AH295" s="203">
        <v>0</v>
      </c>
      <c r="AI295" s="197">
        <f t="shared" si="111"/>
        <v>0</v>
      </c>
    </row>
    <row r="296" spans="1:35" s="198" customFormat="1" ht="26.1" customHeight="1">
      <c r="A296" s="239" t="s">
        <v>178</v>
      </c>
      <c r="B296" s="191" t="s">
        <v>5</v>
      </c>
      <c r="C296" s="241" t="s">
        <v>424</v>
      </c>
      <c r="D296" s="202">
        <v>4</v>
      </c>
      <c r="E296" s="203">
        <f t="shared" si="112"/>
        <v>2320</v>
      </c>
      <c r="F296" s="203">
        <v>2320</v>
      </c>
      <c r="G296" s="203">
        <v>0</v>
      </c>
      <c r="H296" s="203">
        <f t="shared" si="113"/>
        <v>640</v>
      </c>
      <c r="I296" s="203">
        <v>0</v>
      </c>
      <c r="J296" s="203">
        <v>100</v>
      </c>
      <c r="K296" s="203">
        <v>100</v>
      </c>
      <c r="L296" s="203">
        <v>135</v>
      </c>
      <c r="M296" s="203">
        <v>155</v>
      </c>
      <c r="N296" s="203">
        <v>150</v>
      </c>
      <c r="O296" s="205">
        <v>0</v>
      </c>
      <c r="P296" s="205">
        <f t="shared" si="114"/>
        <v>1625</v>
      </c>
      <c r="Q296" s="203">
        <v>105</v>
      </c>
      <c r="R296" s="203">
        <v>100</v>
      </c>
      <c r="S296" s="203">
        <v>95</v>
      </c>
      <c r="T296" s="203">
        <v>145</v>
      </c>
      <c r="U296" s="203">
        <v>105</v>
      </c>
      <c r="V296" s="203">
        <v>140</v>
      </c>
      <c r="W296" s="203">
        <v>145</v>
      </c>
      <c r="X296" s="203">
        <v>145</v>
      </c>
      <c r="Y296" s="203">
        <v>105</v>
      </c>
      <c r="Z296" s="203">
        <v>105</v>
      </c>
      <c r="AA296" s="203">
        <v>35</v>
      </c>
      <c r="AB296" s="203">
        <v>20</v>
      </c>
      <c r="AC296" s="203">
        <v>35</v>
      </c>
      <c r="AD296" s="203">
        <v>25</v>
      </c>
      <c r="AE296" s="203">
        <v>320</v>
      </c>
      <c r="AF296" s="203">
        <f t="shared" si="115"/>
        <v>55</v>
      </c>
      <c r="AG296" s="203">
        <v>55</v>
      </c>
      <c r="AH296" s="203" t="s">
        <v>145</v>
      </c>
      <c r="AI296" s="197">
        <f t="shared" si="111"/>
        <v>0</v>
      </c>
    </row>
    <row r="297" spans="1:35" s="198" customFormat="1" ht="26.1" customHeight="1">
      <c r="A297" s="239" t="s">
        <v>178</v>
      </c>
      <c r="B297" s="191" t="s">
        <v>5</v>
      </c>
      <c r="C297" s="241" t="s">
        <v>425</v>
      </c>
      <c r="D297" s="202">
        <v>4</v>
      </c>
      <c r="E297" s="203">
        <f t="shared" si="112"/>
        <v>8859</v>
      </c>
      <c r="F297" s="203">
        <v>8203</v>
      </c>
      <c r="G297" s="203">
        <v>656</v>
      </c>
      <c r="H297" s="203">
        <f t="shared" si="113"/>
        <v>3262</v>
      </c>
      <c r="I297" s="203">
        <v>0</v>
      </c>
      <c r="J297" s="203">
        <v>339</v>
      </c>
      <c r="K297" s="203">
        <v>371</v>
      </c>
      <c r="L297" s="203">
        <v>613</v>
      </c>
      <c r="M297" s="203">
        <v>706</v>
      </c>
      <c r="N297" s="203">
        <v>1233</v>
      </c>
      <c r="O297" s="205">
        <v>0</v>
      </c>
      <c r="P297" s="205">
        <f t="shared" si="114"/>
        <v>4930</v>
      </c>
      <c r="Q297" s="203">
        <v>333</v>
      </c>
      <c r="R297" s="203">
        <v>353</v>
      </c>
      <c r="S297" s="203">
        <v>328</v>
      </c>
      <c r="T297" s="203">
        <v>528</v>
      </c>
      <c r="U297" s="203">
        <v>331</v>
      </c>
      <c r="V297" s="203">
        <v>518</v>
      </c>
      <c r="W297" s="203">
        <v>345</v>
      </c>
      <c r="X297" s="203">
        <v>492</v>
      </c>
      <c r="Y297" s="203">
        <v>401</v>
      </c>
      <c r="Z297" s="203">
        <v>431</v>
      </c>
      <c r="AA297" s="203">
        <v>538</v>
      </c>
      <c r="AB297" s="203">
        <v>18</v>
      </c>
      <c r="AC297" s="203">
        <v>24</v>
      </c>
      <c r="AD297" s="203">
        <v>290</v>
      </c>
      <c r="AE297" s="203">
        <v>0</v>
      </c>
      <c r="AF297" s="203">
        <f t="shared" si="115"/>
        <v>667</v>
      </c>
      <c r="AG297" s="203">
        <v>657</v>
      </c>
      <c r="AH297" s="203">
        <v>10</v>
      </c>
      <c r="AI297" s="197">
        <f t="shared" si="111"/>
        <v>0</v>
      </c>
    </row>
    <row r="298" spans="1:35" s="198" customFormat="1" ht="26.1" customHeight="1">
      <c r="A298" s="239" t="s">
        <v>178</v>
      </c>
      <c r="B298" s="191" t="s">
        <v>5</v>
      </c>
      <c r="C298" s="241" t="s">
        <v>426</v>
      </c>
      <c r="D298" s="202">
        <v>4</v>
      </c>
      <c r="E298" s="203">
        <f t="shared" si="112"/>
        <v>47335</v>
      </c>
      <c r="F298" s="203">
        <v>47335</v>
      </c>
      <c r="G298" s="203">
        <v>0</v>
      </c>
      <c r="H298" s="203">
        <f t="shared" si="113"/>
        <v>7834</v>
      </c>
      <c r="I298" s="203">
        <v>0</v>
      </c>
      <c r="J298" s="203">
        <v>1054</v>
      </c>
      <c r="K298" s="203">
        <v>1404</v>
      </c>
      <c r="L298" s="203">
        <v>1587</v>
      </c>
      <c r="M298" s="203">
        <v>1789</v>
      </c>
      <c r="N298" s="203">
        <v>2000</v>
      </c>
      <c r="O298" s="205">
        <v>0</v>
      </c>
      <c r="P298" s="205">
        <f t="shared" si="114"/>
        <v>38382</v>
      </c>
      <c r="Q298" s="203">
        <v>1054</v>
      </c>
      <c r="R298" s="203">
        <v>1054</v>
      </c>
      <c r="S298" s="203">
        <v>1054</v>
      </c>
      <c r="T298" s="203">
        <v>1696</v>
      </c>
      <c r="U298" s="203">
        <v>1054</v>
      </c>
      <c r="V298" s="203">
        <v>1776</v>
      </c>
      <c r="W298" s="203">
        <v>1416</v>
      </c>
      <c r="X298" s="203">
        <v>1426</v>
      </c>
      <c r="Y298" s="203">
        <v>798</v>
      </c>
      <c r="Z298" s="203">
        <v>1084</v>
      </c>
      <c r="AA298" s="203">
        <v>377</v>
      </c>
      <c r="AB298" s="203">
        <v>377</v>
      </c>
      <c r="AC298" s="203">
        <v>377</v>
      </c>
      <c r="AD298" s="203">
        <v>620</v>
      </c>
      <c r="AE298" s="203">
        <v>24219</v>
      </c>
      <c r="AF298" s="203">
        <f t="shared" si="115"/>
        <v>1119</v>
      </c>
      <c r="AG298" s="203">
        <v>1044</v>
      </c>
      <c r="AH298" s="203">
        <v>75</v>
      </c>
      <c r="AI298" s="197">
        <f t="shared" si="111"/>
        <v>0</v>
      </c>
    </row>
    <row r="299" spans="1:35" s="198" customFormat="1" ht="26.1" customHeight="1">
      <c r="A299" s="239" t="s">
        <v>178</v>
      </c>
      <c r="B299" s="191" t="s">
        <v>5</v>
      </c>
      <c r="C299" s="241" t="s">
        <v>544</v>
      </c>
      <c r="D299" s="202">
        <v>4</v>
      </c>
      <c r="E299" s="203">
        <f t="shared" si="112"/>
        <v>41276</v>
      </c>
      <c r="F299" s="203">
        <v>40776</v>
      </c>
      <c r="G299" s="203">
        <v>500</v>
      </c>
      <c r="H299" s="203">
        <f t="shared" si="113"/>
        <v>14130</v>
      </c>
      <c r="I299" s="203">
        <v>310</v>
      </c>
      <c r="J299" s="203">
        <v>1592</v>
      </c>
      <c r="K299" s="203">
        <v>2686</v>
      </c>
      <c r="L299" s="203">
        <v>2869</v>
      </c>
      <c r="M299" s="203">
        <v>3321</v>
      </c>
      <c r="N299" s="203">
        <v>3352</v>
      </c>
      <c r="O299" s="205">
        <v>0</v>
      </c>
      <c r="P299" s="205">
        <f t="shared" si="114"/>
        <v>25993</v>
      </c>
      <c r="Q299" s="203">
        <v>1040</v>
      </c>
      <c r="R299" s="203">
        <v>1232</v>
      </c>
      <c r="S299" s="203">
        <v>1270</v>
      </c>
      <c r="T299" s="203">
        <v>7528</v>
      </c>
      <c r="U299" s="203">
        <v>1322</v>
      </c>
      <c r="V299" s="203">
        <v>4254</v>
      </c>
      <c r="W299" s="203">
        <v>1351</v>
      </c>
      <c r="X299" s="203">
        <v>3677</v>
      </c>
      <c r="Y299" s="203">
        <v>961</v>
      </c>
      <c r="Z299" s="203">
        <v>1197</v>
      </c>
      <c r="AA299" s="203">
        <v>556</v>
      </c>
      <c r="AB299" s="203">
        <v>238</v>
      </c>
      <c r="AC299" s="203">
        <v>728</v>
      </c>
      <c r="AD299" s="203">
        <v>639</v>
      </c>
      <c r="AE299" s="203">
        <v>0</v>
      </c>
      <c r="AF299" s="203">
        <f t="shared" si="115"/>
        <v>1153</v>
      </c>
      <c r="AG299" s="203">
        <v>942</v>
      </c>
      <c r="AH299" s="203">
        <v>211</v>
      </c>
      <c r="AI299" s="197">
        <f t="shared" si="111"/>
        <v>0</v>
      </c>
    </row>
    <row r="300" spans="1:35" s="198" customFormat="1" ht="26.1" customHeight="1">
      <c r="A300" s="239" t="s">
        <v>178</v>
      </c>
      <c r="B300" s="191" t="s">
        <v>5</v>
      </c>
      <c r="C300" s="241" t="s">
        <v>427</v>
      </c>
      <c r="D300" s="202">
        <v>4</v>
      </c>
      <c r="E300" s="203">
        <f t="shared" si="112"/>
        <v>2737</v>
      </c>
      <c r="F300" s="203">
        <v>2737</v>
      </c>
      <c r="G300" s="203">
        <v>0</v>
      </c>
      <c r="H300" s="203">
        <f t="shared" si="113"/>
        <v>855</v>
      </c>
      <c r="I300" s="203">
        <v>0</v>
      </c>
      <c r="J300" s="203">
        <v>120</v>
      </c>
      <c r="K300" s="203">
        <v>90</v>
      </c>
      <c r="L300" s="203">
        <v>200</v>
      </c>
      <c r="M300" s="203">
        <v>195</v>
      </c>
      <c r="N300" s="203">
        <v>250</v>
      </c>
      <c r="O300" s="205">
        <v>0</v>
      </c>
      <c r="P300" s="205">
        <f t="shared" si="114"/>
        <v>1882</v>
      </c>
      <c r="Q300" s="203">
        <v>156</v>
      </c>
      <c r="R300" s="203">
        <v>150</v>
      </c>
      <c r="S300" s="203">
        <v>120</v>
      </c>
      <c r="T300" s="203">
        <v>150</v>
      </c>
      <c r="U300" s="203">
        <v>140</v>
      </c>
      <c r="V300" s="203">
        <v>174</v>
      </c>
      <c r="W300" s="203">
        <v>220</v>
      </c>
      <c r="X300" s="203">
        <v>250</v>
      </c>
      <c r="Y300" s="203">
        <v>160</v>
      </c>
      <c r="Z300" s="203">
        <v>160</v>
      </c>
      <c r="AA300" s="203">
        <v>140</v>
      </c>
      <c r="AB300" s="203">
        <v>35</v>
      </c>
      <c r="AC300" s="203">
        <v>27</v>
      </c>
      <c r="AD300" s="203">
        <v>0</v>
      </c>
      <c r="AE300" s="203">
        <v>0</v>
      </c>
      <c r="AF300" s="203">
        <f t="shared" si="115"/>
        <v>0</v>
      </c>
      <c r="AG300" s="203">
        <v>0</v>
      </c>
      <c r="AH300" s="203">
        <v>0</v>
      </c>
      <c r="AI300" s="197">
        <f t="shared" si="111"/>
        <v>0</v>
      </c>
    </row>
    <row r="301" spans="1:35" s="198" customFormat="1" ht="26.1" customHeight="1">
      <c r="A301" s="239" t="s">
        <v>178</v>
      </c>
      <c r="B301" s="191" t="s">
        <v>5</v>
      </c>
      <c r="C301" s="241" t="s">
        <v>420</v>
      </c>
      <c r="D301" s="202">
        <v>4</v>
      </c>
      <c r="E301" s="203">
        <f t="shared" si="112"/>
        <v>795</v>
      </c>
      <c r="F301" s="203">
        <v>795</v>
      </c>
      <c r="G301" s="203">
        <v>0</v>
      </c>
      <c r="H301" s="203">
        <f t="shared" si="113"/>
        <v>338</v>
      </c>
      <c r="I301" s="203">
        <v>0</v>
      </c>
      <c r="J301" s="203">
        <v>115</v>
      </c>
      <c r="K301" s="203">
        <v>47</v>
      </c>
      <c r="L301" s="203">
        <v>51</v>
      </c>
      <c r="M301" s="203">
        <v>52</v>
      </c>
      <c r="N301" s="203">
        <v>73</v>
      </c>
      <c r="O301" s="205">
        <v>0</v>
      </c>
      <c r="P301" s="205">
        <f t="shared" si="114"/>
        <v>457</v>
      </c>
      <c r="Q301" s="203">
        <v>24</v>
      </c>
      <c r="R301" s="203">
        <v>34</v>
      </c>
      <c r="S301" s="203">
        <v>73</v>
      </c>
      <c r="T301" s="203">
        <v>39</v>
      </c>
      <c r="U301" s="203">
        <v>44</v>
      </c>
      <c r="V301" s="203">
        <v>40</v>
      </c>
      <c r="W301" s="203">
        <v>37</v>
      </c>
      <c r="X301" s="203">
        <v>27</v>
      </c>
      <c r="Y301" s="203">
        <v>19</v>
      </c>
      <c r="Z301" s="203">
        <v>28</v>
      </c>
      <c r="AA301" s="203">
        <v>0</v>
      </c>
      <c r="AB301" s="203">
        <v>48</v>
      </c>
      <c r="AC301" s="203">
        <v>30</v>
      </c>
      <c r="AD301" s="203">
        <v>14</v>
      </c>
      <c r="AE301" s="203">
        <v>0</v>
      </c>
      <c r="AF301" s="203">
        <f t="shared" si="115"/>
        <v>0</v>
      </c>
      <c r="AG301" s="203">
        <v>0</v>
      </c>
      <c r="AH301" s="203">
        <v>0</v>
      </c>
      <c r="AI301" s="197">
        <f t="shared" si="111"/>
        <v>0</v>
      </c>
    </row>
    <row r="302" spans="1:35" s="198" customFormat="1" ht="26.1" customHeight="1">
      <c r="A302" s="239" t="s">
        <v>178</v>
      </c>
      <c r="B302" s="191" t="s">
        <v>5</v>
      </c>
      <c r="C302" s="241" t="s">
        <v>418</v>
      </c>
      <c r="D302" s="202">
        <v>4</v>
      </c>
      <c r="E302" s="203">
        <f t="shared" si="112"/>
        <v>10200</v>
      </c>
      <c r="F302" s="203">
        <v>10200</v>
      </c>
      <c r="G302" s="203">
        <v>0</v>
      </c>
      <c r="H302" s="203">
        <f t="shared" si="113"/>
        <v>3200</v>
      </c>
      <c r="I302" s="203">
        <v>0</v>
      </c>
      <c r="J302" s="203">
        <v>400</v>
      </c>
      <c r="K302" s="203">
        <v>380</v>
      </c>
      <c r="L302" s="203">
        <v>820</v>
      </c>
      <c r="M302" s="203">
        <v>870</v>
      </c>
      <c r="N302" s="203">
        <v>730</v>
      </c>
      <c r="O302" s="205">
        <v>0</v>
      </c>
      <c r="P302" s="205">
        <f t="shared" si="114"/>
        <v>6600</v>
      </c>
      <c r="Q302" s="203">
        <v>500</v>
      </c>
      <c r="R302" s="203">
        <v>360</v>
      </c>
      <c r="S302" s="203">
        <v>500</v>
      </c>
      <c r="T302" s="203">
        <v>720</v>
      </c>
      <c r="U302" s="203">
        <v>640</v>
      </c>
      <c r="V302" s="203">
        <v>720</v>
      </c>
      <c r="W302" s="203">
        <v>700</v>
      </c>
      <c r="X302" s="203">
        <v>680</v>
      </c>
      <c r="Y302" s="203">
        <v>400</v>
      </c>
      <c r="Z302" s="203">
        <v>500</v>
      </c>
      <c r="AA302" s="203">
        <v>170</v>
      </c>
      <c r="AB302" s="203">
        <v>170</v>
      </c>
      <c r="AC302" s="203">
        <v>250</v>
      </c>
      <c r="AD302" s="203">
        <v>290</v>
      </c>
      <c r="AE302" s="203">
        <v>0</v>
      </c>
      <c r="AF302" s="203">
        <f t="shared" si="115"/>
        <v>400</v>
      </c>
      <c r="AG302" s="203">
        <v>210</v>
      </c>
      <c r="AH302" s="203">
        <v>190</v>
      </c>
      <c r="AI302" s="197">
        <f t="shared" si="111"/>
        <v>0</v>
      </c>
    </row>
    <row r="303" spans="1:35" s="198" customFormat="1" ht="26.1" customHeight="1">
      <c r="A303" s="239" t="s">
        <v>178</v>
      </c>
      <c r="B303" s="191" t="s">
        <v>5</v>
      </c>
      <c r="C303" s="241" t="s">
        <v>839</v>
      </c>
      <c r="D303" s="202">
        <v>4</v>
      </c>
      <c r="E303" s="203">
        <f t="shared" si="112"/>
        <v>8160</v>
      </c>
      <c r="F303" s="203">
        <v>8160</v>
      </c>
      <c r="G303" s="203">
        <v>0</v>
      </c>
      <c r="H303" s="203">
        <f t="shared" si="113"/>
        <v>5375</v>
      </c>
      <c r="I303" s="203">
        <v>0</v>
      </c>
      <c r="J303" s="203">
        <v>375</v>
      </c>
      <c r="K303" s="203">
        <v>5000</v>
      </c>
      <c r="L303" s="203">
        <v>0</v>
      </c>
      <c r="M303" s="203">
        <v>0</v>
      </c>
      <c r="N303" s="203">
        <v>0</v>
      </c>
      <c r="O303" s="205">
        <v>0</v>
      </c>
      <c r="P303" s="205">
        <f t="shared" si="114"/>
        <v>2185</v>
      </c>
      <c r="Q303" s="203">
        <v>0</v>
      </c>
      <c r="R303" s="203">
        <v>1000</v>
      </c>
      <c r="S303" s="203">
        <v>300</v>
      </c>
      <c r="T303" s="203">
        <v>0</v>
      </c>
      <c r="U303" s="203">
        <v>0</v>
      </c>
      <c r="V303" s="203">
        <v>0</v>
      </c>
      <c r="W303" s="203">
        <v>885</v>
      </c>
      <c r="X303" s="203">
        <v>0</v>
      </c>
      <c r="Y303" s="203">
        <v>0</v>
      </c>
      <c r="Z303" s="203">
        <v>0</v>
      </c>
      <c r="AA303" s="203">
        <v>0</v>
      </c>
      <c r="AB303" s="203">
        <v>0</v>
      </c>
      <c r="AC303" s="203">
        <v>0</v>
      </c>
      <c r="AD303" s="203">
        <v>0</v>
      </c>
      <c r="AE303" s="203">
        <v>0</v>
      </c>
      <c r="AF303" s="203">
        <f t="shared" si="115"/>
        <v>600</v>
      </c>
      <c r="AG303" s="203">
        <v>600</v>
      </c>
      <c r="AH303" s="203">
        <v>0</v>
      </c>
      <c r="AI303" s="197">
        <f t="shared" si="111"/>
        <v>0</v>
      </c>
    </row>
    <row r="304" spans="1:35" s="198" customFormat="1" ht="26.1" customHeight="1">
      <c r="A304" s="239" t="s">
        <v>178</v>
      </c>
      <c r="B304" s="191" t="s">
        <v>5</v>
      </c>
      <c r="C304" s="241" t="s">
        <v>840</v>
      </c>
      <c r="D304" s="202">
        <v>4</v>
      </c>
      <c r="E304" s="203">
        <f t="shared" si="112"/>
        <v>2072</v>
      </c>
      <c r="F304" s="203">
        <v>2072</v>
      </c>
      <c r="G304" s="203">
        <v>0</v>
      </c>
      <c r="H304" s="203">
        <f t="shared" si="113"/>
        <v>1380</v>
      </c>
      <c r="I304" s="203">
        <v>0</v>
      </c>
      <c r="J304" s="203">
        <v>0</v>
      </c>
      <c r="K304" s="203">
        <v>0</v>
      </c>
      <c r="L304" s="203">
        <v>276</v>
      </c>
      <c r="M304" s="203">
        <v>552</v>
      </c>
      <c r="N304" s="203">
        <v>552</v>
      </c>
      <c r="O304" s="205">
        <v>0</v>
      </c>
      <c r="P304" s="205">
        <f t="shared" si="114"/>
        <v>692</v>
      </c>
      <c r="Q304" s="203">
        <v>0</v>
      </c>
      <c r="R304" s="203">
        <v>0</v>
      </c>
      <c r="S304" s="203">
        <v>0</v>
      </c>
      <c r="T304" s="203">
        <v>69</v>
      </c>
      <c r="U304" s="203">
        <v>139</v>
      </c>
      <c r="V304" s="203">
        <v>69</v>
      </c>
      <c r="W304" s="203">
        <v>69</v>
      </c>
      <c r="X304" s="203">
        <v>208</v>
      </c>
      <c r="Y304" s="203">
        <v>69</v>
      </c>
      <c r="Z304" s="203">
        <v>69</v>
      </c>
      <c r="AA304" s="203">
        <v>0</v>
      </c>
      <c r="AB304" s="203">
        <v>0</v>
      </c>
      <c r="AC304" s="203">
        <v>0</v>
      </c>
      <c r="AD304" s="203">
        <v>0</v>
      </c>
      <c r="AE304" s="203">
        <v>0</v>
      </c>
      <c r="AF304" s="203">
        <f t="shared" si="115"/>
        <v>0</v>
      </c>
      <c r="AG304" s="203">
        <v>0</v>
      </c>
      <c r="AH304" s="203">
        <v>0</v>
      </c>
      <c r="AI304" s="197">
        <f t="shared" si="111"/>
        <v>0</v>
      </c>
    </row>
    <row r="305" spans="1:35" s="198" customFormat="1" ht="26.1" customHeight="1">
      <c r="A305" s="239" t="s">
        <v>178</v>
      </c>
      <c r="B305" s="191" t="s">
        <v>5</v>
      </c>
      <c r="C305" s="241" t="s">
        <v>416</v>
      </c>
      <c r="D305" s="202">
        <v>4</v>
      </c>
      <c r="E305" s="203">
        <f t="shared" si="112"/>
        <v>1028</v>
      </c>
      <c r="F305" s="203">
        <v>1028</v>
      </c>
      <c r="G305" s="203">
        <v>0</v>
      </c>
      <c r="H305" s="203">
        <f t="shared" si="113"/>
        <v>0</v>
      </c>
      <c r="I305" s="203">
        <v>0</v>
      </c>
      <c r="J305" s="203">
        <v>0</v>
      </c>
      <c r="K305" s="203">
        <v>0</v>
      </c>
      <c r="L305" s="203">
        <v>0</v>
      </c>
      <c r="M305" s="203">
        <v>0</v>
      </c>
      <c r="N305" s="203">
        <v>0</v>
      </c>
      <c r="O305" s="205">
        <v>0</v>
      </c>
      <c r="P305" s="205">
        <f t="shared" si="114"/>
        <v>0</v>
      </c>
      <c r="Q305" s="203">
        <v>0</v>
      </c>
      <c r="R305" s="203">
        <v>0</v>
      </c>
      <c r="S305" s="203">
        <v>0</v>
      </c>
      <c r="T305" s="203">
        <v>0</v>
      </c>
      <c r="U305" s="203">
        <v>0</v>
      </c>
      <c r="V305" s="203">
        <v>0</v>
      </c>
      <c r="W305" s="203">
        <v>0</v>
      </c>
      <c r="X305" s="203">
        <v>0</v>
      </c>
      <c r="Y305" s="203">
        <v>0</v>
      </c>
      <c r="Z305" s="203">
        <v>0</v>
      </c>
      <c r="AA305" s="203">
        <v>0</v>
      </c>
      <c r="AB305" s="203">
        <v>0</v>
      </c>
      <c r="AC305" s="203">
        <v>0</v>
      </c>
      <c r="AD305" s="203">
        <v>0</v>
      </c>
      <c r="AE305" s="203">
        <v>0</v>
      </c>
      <c r="AF305" s="203">
        <f t="shared" si="115"/>
        <v>1028</v>
      </c>
      <c r="AG305" s="203">
        <v>514</v>
      </c>
      <c r="AH305" s="203">
        <v>514</v>
      </c>
      <c r="AI305" s="197">
        <f t="shared" si="111"/>
        <v>0</v>
      </c>
    </row>
    <row r="306" spans="1:35" s="198" customFormat="1" ht="26.1" customHeight="1">
      <c r="A306" s="239" t="s">
        <v>178</v>
      </c>
      <c r="B306" s="191" t="s">
        <v>5</v>
      </c>
      <c r="C306" s="241" t="s">
        <v>849</v>
      </c>
      <c r="D306" s="202">
        <v>4</v>
      </c>
      <c r="E306" s="203">
        <f t="shared" si="112"/>
        <v>4200</v>
      </c>
      <c r="F306" s="203">
        <v>4200</v>
      </c>
      <c r="G306" s="203">
        <v>0</v>
      </c>
      <c r="H306" s="203">
        <f t="shared" si="113"/>
        <v>690</v>
      </c>
      <c r="I306" s="203">
        <v>0</v>
      </c>
      <c r="J306" s="203">
        <v>0</v>
      </c>
      <c r="K306" s="203">
        <v>0</v>
      </c>
      <c r="L306" s="203">
        <v>0</v>
      </c>
      <c r="M306" s="203">
        <v>666</v>
      </c>
      <c r="N306" s="203">
        <v>24</v>
      </c>
      <c r="O306" s="205">
        <v>0</v>
      </c>
      <c r="P306" s="205">
        <f t="shared" si="114"/>
        <v>3510</v>
      </c>
      <c r="Q306" s="203">
        <v>95</v>
      </c>
      <c r="R306" s="203">
        <v>98</v>
      </c>
      <c r="S306" s="203">
        <v>22</v>
      </c>
      <c r="T306" s="203">
        <v>27</v>
      </c>
      <c r="U306" s="203">
        <v>27</v>
      </c>
      <c r="V306" s="203">
        <v>1766</v>
      </c>
      <c r="W306" s="203">
        <v>27</v>
      </c>
      <c r="X306" s="203">
        <v>1400</v>
      </c>
      <c r="Y306" s="203">
        <v>27</v>
      </c>
      <c r="Z306" s="203">
        <v>0</v>
      </c>
      <c r="AA306" s="203">
        <v>0</v>
      </c>
      <c r="AB306" s="203">
        <v>0</v>
      </c>
      <c r="AC306" s="203">
        <v>0</v>
      </c>
      <c r="AD306" s="203">
        <v>21</v>
      </c>
      <c r="AE306" s="203">
        <v>0</v>
      </c>
      <c r="AF306" s="203">
        <f t="shared" si="115"/>
        <v>0</v>
      </c>
      <c r="AG306" s="203">
        <v>0</v>
      </c>
      <c r="AH306" s="203">
        <v>0</v>
      </c>
      <c r="AI306" s="197">
        <f t="shared" si="111"/>
        <v>0</v>
      </c>
    </row>
    <row r="307" spans="1:35" s="198" customFormat="1" ht="26.1" customHeight="1">
      <c r="A307" s="239" t="s">
        <v>178</v>
      </c>
      <c r="B307" s="191" t="s">
        <v>5</v>
      </c>
      <c r="C307" s="241" t="s">
        <v>417</v>
      </c>
      <c r="D307" s="202">
        <v>4</v>
      </c>
      <c r="E307" s="203">
        <f t="shared" si="112"/>
        <v>5250</v>
      </c>
      <c r="F307" s="203">
        <v>5250</v>
      </c>
      <c r="G307" s="203">
        <v>0</v>
      </c>
      <c r="H307" s="203">
        <f t="shared" si="113"/>
        <v>1000</v>
      </c>
      <c r="I307" s="203">
        <v>0</v>
      </c>
      <c r="J307" s="203">
        <v>191</v>
      </c>
      <c r="K307" s="203">
        <v>262</v>
      </c>
      <c r="L307" s="203">
        <v>191</v>
      </c>
      <c r="M307" s="203">
        <v>165</v>
      </c>
      <c r="N307" s="203">
        <v>191</v>
      </c>
      <c r="O307" s="205">
        <v>0</v>
      </c>
      <c r="P307" s="205">
        <f t="shared" si="114"/>
        <v>4050</v>
      </c>
      <c r="Q307" s="203">
        <v>263</v>
      </c>
      <c r="R307" s="203">
        <v>341</v>
      </c>
      <c r="S307" s="203">
        <v>263</v>
      </c>
      <c r="T307" s="203">
        <v>456</v>
      </c>
      <c r="U307" s="203">
        <v>341</v>
      </c>
      <c r="V307" s="203">
        <v>423</v>
      </c>
      <c r="W307" s="203">
        <v>341</v>
      </c>
      <c r="X307" s="203">
        <v>298</v>
      </c>
      <c r="Y307" s="203">
        <v>261</v>
      </c>
      <c r="Z307" s="203">
        <v>298</v>
      </c>
      <c r="AA307" s="203">
        <v>219</v>
      </c>
      <c r="AB307" s="203">
        <v>222</v>
      </c>
      <c r="AC307" s="203">
        <v>220</v>
      </c>
      <c r="AD307" s="203">
        <v>104</v>
      </c>
      <c r="AE307" s="203">
        <v>0</v>
      </c>
      <c r="AF307" s="203">
        <f t="shared" si="115"/>
        <v>200</v>
      </c>
      <c r="AG307" s="203">
        <v>112</v>
      </c>
      <c r="AH307" s="203">
        <v>88</v>
      </c>
      <c r="AI307" s="197">
        <f t="shared" si="111"/>
        <v>0</v>
      </c>
    </row>
    <row r="308" spans="1:35" s="198" customFormat="1" ht="26.1" customHeight="1">
      <c r="A308" s="239"/>
      <c r="B308" s="191"/>
      <c r="C308" s="241"/>
      <c r="D308" s="202"/>
      <c r="E308" s="213">
        <f t="shared" ref="E308:J308" si="116">SUM(E309:E321)</f>
        <v>1550551</v>
      </c>
      <c r="F308" s="203">
        <f t="shared" si="116"/>
        <v>299051</v>
      </c>
      <c r="G308" s="203">
        <f t="shared" si="116"/>
        <v>1251500</v>
      </c>
      <c r="H308" s="213">
        <f t="shared" si="116"/>
        <v>1467373</v>
      </c>
      <c r="I308" s="203">
        <f t="shared" si="116"/>
        <v>3</v>
      </c>
      <c r="J308" s="203">
        <f t="shared" si="116"/>
        <v>2282</v>
      </c>
      <c r="K308" s="203">
        <f>SUM(K309:K321)</f>
        <v>3071</v>
      </c>
      <c r="L308" s="203">
        <f t="shared" ref="L308:AH308" si="117">SUM(L309:L321)</f>
        <v>1444090</v>
      </c>
      <c r="M308" s="203">
        <f t="shared" si="117"/>
        <v>5687</v>
      </c>
      <c r="N308" s="203">
        <f t="shared" si="117"/>
        <v>4622</v>
      </c>
      <c r="O308" s="203">
        <f t="shared" si="117"/>
        <v>7618</v>
      </c>
      <c r="P308" s="213">
        <f t="shared" si="117"/>
        <v>80197</v>
      </c>
      <c r="Q308" s="203">
        <f t="shared" si="117"/>
        <v>2921</v>
      </c>
      <c r="R308" s="203">
        <f t="shared" si="117"/>
        <v>3854</v>
      </c>
      <c r="S308" s="203">
        <f t="shared" si="117"/>
        <v>3668</v>
      </c>
      <c r="T308" s="203">
        <f t="shared" si="117"/>
        <v>5487</v>
      </c>
      <c r="U308" s="203">
        <f t="shared" si="117"/>
        <v>5520</v>
      </c>
      <c r="V308" s="203">
        <f t="shared" si="117"/>
        <v>6048</v>
      </c>
      <c r="W308" s="203">
        <f t="shared" si="117"/>
        <v>6016</v>
      </c>
      <c r="X308" s="203">
        <f t="shared" si="117"/>
        <v>6571</v>
      </c>
      <c r="Y308" s="203">
        <f t="shared" si="117"/>
        <v>6912</v>
      </c>
      <c r="Z308" s="203">
        <f t="shared" si="117"/>
        <v>9781</v>
      </c>
      <c r="AA308" s="203">
        <f t="shared" si="117"/>
        <v>1045</v>
      </c>
      <c r="AB308" s="203">
        <f t="shared" si="117"/>
        <v>372</v>
      </c>
      <c r="AC308" s="203">
        <f t="shared" si="117"/>
        <v>484</v>
      </c>
      <c r="AD308" s="203">
        <f t="shared" si="117"/>
        <v>477</v>
      </c>
      <c r="AE308" s="203">
        <f t="shared" si="117"/>
        <v>21041</v>
      </c>
      <c r="AF308" s="213">
        <f t="shared" si="117"/>
        <v>2981</v>
      </c>
      <c r="AG308" s="203">
        <f t="shared" si="117"/>
        <v>1881</v>
      </c>
      <c r="AH308" s="203">
        <f t="shared" si="117"/>
        <v>1100</v>
      </c>
      <c r="AI308" s="197">
        <f t="shared" ref="AI308:AI325" si="118">IF(+F308+G308=E308,0,FALSE)</f>
        <v>0</v>
      </c>
    </row>
    <row r="309" spans="1:35" s="198" customFormat="1" ht="26.1" customHeight="1">
      <c r="A309" s="239" t="s">
        <v>178</v>
      </c>
      <c r="B309" s="191" t="s">
        <v>489</v>
      </c>
      <c r="C309" s="241" t="s">
        <v>148</v>
      </c>
      <c r="D309" s="202">
        <v>4</v>
      </c>
      <c r="E309" s="203">
        <f t="shared" ref="E309:E325" si="119">SUM(H309,P309,AF309)</f>
        <v>11000</v>
      </c>
      <c r="F309" s="203">
        <v>11000</v>
      </c>
      <c r="G309" s="203">
        <v>0</v>
      </c>
      <c r="H309" s="203">
        <f t="shared" ref="H309:H325" si="120">SUM(I309:O309)</f>
        <v>2900</v>
      </c>
      <c r="I309" s="203">
        <v>0</v>
      </c>
      <c r="J309" s="203">
        <v>50</v>
      </c>
      <c r="K309" s="203">
        <v>450</v>
      </c>
      <c r="L309" s="203">
        <v>800</v>
      </c>
      <c r="M309" s="203">
        <v>800</v>
      </c>
      <c r="N309" s="203">
        <v>800</v>
      </c>
      <c r="O309" s="205">
        <v>0</v>
      </c>
      <c r="P309" s="205">
        <f t="shared" ref="P309:P325" si="121">SUM(Q309:AE309)</f>
        <v>8000</v>
      </c>
      <c r="Q309" s="203">
        <v>450</v>
      </c>
      <c r="R309" s="203">
        <v>750</v>
      </c>
      <c r="S309" s="203">
        <v>750</v>
      </c>
      <c r="T309" s="203">
        <v>900</v>
      </c>
      <c r="U309" s="203">
        <v>800</v>
      </c>
      <c r="V309" s="203">
        <v>900</v>
      </c>
      <c r="W309" s="203">
        <v>700</v>
      </c>
      <c r="X309" s="203">
        <v>800</v>
      </c>
      <c r="Y309" s="203">
        <v>550</v>
      </c>
      <c r="Z309" s="203">
        <v>450</v>
      </c>
      <c r="AA309" s="203">
        <v>100</v>
      </c>
      <c r="AB309" s="203">
        <v>50</v>
      </c>
      <c r="AC309" s="203">
        <v>100</v>
      </c>
      <c r="AD309" s="203">
        <v>100</v>
      </c>
      <c r="AE309" s="203">
        <v>600</v>
      </c>
      <c r="AF309" s="203">
        <f t="shared" ref="AF309:AF325" si="122">SUM(AG309:AH309)</f>
        <v>100</v>
      </c>
      <c r="AG309" s="203">
        <v>100</v>
      </c>
      <c r="AH309" s="203">
        <v>0</v>
      </c>
      <c r="AI309" s="197">
        <f t="shared" si="118"/>
        <v>0</v>
      </c>
    </row>
    <row r="310" spans="1:35" s="198" customFormat="1" ht="26.1" customHeight="1">
      <c r="A310" s="239" t="s">
        <v>178</v>
      </c>
      <c r="B310" s="191" t="s">
        <v>489</v>
      </c>
      <c r="C310" s="241" t="s">
        <v>149</v>
      </c>
      <c r="D310" s="202">
        <v>4</v>
      </c>
      <c r="E310" s="203">
        <f t="shared" si="119"/>
        <v>49584</v>
      </c>
      <c r="F310" s="203">
        <v>49584</v>
      </c>
      <c r="G310" s="203">
        <v>0</v>
      </c>
      <c r="H310" s="203">
        <f t="shared" si="120"/>
        <v>12900</v>
      </c>
      <c r="I310" s="203">
        <v>0</v>
      </c>
      <c r="J310" s="203">
        <v>1850</v>
      </c>
      <c r="K310" s="203">
        <v>2175</v>
      </c>
      <c r="L310" s="203">
        <v>1790</v>
      </c>
      <c r="M310" s="203">
        <v>4125</v>
      </c>
      <c r="N310" s="203">
        <v>2960</v>
      </c>
      <c r="O310" s="205">
        <v>0</v>
      </c>
      <c r="P310" s="205">
        <f t="shared" si="121"/>
        <v>35984</v>
      </c>
      <c r="Q310" s="203">
        <v>2045</v>
      </c>
      <c r="R310" s="203">
        <v>2159</v>
      </c>
      <c r="S310" s="203">
        <v>2400</v>
      </c>
      <c r="T310" s="203">
        <v>3699</v>
      </c>
      <c r="U310" s="203">
        <v>3340</v>
      </c>
      <c r="V310" s="203">
        <v>4269</v>
      </c>
      <c r="W310" s="203">
        <v>4258</v>
      </c>
      <c r="X310" s="203">
        <v>4177</v>
      </c>
      <c r="Y310" s="203">
        <v>2813</v>
      </c>
      <c r="Z310" s="203">
        <v>3653</v>
      </c>
      <c r="AA310" s="203">
        <v>717</v>
      </c>
      <c r="AB310" s="203">
        <v>115</v>
      </c>
      <c r="AC310" s="203">
        <v>171</v>
      </c>
      <c r="AD310" s="203">
        <v>168</v>
      </c>
      <c r="AE310" s="203">
        <v>2000</v>
      </c>
      <c r="AF310" s="203">
        <f t="shared" si="122"/>
        <v>700</v>
      </c>
      <c r="AG310" s="203">
        <v>550</v>
      </c>
      <c r="AH310" s="203">
        <v>150</v>
      </c>
      <c r="AI310" s="197">
        <f t="shared" si="118"/>
        <v>0</v>
      </c>
    </row>
    <row r="311" spans="1:35" s="198" customFormat="1" ht="26.1" customHeight="1">
      <c r="A311" s="239" t="s">
        <v>178</v>
      </c>
      <c r="B311" s="191" t="s">
        <v>489</v>
      </c>
      <c r="C311" s="241" t="s">
        <v>428</v>
      </c>
      <c r="D311" s="202">
        <v>3</v>
      </c>
      <c r="E311" s="203">
        <f t="shared" si="119"/>
        <v>2807</v>
      </c>
      <c r="F311" s="203">
        <v>2807</v>
      </c>
      <c r="G311" s="203">
        <v>0</v>
      </c>
      <c r="H311" s="203">
        <f t="shared" si="120"/>
        <v>1676</v>
      </c>
      <c r="I311" s="203">
        <v>3</v>
      </c>
      <c r="J311" s="203">
        <v>8</v>
      </c>
      <c r="K311" s="203">
        <v>62</v>
      </c>
      <c r="L311" s="203">
        <v>960</v>
      </c>
      <c r="M311" s="203">
        <v>290</v>
      </c>
      <c r="N311" s="203">
        <v>353</v>
      </c>
      <c r="O311" s="205">
        <v>0</v>
      </c>
      <c r="P311" s="205">
        <f t="shared" si="121"/>
        <v>1131</v>
      </c>
      <c r="Q311" s="203">
        <v>22</v>
      </c>
      <c r="R311" s="203">
        <v>91</v>
      </c>
      <c r="S311" s="203">
        <v>62</v>
      </c>
      <c r="T311" s="203">
        <v>84</v>
      </c>
      <c r="U311" s="203">
        <v>385</v>
      </c>
      <c r="V311" s="203">
        <v>8</v>
      </c>
      <c r="W311" s="203">
        <v>102</v>
      </c>
      <c r="X311" s="203">
        <v>269</v>
      </c>
      <c r="Y311" s="203">
        <v>77</v>
      </c>
      <c r="Z311" s="203">
        <v>22</v>
      </c>
      <c r="AA311" s="203">
        <v>0</v>
      </c>
      <c r="AB311" s="203">
        <v>0</v>
      </c>
      <c r="AC311" s="203">
        <v>0</v>
      </c>
      <c r="AD311" s="203">
        <v>9</v>
      </c>
      <c r="AE311" s="203">
        <v>0</v>
      </c>
      <c r="AF311" s="203">
        <f t="shared" si="122"/>
        <v>0</v>
      </c>
      <c r="AG311" s="203">
        <v>0</v>
      </c>
      <c r="AH311" s="203">
        <v>0</v>
      </c>
      <c r="AI311" s="197">
        <f t="shared" si="118"/>
        <v>0</v>
      </c>
    </row>
    <row r="312" spans="1:35" s="198" customFormat="1" ht="26.1" customHeight="1">
      <c r="A312" s="239" t="s">
        <v>178</v>
      </c>
      <c r="B312" s="191" t="s">
        <v>489</v>
      </c>
      <c r="C312" s="241" t="s">
        <v>841</v>
      </c>
      <c r="D312" s="202">
        <v>4</v>
      </c>
      <c r="E312" s="203">
        <f t="shared" si="119"/>
        <v>940</v>
      </c>
      <c r="F312" s="203">
        <v>940</v>
      </c>
      <c r="G312" s="203">
        <v>0</v>
      </c>
      <c r="H312" s="203">
        <f t="shared" si="120"/>
        <v>303</v>
      </c>
      <c r="I312" s="203">
        <v>0</v>
      </c>
      <c r="J312" s="203">
        <v>54</v>
      </c>
      <c r="K312" s="203">
        <v>58</v>
      </c>
      <c r="L312" s="203">
        <v>63</v>
      </c>
      <c r="M312" s="203">
        <v>73</v>
      </c>
      <c r="N312" s="203">
        <v>55</v>
      </c>
      <c r="O312" s="205">
        <v>0</v>
      </c>
      <c r="P312" s="205">
        <f t="shared" si="121"/>
        <v>606</v>
      </c>
      <c r="Q312" s="203">
        <v>32</v>
      </c>
      <c r="R312" s="203">
        <v>32</v>
      </c>
      <c r="S312" s="203">
        <v>40</v>
      </c>
      <c r="T312" s="203">
        <v>68</v>
      </c>
      <c r="U312" s="203">
        <v>60</v>
      </c>
      <c r="V312" s="203">
        <v>55</v>
      </c>
      <c r="W312" s="203">
        <v>49</v>
      </c>
      <c r="X312" s="203">
        <v>58</v>
      </c>
      <c r="Y312" s="203">
        <v>46</v>
      </c>
      <c r="Z312" s="203">
        <v>40</v>
      </c>
      <c r="AA312" s="203">
        <v>30</v>
      </c>
      <c r="AB312" s="203">
        <v>31</v>
      </c>
      <c r="AC312" s="203">
        <v>35</v>
      </c>
      <c r="AD312" s="203">
        <v>30</v>
      </c>
      <c r="AE312" s="203">
        <v>0</v>
      </c>
      <c r="AF312" s="203">
        <f t="shared" si="122"/>
        <v>31</v>
      </c>
      <c r="AG312" s="203">
        <v>31</v>
      </c>
      <c r="AH312" s="203">
        <v>0</v>
      </c>
      <c r="AI312" s="197">
        <f t="shared" si="118"/>
        <v>0</v>
      </c>
    </row>
    <row r="313" spans="1:35" s="198" customFormat="1" ht="26.1" customHeight="1">
      <c r="A313" s="239" t="s">
        <v>178</v>
      </c>
      <c r="B313" s="191" t="s">
        <v>489</v>
      </c>
      <c r="C313" s="241" t="s">
        <v>842</v>
      </c>
      <c r="D313" s="202">
        <v>4</v>
      </c>
      <c r="E313" s="203">
        <f t="shared" si="119"/>
        <v>3500</v>
      </c>
      <c r="F313" s="203">
        <v>2000</v>
      </c>
      <c r="G313" s="203">
        <v>1500</v>
      </c>
      <c r="H313" s="203">
        <f t="shared" si="120"/>
        <v>0</v>
      </c>
      <c r="I313" s="203">
        <v>0</v>
      </c>
      <c r="J313" s="203">
        <v>0</v>
      </c>
      <c r="K313" s="203">
        <v>0</v>
      </c>
      <c r="L313" s="203">
        <v>0</v>
      </c>
      <c r="M313" s="203">
        <v>0</v>
      </c>
      <c r="N313" s="203">
        <v>0</v>
      </c>
      <c r="O313" s="205">
        <v>0</v>
      </c>
      <c r="P313" s="205">
        <f t="shared" si="121"/>
        <v>3500</v>
      </c>
      <c r="Q313" s="203">
        <v>0</v>
      </c>
      <c r="R313" s="203">
        <v>500</v>
      </c>
      <c r="S313" s="203">
        <v>0</v>
      </c>
      <c r="T313" s="203">
        <v>0</v>
      </c>
      <c r="U313" s="203">
        <v>500</v>
      </c>
      <c r="V313" s="203">
        <v>0</v>
      </c>
      <c r="W313" s="203">
        <v>500</v>
      </c>
      <c r="X313" s="203">
        <v>500</v>
      </c>
      <c r="Y313" s="203">
        <v>750</v>
      </c>
      <c r="Z313" s="203">
        <v>750</v>
      </c>
      <c r="AA313" s="203">
        <v>0</v>
      </c>
      <c r="AB313" s="203">
        <v>0</v>
      </c>
      <c r="AC313" s="203">
        <v>0</v>
      </c>
      <c r="AD313" s="203">
        <v>0</v>
      </c>
      <c r="AE313" s="203">
        <v>0</v>
      </c>
      <c r="AF313" s="203">
        <f t="shared" si="122"/>
        <v>0</v>
      </c>
      <c r="AG313" s="203">
        <v>0</v>
      </c>
      <c r="AH313" s="203">
        <v>0</v>
      </c>
      <c r="AI313" s="197">
        <f t="shared" si="118"/>
        <v>0</v>
      </c>
    </row>
    <row r="314" spans="1:35" s="198" customFormat="1" ht="26.1" customHeight="1">
      <c r="A314" s="239" t="s">
        <v>178</v>
      </c>
      <c r="B314" s="191" t="s">
        <v>489</v>
      </c>
      <c r="C314" s="241" t="s">
        <v>547</v>
      </c>
      <c r="D314" s="202">
        <v>4</v>
      </c>
      <c r="E314" s="203">
        <f t="shared" si="119"/>
        <v>4200</v>
      </c>
      <c r="F314" s="203">
        <v>4200</v>
      </c>
      <c r="G314" s="203">
        <v>0</v>
      </c>
      <c r="H314" s="203">
        <f t="shared" si="120"/>
        <v>700</v>
      </c>
      <c r="I314" s="203">
        <v>0</v>
      </c>
      <c r="J314" s="203">
        <v>119</v>
      </c>
      <c r="K314" s="203">
        <v>100</v>
      </c>
      <c r="L314" s="203">
        <v>150</v>
      </c>
      <c r="M314" s="203">
        <v>150</v>
      </c>
      <c r="N314" s="203">
        <v>145</v>
      </c>
      <c r="O314" s="205">
        <v>36</v>
      </c>
      <c r="P314" s="205">
        <f t="shared" si="121"/>
        <v>3400</v>
      </c>
      <c r="Q314" s="203">
        <v>162</v>
      </c>
      <c r="R314" s="203">
        <v>126</v>
      </c>
      <c r="S314" s="203">
        <v>200</v>
      </c>
      <c r="T314" s="203">
        <v>235</v>
      </c>
      <c r="U314" s="203">
        <v>206</v>
      </c>
      <c r="V314" s="203">
        <v>254</v>
      </c>
      <c r="W314" s="203">
        <v>158</v>
      </c>
      <c r="X314" s="203">
        <v>300</v>
      </c>
      <c r="Y314" s="203">
        <v>176</v>
      </c>
      <c r="Z314" s="203">
        <v>136</v>
      </c>
      <c r="AA314" s="203">
        <v>88</v>
      </c>
      <c r="AB314" s="203">
        <v>88</v>
      </c>
      <c r="AC314" s="203">
        <v>76</v>
      </c>
      <c r="AD314" s="203">
        <v>75</v>
      </c>
      <c r="AE314" s="203">
        <v>1120</v>
      </c>
      <c r="AF314" s="203">
        <f t="shared" si="122"/>
        <v>100</v>
      </c>
      <c r="AG314" s="203">
        <v>100</v>
      </c>
      <c r="AH314" s="203">
        <v>0</v>
      </c>
      <c r="AI314" s="197">
        <f t="shared" si="118"/>
        <v>0</v>
      </c>
    </row>
    <row r="315" spans="1:35" s="198" customFormat="1" ht="26.1" customHeight="1">
      <c r="A315" s="239" t="s">
        <v>178</v>
      </c>
      <c r="B315" s="191" t="s">
        <v>489</v>
      </c>
      <c r="C315" s="241" t="s">
        <v>429</v>
      </c>
      <c r="D315" s="202">
        <v>4</v>
      </c>
      <c r="E315" s="203">
        <f t="shared" si="119"/>
        <v>7000</v>
      </c>
      <c r="F315" s="203">
        <v>7000</v>
      </c>
      <c r="G315" s="203">
        <v>0</v>
      </c>
      <c r="H315" s="203">
        <f t="shared" si="120"/>
        <v>1150</v>
      </c>
      <c r="I315" s="203">
        <v>0</v>
      </c>
      <c r="J315" s="203">
        <v>50</v>
      </c>
      <c r="K315" s="203">
        <v>75</v>
      </c>
      <c r="L315" s="203">
        <v>176</v>
      </c>
      <c r="M315" s="203">
        <v>98</v>
      </c>
      <c r="N315" s="203">
        <v>158</v>
      </c>
      <c r="O315" s="205">
        <v>593</v>
      </c>
      <c r="P315" s="205">
        <f t="shared" si="121"/>
        <v>5625</v>
      </c>
      <c r="Q315" s="203">
        <v>80</v>
      </c>
      <c r="R315" s="203">
        <v>55</v>
      </c>
      <c r="S315" s="203">
        <v>75</v>
      </c>
      <c r="T315" s="203">
        <v>360</v>
      </c>
      <c r="U315" s="203">
        <v>88</v>
      </c>
      <c r="V315" s="203">
        <v>416</v>
      </c>
      <c r="W315" s="203">
        <v>108</v>
      </c>
      <c r="X315" s="203">
        <v>326</v>
      </c>
      <c r="Y315" s="203">
        <v>70</v>
      </c>
      <c r="Z315" s="203">
        <v>100</v>
      </c>
      <c r="AA315" s="203">
        <v>47</v>
      </c>
      <c r="AB315" s="203">
        <v>33</v>
      </c>
      <c r="AC315" s="203">
        <v>42</v>
      </c>
      <c r="AD315" s="203">
        <v>35</v>
      </c>
      <c r="AE315" s="203">
        <v>3790</v>
      </c>
      <c r="AF315" s="203">
        <f t="shared" si="122"/>
        <v>225</v>
      </c>
      <c r="AG315" s="203">
        <v>100</v>
      </c>
      <c r="AH315" s="203">
        <v>125</v>
      </c>
      <c r="AI315" s="197">
        <f t="shared" si="118"/>
        <v>0</v>
      </c>
    </row>
    <row r="316" spans="1:35" s="198" customFormat="1" ht="26.1" customHeight="1">
      <c r="A316" s="239" t="s">
        <v>178</v>
      </c>
      <c r="B316" s="191" t="s">
        <v>489</v>
      </c>
      <c r="C316" s="241" t="s">
        <v>430</v>
      </c>
      <c r="D316" s="202">
        <v>4</v>
      </c>
      <c r="E316" s="203">
        <f t="shared" si="119"/>
        <v>4994</v>
      </c>
      <c r="F316" s="203">
        <v>4994</v>
      </c>
      <c r="G316" s="203">
        <v>0</v>
      </c>
      <c r="H316" s="203">
        <f t="shared" si="120"/>
        <v>894</v>
      </c>
      <c r="I316" s="203">
        <v>0</v>
      </c>
      <c r="J316" s="203">
        <v>0</v>
      </c>
      <c r="K316" s="203">
        <v>0</v>
      </c>
      <c r="L316" s="203">
        <v>0</v>
      </c>
      <c r="M316" s="203">
        <v>0</v>
      </c>
      <c r="N316" s="203">
        <v>0</v>
      </c>
      <c r="O316" s="205">
        <v>894</v>
      </c>
      <c r="P316" s="205">
        <f t="shared" si="121"/>
        <v>4000</v>
      </c>
      <c r="Q316" s="203">
        <v>0</v>
      </c>
      <c r="R316" s="203">
        <v>0</v>
      </c>
      <c r="S316" s="203">
        <v>0</v>
      </c>
      <c r="T316" s="203">
        <v>0</v>
      </c>
      <c r="U316" s="203">
        <v>0</v>
      </c>
      <c r="V316" s="203">
        <v>0</v>
      </c>
      <c r="W316" s="203">
        <v>0</v>
      </c>
      <c r="X316" s="203">
        <v>0</v>
      </c>
      <c r="Y316" s="203">
        <v>0</v>
      </c>
      <c r="Z316" s="203">
        <v>0</v>
      </c>
      <c r="AA316" s="203">
        <v>0</v>
      </c>
      <c r="AB316" s="203">
        <v>0</v>
      </c>
      <c r="AC316" s="203">
        <v>0</v>
      </c>
      <c r="AD316" s="203">
        <v>0</v>
      </c>
      <c r="AE316" s="203">
        <v>4000</v>
      </c>
      <c r="AF316" s="203">
        <f t="shared" si="122"/>
        <v>100</v>
      </c>
      <c r="AG316" s="203">
        <v>100</v>
      </c>
      <c r="AH316" s="203">
        <v>0</v>
      </c>
      <c r="AI316" s="197">
        <f t="shared" si="118"/>
        <v>0</v>
      </c>
    </row>
    <row r="317" spans="1:35" s="198" customFormat="1" ht="26.1" customHeight="1">
      <c r="A317" s="239" t="s">
        <v>178</v>
      </c>
      <c r="B317" s="191" t="s">
        <v>489</v>
      </c>
      <c r="C317" s="241" t="s">
        <v>150</v>
      </c>
      <c r="D317" s="202">
        <v>4</v>
      </c>
      <c r="E317" s="203">
        <f t="shared" si="119"/>
        <v>6626</v>
      </c>
      <c r="F317" s="203">
        <v>6626</v>
      </c>
      <c r="G317" s="203">
        <v>0</v>
      </c>
      <c r="H317" s="203">
        <f t="shared" si="120"/>
        <v>1850</v>
      </c>
      <c r="I317" s="203">
        <v>0</v>
      </c>
      <c r="J317" s="203">
        <v>71</v>
      </c>
      <c r="K317" s="203">
        <v>71</v>
      </c>
      <c r="L317" s="203">
        <v>71</v>
      </c>
      <c r="M317" s="203">
        <v>71</v>
      </c>
      <c r="N317" s="203">
        <v>71</v>
      </c>
      <c r="O317" s="205">
        <v>1495</v>
      </c>
      <c r="P317" s="205">
        <f t="shared" si="121"/>
        <v>4651</v>
      </c>
      <c r="Q317" s="203">
        <v>60</v>
      </c>
      <c r="R317" s="203">
        <v>71</v>
      </c>
      <c r="S317" s="203">
        <v>71</v>
      </c>
      <c r="T317" s="203">
        <v>71</v>
      </c>
      <c r="U317" s="203">
        <v>71</v>
      </c>
      <c r="V317" s="203">
        <v>76</v>
      </c>
      <c r="W317" s="203">
        <v>71</v>
      </c>
      <c r="X317" s="203">
        <v>71</v>
      </c>
      <c r="Y317" s="203">
        <v>60</v>
      </c>
      <c r="Z317" s="203">
        <v>60</v>
      </c>
      <c r="AA317" s="203">
        <v>28</v>
      </c>
      <c r="AB317" s="203">
        <v>20</v>
      </c>
      <c r="AC317" s="203">
        <v>25</v>
      </c>
      <c r="AD317" s="203">
        <v>25</v>
      </c>
      <c r="AE317" s="203">
        <v>3871</v>
      </c>
      <c r="AF317" s="203">
        <f t="shared" si="122"/>
        <v>125</v>
      </c>
      <c r="AG317" s="203">
        <v>100</v>
      </c>
      <c r="AH317" s="203">
        <v>25</v>
      </c>
      <c r="AI317" s="197">
        <f t="shared" si="118"/>
        <v>0</v>
      </c>
    </row>
    <row r="318" spans="1:35" s="198" customFormat="1" ht="26.1" customHeight="1">
      <c r="A318" s="239" t="s">
        <v>178</v>
      </c>
      <c r="B318" s="191" t="s">
        <v>489</v>
      </c>
      <c r="C318" s="241" t="s">
        <v>843</v>
      </c>
      <c r="D318" s="202">
        <v>4</v>
      </c>
      <c r="E318" s="203">
        <f t="shared" si="119"/>
        <v>7000</v>
      </c>
      <c r="F318" s="203">
        <v>7000</v>
      </c>
      <c r="G318" s="203">
        <v>0</v>
      </c>
      <c r="H318" s="203">
        <f t="shared" si="120"/>
        <v>2500</v>
      </c>
      <c r="I318" s="203">
        <v>0</v>
      </c>
      <c r="J318" s="203">
        <v>80</v>
      </c>
      <c r="K318" s="203">
        <v>80</v>
      </c>
      <c r="L318" s="203">
        <v>80</v>
      </c>
      <c r="M318" s="203">
        <v>80</v>
      </c>
      <c r="N318" s="203">
        <v>80</v>
      </c>
      <c r="O318" s="205">
        <v>2100</v>
      </c>
      <c r="P318" s="205">
        <f t="shared" si="121"/>
        <v>3000</v>
      </c>
      <c r="Q318" s="203">
        <v>70</v>
      </c>
      <c r="R318" s="203">
        <v>70</v>
      </c>
      <c r="S318" s="203">
        <v>70</v>
      </c>
      <c r="T318" s="203">
        <v>70</v>
      </c>
      <c r="U318" s="203">
        <v>70</v>
      </c>
      <c r="V318" s="203">
        <v>70</v>
      </c>
      <c r="W318" s="203">
        <v>70</v>
      </c>
      <c r="X318" s="203">
        <v>70</v>
      </c>
      <c r="Y318" s="203">
        <v>70</v>
      </c>
      <c r="Z318" s="203">
        <v>70</v>
      </c>
      <c r="AA318" s="203">
        <v>35</v>
      </c>
      <c r="AB318" s="203">
        <v>35</v>
      </c>
      <c r="AC318" s="203">
        <v>35</v>
      </c>
      <c r="AD318" s="203">
        <v>35</v>
      </c>
      <c r="AE318" s="203">
        <v>2160</v>
      </c>
      <c r="AF318" s="203">
        <f t="shared" si="122"/>
        <v>1500</v>
      </c>
      <c r="AG318" s="203">
        <v>750</v>
      </c>
      <c r="AH318" s="203">
        <v>750</v>
      </c>
      <c r="AI318" s="197">
        <f t="shared" si="118"/>
        <v>0</v>
      </c>
    </row>
    <row r="319" spans="1:35" s="198" customFormat="1" ht="26.1" customHeight="1">
      <c r="A319" s="239" t="s">
        <v>178</v>
      </c>
      <c r="B319" s="191" t="s">
        <v>489</v>
      </c>
      <c r="C319" s="241" t="s">
        <v>431</v>
      </c>
      <c r="D319" s="202">
        <v>4</v>
      </c>
      <c r="E319" s="203">
        <f t="shared" si="119"/>
        <v>6800</v>
      </c>
      <c r="F319" s="203">
        <v>6800</v>
      </c>
      <c r="G319" s="203">
        <v>0</v>
      </c>
      <c r="H319" s="203">
        <f t="shared" si="120"/>
        <v>0</v>
      </c>
      <c r="I319" s="203">
        <v>0</v>
      </c>
      <c r="J319" s="203">
        <v>0</v>
      </c>
      <c r="K319" s="203">
        <v>0</v>
      </c>
      <c r="L319" s="203">
        <v>0</v>
      </c>
      <c r="M319" s="203">
        <v>0</v>
      </c>
      <c r="N319" s="203">
        <v>0</v>
      </c>
      <c r="O319" s="205">
        <v>0</v>
      </c>
      <c r="P319" s="205">
        <f t="shared" si="121"/>
        <v>6800</v>
      </c>
      <c r="Q319" s="203">
        <v>0</v>
      </c>
      <c r="R319" s="203">
        <v>0</v>
      </c>
      <c r="S319" s="203">
        <v>0</v>
      </c>
      <c r="T319" s="203">
        <v>0</v>
      </c>
      <c r="U319" s="203">
        <v>0</v>
      </c>
      <c r="V319" s="203">
        <v>0</v>
      </c>
      <c r="W319" s="203">
        <v>0</v>
      </c>
      <c r="X319" s="203">
        <v>0</v>
      </c>
      <c r="Y319" s="203">
        <v>2300</v>
      </c>
      <c r="Z319" s="203">
        <v>4500</v>
      </c>
      <c r="AA319" s="203">
        <v>0</v>
      </c>
      <c r="AB319" s="203">
        <v>0</v>
      </c>
      <c r="AC319" s="203">
        <v>0</v>
      </c>
      <c r="AD319" s="203">
        <v>0</v>
      </c>
      <c r="AE319" s="203">
        <v>0</v>
      </c>
      <c r="AF319" s="203">
        <f t="shared" si="122"/>
        <v>0</v>
      </c>
      <c r="AG319" s="203">
        <v>0</v>
      </c>
      <c r="AH319" s="203">
        <v>0</v>
      </c>
      <c r="AI319" s="197">
        <f t="shared" si="118"/>
        <v>0</v>
      </c>
    </row>
    <row r="320" spans="1:35" s="198" customFormat="1" ht="26.1" customHeight="1">
      <c r="A320" s="239" t="s">
        <v>178</v>
      </c>
      <c r="B320" s="191" t="s">
        <v>489</v>
      </c>
      <c r="C320" s="241" t="s">
        <v>844</v>
      </c>
      <c r="D320" s="202">
        <v>4</v>
      </c>
      <c r="E320" s="203">
        <f t="shared" si="119"/>
        <v>6100</v>
      </c>
      <c r="F320" s="203">
        <v>6100</v>
      </c>
      <c r="G320" s="203">
        <v>0</v>
      </c>
      <c r="H320" s="203">
        <f t="shared" si="120"/>
        <v>2500</v>
      </c>
      <c r="I320" s="203">
        <v>0</v>
      </c>
      <c r="J320" s="203">
        <v>0</v>
      </c>
      <c r="K320" s="203">
        <v>0</v>
      </c>
      <c r="L320" s="203">
        <v>0</v>
      </c>
      <c r="M320" s="203">
        <v>0</v>
      </c>
      <c r="N320" s="203">
        <v>0</v>
      </c>
      <c r="O320" s="205">
        <v>2500</v>
      </c>
      <c r="P320" s="205">
        <f t="shared" si="121"/>
        <v>3500</v>
      </c>
      <c r="Q320" s="203">
        <v>0</v>
      </c>
      <c r="R320" s="203">
        <v>0</v>
      </c>
      <c r="S320" s="203">
        <v>0</v>
      </c>
      <c r="T320" s="203">
        <v>0</v>
      </c>
      <c r="U320" s="203">
        <v>0</v>
      </c>
      <c r="V320" s="203">
        <v>0</v>
      </c>
      <c r="W320" s="203">
        <v>0</v>
      </c>
      <c r="X320" s="203">
        <v>0</v>
      </c>
      <c r="Y320" s="203">
        <v>0</v>
      </c>
      <c r="Z320" s="203">
        <v>0</v>
      </c>
      <c r="AA320" s="203">
        <v>0</v>
      </c>
      <c r="AB320" s="203">
        <v>0</v>
      </c>
      <c r="AC320" s="203">
        <v>0</v>
      </c>
      <c r="AD320" s="203">
        <v>0</v>
      </c>
      <c r="AE320" s="203">
        <v>3500</v>
      </c>
      <c r="AF320" s="203">
        <f t="shared" si="122"/>
        <v>100</v>
      </c>
      <c r="AG320" s="203">
        <v>50</v>
      </c>
      <c r="AH320" s="203">
        <v>50</v>
      </c>
      <c r="AI320" s="197">
        <f t="shared" si="118"/>
        <v>0</v>
      </c>
    </row>
    <row r="321" spans="1:35" s="198" customFormat="1" ht="26.1" customHeight="1">
      <c r="A321" s="239" t="s">
        <v>178</v>
      </c>
      <c r="B321" s="191" t="s">
        <v>489</v>
      </c>
      <c r="C321" s="241" t="s">
        <v>548</v>
      </c>
      <c r="D321" s="202">
        <v>4</v>
      </c>
      <c r="E321" s="203">
        <f t="shared" si="119"/>
        <v>1440000</v>
      </c>
      <c r="F321" s="203">
        <v>190000</v>
      </c>
      <c r="G321" s="203">
        <v>1250000</v>
      </c>
      <c r="H321" s="203">
        <f t="shared" si="120"/>
        <v>1440000</v>
      </c>
      <c r="I321" s="203">
        <v>0</v>
      </c>
      <c r="J321" s="203">
        <v>0</v>
      </c>
      <c r="K321" s="203">
        <v>0</v>
      </c>
      <c r="L321" s="203">
        <v>1440000</v>
      </c>
      <c r="M321" s="203">
        <v>0</v>
      </c>
      <c r="N321" s="203">
        <v>0</v>
      </c>
      <c r="O321" s="205">
        <v>0</v>
      </c>
      <c r="P321" s="205">
        <f t="shared" si="121"/>
        <v>0</v>
      </c>
      <c r="Q321" s="203">
        <v>0</v>
      </c>
      <c r="R321" s="203">
        <v>0</v>
      </c>
      <c r="S321" s="203">
        <v>0</v>
      </c>
      <c r="T321" s="203">
        <v>0</v>
      </c>
      <c r="U321" s="203">
        <v>0</v>
      </c>
      <c r="V321" s="203">
        <v>0</v>
      </c>
      <c r="W321" s="203">
        <v>0</v>
      </c>
      <c r="X321" s="203">
        <v>0</v>
      </c>
      <c r="Y321" s="203">
        <v>0</v>
      </c>
      <c r="Z321" s="203">
        <v>0</v>
      </c>
      <c r="AA321" s="203">
        <v>0</v>
      </c>
      <c r="AB321" s="203">
        <v>0</v>
      </c>
      <c r="AC321" s="203">
        <v>0</v>
      </c>
      <c r="AD321" s="203">
        <v>0</v>
      </c>
      <c r="AE321" s="203">
        <v>0</v>
      </c>
      <c r="AF321" s="203">
        <f t="shared" si="122"/>
        <v>0</v>
      </c>
      <c r="AG321" s="203">
        <v>0</v>
      </c>
      <c r="AH321" s="203">
        <v>0</v>
      </c>
      <c r="AI321" s="197">
        <f t="shared" si="118"/>
        <v>0</v>
      </c>
    </row>
    <row r="322" spans="1:35" s="198" customFormat="1" ht="26.1" customHeight="1">
      <c r="A322" s="239"/>
      <c r="B322" s="191"/>
      <c r="C322" s="241"/>
      <c r="D322" s="202"/>
      <c r="E322" s="207">
        <f>SUM(E323:E325)</f>
        <v>632096</v>
      </c>
      <c r="F322" s="203">
        <f>SUM(F323:F325)</f>
        <v>632096</v>
      </c>
      <c r="G322" s="203">
        <f>SUM(G323:G325)</f>
        <v>0</v>
      </c>
      <c r="H322" s="207">
        <f>SUM(H323:H325)</f>
        <v>630116</v>
      </c>
      <c r="I322" s="203"/>
      <c r="J322" s="203"/>
      <c r="K322" s="203"/>
      <c r="L322" s="203"/>
      <c r="M322" s="203"/>
      <c r="N322" s="203"/>
      <c r="O322" s="203"/>
      <c r="P322" s="207">
        <f>SUM(P323:P325)</f>
        <v>1980</v>
      </c>
      <c r="Q322" s="203"/>
      <c r="R322" s="203"/>
      <c r="S322" s="203"/>
      <c r="T322" s="203"/>
      <c r="U322" s="203"/>
      <c r="V322" s="203"/>
      <c r="W322" s="203"/>
      <c r="X322" s="203"/>
      <c r="Y322" s="203"/>
      <c r="Z322" s="203"/>
      <c r="AA322" s="203"/>
      <c r="AB322" s="203"/>
      <c r="AC322" s="203"/>
      <c r="AD322" s="203"/>
      <c r="AE322" s="203"/>
      <c r="AF322" s="207">
        <f>SUM(AF323:AF325)</f>
        <v>0</v>
      </c>
      <c r="AG322" s="203"/>
      <c r="AH322" s="203"/>
      <c r="AI322" s="197">
        <f t="shared" si="118"/>
        <v>0</v>
      </c>
    </row>
    <row r="323" spans="1:35" s="198" customFormat="1" ht="26.1" customHeight="1">
      <c r="A323" s="206" t="s">
        <v>498</v>
      </c>
      <c r="B323" s="191" t="s">
        <v>497</v>
      </c>
      <c r="C323" s="201" t="s">
        <v>682</v>
      </c>
      <c r="D323" s="202">
        <v>5</v>
      </c>
      <c r="E323" s="203">
        <f t="shared" si="119"/>
        <v>1300</v>
      </c>
      <c r="F323" s="203">
        <v>1300</v>
      </c>
      <c r="G323" s="203"/>
      <c r="H323" s="203">
        <f t="shared" si="120"/>
        <v>620</v>
      </c>
      <c r="I323" s="203">
        <v>0</v>
      </c>
      <c r="J323" s="203">
        <v>180</v>
      </c>
      <c r="K323" s="203">
        <v>50</v>
      </c>
      <c r="L323" s="203">
        <v>80</v>
      </c>
      <c r="M323" s="203">
        <v>130</v>
      </c>
      <c r="N323" s="203">
        <v>180</v>
      </c>
      <c r="O323" s="205"/>
      <c r="P323" s="205">
        <f t="shared" si="121"/>
        <v>680</v>
      </c>
      <c r="Q323" s="203">
        <v>40</v>
      </c>
      <c r="R323" s="203">
        <v>0</v>
      </c>
      <c r="S323" s="203">
        <v>40</v>
      </c>
      <c r="T323" s="203">
        <v>100</v>
      </c>
      <c r="U323" s="203">
        <v>40</v>
      </c>
      <c r="V323" s="203">
        <v>80</v>
      </c>
      <c r="W323" s="203">
        <v>100</v>
      </c>
      <c r="X323" s="203">
        <v>80</v>
      </c>
      <c r="Y323" s="203">
        <v>30</v>
      </c>
      <c r="Z323" s="203">
        <v>0</v>
      </c>
      <c r="AA323" s="203">
        <v>0</v>
      </c>
      <c r="AB323" s="203">
        <v>60</v>
      </c>
      <c r="AC323" s="203">
        <v>80</v>
      </c>
      <c r="AD323" s="203">
        <v>30</v>
      </c>
      <c r="AE323" s="203"/>
      <c r="AF323" s="203">
        <f>SUM(AG323:AH323)</f>
        <v>0</v>
      </c>
      <c r="AG323" s="203">
        <v>0</v>
      </c>
      <c r="AH323" s="203">
        <v>0</v>
      </c>
      <c r="AI323" s="197">
        <f t="shared" si="118"/>
        <v>0</v>
      </c>
    </row>
    <row r="324" spans="1:35" s="198" customFormat="1" ht="26.1" customHeight="1">
      <c r="A324" s="191" t="s">
        <v>498</v>
      </c>
      <c r="B324" s="191" t="s">
        <v>497</v>
      </c>
      <c r="C324" s="201" t="s">
        <v>683</v>
      </c>
      <c r="D324" s="202">
        <v>5</v>
      </c>
      <c r="E324" s="203">
        <f t="shared" si="119"/>
        <v>2000</v>
      </c>
      <c r="F324" s="203">
        <v>2000</v>
      </c>
      <c r="G324" s="203"/>
      <c r="H324" s="203">
        <f t="shared" si="120"/>
        <v>700</v>
      </c>
      <c r="I324" s="203"/>
      <c r="J324" s="203">
        <v>100</v>
      </c>
      <c r="K324" s="203">
        <v>100</v>
      </c>
      <c r="L324" s="203">
        <v>100</v>
      </c>
      <c r="M324" s="203">
        <v>150</v>
      </c>
      <c r="N324" s="203">
        <v>250</v>
      </c>
      <c r="O324" s="205"/>
      <c r="P324" s="205">
        <f t="shared" si="121"/>
        <v>1300</v>
      </c>
      <c r="Q324" s="203">
        <v>100</v>
      </c>
      <c r="R324" s="203"/>
      <c r="S324" s="203"/>
      <c r="T324" s="203"/>
      <c r="U324" s="203"/>
      <c r="V324" s="203"/>
      <c r="W324" s="203">
        <v>100</v>
      </c>
      <c r="X324" s="203">
        <v>250</v>
      </c>
      <c r="Y324" s="203">
        <v>100</v>
      </c>
      <c r="Z324" s="203"/>
      <c r="AA324" s="203">
        <v>250</v>
      </c>
      <c r="AB324" s="203">
        <v>150</v>
      </c>
      <c r="AC324" s="203">
        <v>200</v>
      </c>
      <c r="AD324" s="203">
        <v>150</v>
      </c>
      <c r="AE324" s="203"/>
      <c r="AF324" s="203">
        <f t="shared" si="122"/>
        <v>0</v>
      </c>
      <c r="AG324" s="203"/>
      <c r="AH324" s="203"/>
      <c r="AI324" s="197">
        <f t="shared" si="118"/>
        <v>0</v>
      </c>
    </row>
    <row r="325" spans="1:35" s="198" customFormat="1" ht="26.1" customHeight="1">
      <c r="A325" s="191" t="s">
        <v>498</v>
      </c>
      <c r="B325" s="191" t="s">
        <v>497</v>
      </c>
      <c r="C325" s="241" t="s">
        <v>482</v>
      </c>
      <c r="D325" s="202">
        <v>5</v>
      </c>
      <c r="E325" s="203">
        <f t="shared" si="119"/>
        <v>628796</v>
      </c>
      <c r="F325" s="203">
        <v>628796</v>
      </c>
      <c r="G325" s="203"/>
      <c r="H325" s="203">
        <f t="shared" si="120"/>
        <v>628796</v>
      </c>
      <c r="I325" s="203">
        <v>588984</v>
      </c>
      <c r="J325" s="203"/>
      <c r="K325" s="203"/>
      <c r="L325" s="203"/>
      <c r="M325" s="203"/>
      <c r="N325" s="203">
        <v>39812</v>
      </c>
      <c r="O325" s="205"/>
      <c r="P325" s="205">
        <f t="shared" si="121"/>
        <v>0</v>
      </c>
      <c r="Q325" s="203"/>
      <c r="R325" s="203"/>
      <c r="S325" s="203"/>
      <c r="T325" s="203"/>
      <c r="U325" s="203"/>
      <c r="V325" s="203"/>
      <c r="W325" s="203"/>
      <c r="X325" s="203"/>
      <c r="Y325" s="203"/>
      <c r="Z325" s="203"/>
      <c r="AA325" s="203"/>
      <c r="AB325" s="203"/>
      <c r="AC325" s="203"/>
      <c r="AD325" s="203"/>
      <c r="AE325" s="203"/>
      <c r="AF325" s="203">
        <f t="shared" si="122"/>
        <v>0</v>
      </c>
      <c r="AG325" s="203"/>
      <c r="AH325" s="203"/>
      <c r="AI325" s="197">
        <f t="shared" si="118"/>
        <v>0</v>
      </c>
    </row>
    <row r="326" spans="1:35" s="198" customFormat="1" ht="26.1" customHeight="1">
      <c r="A326" s="206"/>
      <c r="B326" s="191"/>
      <c r="C326" s="201"/>
      <c r="D326" s="202"/>
      <c r="E326" s="207">
        <f>E327+E343+E356+E357+E362</f>
        <v>15378134</v>
      </c>
      <c r="F326" s="207">
        <f>F327+F343+F356+F357+F362</f>
        <v>15124725</v>
      </c>
      <c r="G326" s="207">
        <f>G327+G343+G356+G357+G362</f>
        <v>253409</v>
      </c>
      <c r="H326" s="207">
        <f>H327+H343+H356+H357+H362</f>
        <v>9911331</v>
      </c>
      <c r="I326" s="203"/>
      <c r="J326" s="203"/>
      <c r="K326" s="203"/>
      <c r="L326" s="203"/>
      <c r="M326" s="203"/>
      <c r="N326" s="203"/>
      <c r="O326" s="205"/>
      <c r="P326" s="207">
        <f>P327+P343+P356+P357+P362</f>
        <v>5321762</v>
      </c>
      <c r="Q326" s="203"/>
      <c r="R326" s="203"/>
      <c r="S326" s="203"/>
      <c r="T326" s="203"/>
      <c r="U326" s="203"/>
      <c r="V326" s="203"/>
      <c r="W326" s="203"/>
      <c r="X326" s="203"/>
      <c r="Y326" s="203"/>
      <c r="Z326" s="203"/>
      <c r="AA326" s="203"/>
      <c r="AB326" s="203"/>
      <c r="AC326" s="203"/>
      <c r="AD326" s="203"/>
      <c r="AE326" s="203"/>
      <c r="AF326" s="207">
        <f>AF327+AF343+AF356+AF357+AF362</f>
        <v>145041</v>
      </c>
      <c r="AG326" s="203"/>
      <c r="AH326" s="203"/>
      <c r="AI326" s="197">
        <f t="shared" ref="AI326:AI342" si="123">IF(+F326+G326=E326,0,FALSE)</f>
        <v>0</v>
      </c>
    </row>
    <row r="327" spans="1:35" s="198" customFormat="1" ht="26.1" customHeight="1">
      <c r="A327" s="206"/>
      <c r="B327" s="191"/>
      <c r="C327" s="201"/>
      <c r="D327" s="202"/>
      <c r="E327" s="213">
        <f>SUM(E328:E342)</f>
        <v>2887573</v>
      </c>
      <c r="F327" s="203">
        <f>SUM(F328:F342)</f>
        <v>2797422</v>
      </c>
      <c r="G327" s="203">
        <f t="shared" ref="G327:AH327" si="124">SUM(G328:G342)</f>
        <v>90151</v>
      </c>
      <c r="H327" s="213">
        <f t="shared" si="124"/>
        <v>2189799</v>
      </c>
      <c r="I327" s="203">
        <f t="shared" si="124"/>
        <v>925565</v>
      </c>
      <c r="J327" s="203">
        <f t="shared" si="124"/>
        <v>243659</v>
      </c>
      <c r="K327" s="203"/>
      <c r="L327" s="203">
        <f t="shared" si="124"/>
        <v>386322</v>
      </c>
      <c r="M327" s="203">
        <f t="shared" si="124"/>
        <v>192204</v>
      </c>
      <c r="N327" s="203">
        <f t="shared" si="124"/>
        <v>343549</v>
      </c>
      <c r="O327" s="203">
        <f t="shared" si="124"/>
        <v>0</v>
      </c>
      <c r="P327" s="213">
        <f t="shared" si="124"/>
        <v>631872</v>
      </c>
      <c r="Q327" s="203">
        <f t="shared" si="124"/>
        <v>36520</v>
      </c>
      <c r="R327" s="203">
        <f t="shared" si="124"/>
        <v>34448</v>
      </c>
      <c r="S327" s="203">
        <f t="shared" si="124"/>
        <v>64364</v>
      </c>
      <c r="T327" s="203">
        <f t="shared" si="124"/>
        <v>70697</v>
      </c>
      <c r="U327" s="203">
        <f t="shared" si="124"/>
        <v>45354</v>
      </c>
      <c r="V327" s="203">
        <f t="shared" si="124"/>
        <v>51091</v>
      </c>
      <c r="W327" s="203">
        <f t="shared" si="124"/>
        <v>36573</v>
      </c>
      <c r="X327" s="203">
        <f t="shared" si="124"/>
        <v>69466</v>
      </c>
      <c r="Y327" s="203">
        <f t="shared" si="124"/>
        <v>68380</v>
      </c>
      <c r="Z327" s="203">
        <f t="shared" si="124"/>
        <v>45565</v>
      </c>
      <c r="AA327" s="203">
        <f t="shared" si="124"/>
        <v>30358</v>
      </c>
      <c r="AB327" s="203">
        <f t="shared" si="124"/>
        <v>45124</v>
      </c>
      <c r="AC327" s="203">
        <f t="shared" si="124"/>
        <v>19909</v>
      </c>
      <c r="AD327" s="203">
        <f t="shared" si="124"/>
        <v>14023</v>
      </c>
      <c r="AE327" s="203">
        <f t="shared" si="124"/>
        <v>0</v>
      </c>
      <c r="AF327" s="213">
        <f t="shared" si="124"/>
        <v>65902</v>
      </c>
      <c r="AG327" s="203">
        <f>SUM(AG328:AG342)</f>
        <v>39437</v>
      </c>
      <c r="AH327" s="203">
        <f t="shared" si="124"/>
        <v>26465</v>
      </c>
      <c r="AI327" s="197">
        <f>IF(+F327+G327=E327,0,FALSE)</f>
        <v>0</v>
      </c>
    </row>
    <row r="328" spans="1:35" s="198" customFormat="1" ht="26.1" customHeight="1">
      <c r="A328" s="200" t="s">
        <v>180</v>
      </c>
      <c r="B328" s="191" t="s">
        <v>181</v>
      </c>
      <c r="C328" s="201" t="s">
        <v>557</v>
      </c>
      <c r="D328" s="202">
        <v>5</v>
      </c>
      <c r="E328" s="203">
        <f>SUM(H328,P328,AF328)</f>
        <v>18258</v>
      </c>
      <c r="F328" s="203">
        <v>12182</v>
      </c>
      <c r="G328" s="203">
        <v>6076</v>
      </c>
      <c r="H328" s="204">
        <f>SUM(I328:O328)</f>
        <v>4224</v>
      </c>
      <c r="I328" s="203">
        <v>0</v>
      </c>
      <c r="J328" s="203">
        <v>660</v>
      </c>
      <c r="K328" s="203">
        <v>677</v>
      </c>
      <c r="L328" s="203">
        <v>726</v>
      </c>
      <c r="M328" s="203">
        <v>1241</v>
      </c>
      <c r="N328" s="203">
        <v>920</v>
      </c>
      <c r="O328" s="205">
        <v>0</v>
      </c>
      <c r="P328" s="205">
        <f t="shared" ref="P328:P342" si="125">SUM(Q328:AE328)</f>
        <v>13743</v>
      </c>
      <c r="Q328" s="203">
        <v>1100</v>
      </c>
      <c r="R328" s="203">
        <v>810</v>
      </c>
      <c r="S328" s="203">
        <v>838</v>
      </c>
      <c r="T328" s="203">
        <v>1145</v>
      </c>
      <c r="U328" s="203">
        <v>500</v>
      </c>
      <c r="V328" s="203">
        <v>1550</v>
      </c>
      <c r="W328" s="203">
        <v>1200</v>
      </c>
      <c r="X328" s="203">
        <v>1206</v>
      </c>
      <c r="Y328" s="203">
        <v>1500</v>
      </c>
      <c r="Z328" s="203">
        <v>1250</v>
      </c>
      <c r="AA328" s="203">
        <v>1370</v>
      </c>
      <c r="AB328" s="203">
        <v>450</v>
      </c>
      <c r="AC328" s="203">
        <v>389</v>
      </c>
      <c r="AD328" s="203">
        <v>435</v>
      </c>
      <c r="AE328" s="203">
        <v>0</v>
      </c>
      <c r="AF328" s="203">
        <f t="shared" ref="AF328:AF342" si="126">SUM(AG328:AH328)</f>
        <v>291</v>
      </c>
      <c r="AG328" s="203">
        <v>57</v>
      </c>
      <c r="AH328" s="203">
        <v>234</v>
      </c>
      <c r="AI328" s="197">
        <f t="shared" si="123"/>
        <v>0</v>
      </c>
    </row>
    <row r="329" spans="1:35" s="198" customFormat="1" ht="26.1" customHeight="1">
      <c r="A329" s="190" t="s">
        <v>180</v>
      </c>
      <c r="B329" s="191" t="s">
        <v>181</v>
      </c>
      <c r="C329" s="201" t="s">
        <v>558</v>
      </c>
      <c r="D329" s="202">
        <v>5</v>
      </c>
      <c r="E329" s="203">
        <f t="shared" ref="E329:E342" si="127">SUM(H329,P329,AF329)</f>
        <v>145346</v>
      </c>
      <c r="F329" s="203">
        <v>145346</v>
      </c>
      <c r="G329" s="203">
        <v>0</v>
      </c>
      <c r="H329" s="204">
        <f t="shared" ref="H329:H342" si="128">SUM(I329:O329)</f>
        <v>65073</v>
      </c>
      <c r="I329" s="203">
        <v>0</v>
      </c>
      <c r="J329" s="203">
        <v>17185</v>
      </c>
      <c r="K329" s="203">
        <v>7806</v>
      </c>
      <c r="L329" s="203">
        <v>12930</v>
      </c>
      <c r="M329" s="203">
        <v>10949</v>
      </c>
      <c r="N329" s="203">
        <v>16203</v>
      </c>
      <c r="O329" s="205">
        <v>0</v>
      </c>
      <c r="P329" s="205">
        <f>SUM(Q329:AE329)</f>
        <v>76973</v>
      </c>
      <c r="Q329" s="203">
        <v>6270</v>
      </c>
      <c r="R329" s="203">
        <v>5748</v>
      </c>
      <c r="S329" s="203">
        <v>5747</v>
      </c>
      <c r="T329" s="203">
        <v>7838</v>
      </c>
      <c r="U329" s="203">
        <v>6792</v>
      </c>
      <c r="V329" s="203">
        <v>6793</v>
      </c>
      <c r="W329" s="203">
        <v>5225</v>
      </c>
      <c r="X329" s="203">
        <v>7315</v>
      </c>
      <c r="Y329" s="203">
        <v>4703</v>
      </c>
      <c r="Z329" s="203">
        <v>6297</v>
      </c>
      <c r="AA329" s="203">
        <v>2750</v>
      </c>
      <c r="AB329" s="203">
        <v>4180</v>
      </c>
      <c r="AC329" s="203">
        <v>3657</v>
      </c>
      <c r="AD329" s="203">
        <v>3658</v>
      </c>
      <c r="AE329" s="203">
        <v>0</v>
      </c>
      <c r="AF329" s="203">
        <f t="shared" si="126"/>
        <v>3300</v>
      </c>
      <c r="AG329" s="203">
        <v>2200</v>
      </c>
      <c r="AH329" s="203">
        <v>1100</v>
      </c>
      <c r="AI329" s="197">
        <f t="shared" si="123"/>
        <v>0</v>
      </c>
    </row>
    <row r="330" spans="1:35" s="198" customFormat="1" ht="26.1" customHeight="1">
      <c r="A330" s="190" t="s">
        <v>180</v>
      </c>
      <c r="B330" s="191" t="s">
        <v>181</v>
      </c>
      <c r="C330" s="201" t="s">
        <v>559</v>
      </c>
      <c r="D330" s="202">
        <v>5</v>
      </c>
      <c r="E330" s="203">
        <f t="shared" si="127"/>
        <v>44624</v>
      </c>
      <c r="F330" s="203">
        <v>44624</v>
      </c>
      <c r="G330" s="203">
        <v>0</v>
      </c>
      <c r="H330" s="204">
        <f t="shared" si="128"/>
        <v>4233</v>
      </c>
      <c r="I330" s="203">
        <v>0</v>
      </c>
      <c r="J330" s="203">
        <v>600</v>
      </c>
      <c r="K330" s="203">
        <v>966</v>
      </c>
      <c r="L330" s="203">
        <v>1059</v>
      </c>
      <c r="M330" s="203">
        <v>0</v>
      </c>
      <c r="N330" s="203">
        <v>1608</v>
      </c>
      <c r="O330" s="205">
        <v>0</v>
      </c>
      <c r="P330" s="205">
        <f t="shared" si="125"/>
        <v>31881</v>
      </c>
      <c r="Q330" s="203">
        <v>1437</v>
      </c>
      <c r="R330" s="203">
        <v>1500</v>
      </c>
      <c r="S330" s="203">
        <v>1260</v>
      </c>
      <c r="T330" s="203">
        <v>0</v>
      </c>
      <c r="U330" s="203">
        <v>3489</v>
      </c>
      <c r="V330" s="203">
        <v>0</v>
      </c>
      <c r="W330" s="203">
        <v>969</v>
      </c>
      <c r="X330" s="203">
        <v>4776</v>
      </c>
      <c r="Y330" s="203">
        <v>10941</v>
      </c>
      <c r="Z330" s="203">
        <v>2805</v>
      </c>
      <c r="AA330" s="203">
        <v>4704</v>
      </c>
      <c r="AB330" s="203">
        <v>0</v>
      </c>
      <c r="AC330" s="203">
        <v>0</v>
      </c>
      <c r="AD330" s="203">
        <v>0</v>
      </c>
      <c r="AE330" s="203">
        <v>0</v>
      </c>
      <c r="AF330" s="203">
        <f t="shared" si="126"/>
        <v>8510</v>
      </c>
      <c r="AG330" s="203">
        <v>7186</v>
      </c>
      <c r="AH330" s="203">
        <v>1324</v>
      </c>
      <c r="AI330" s="197">
        <f t="shared" si="123"/>
        <v>0</v>
      </c>
    </row>
    <row r="331" spans="1:35" s="198" customFormat="1" ht="26.1" customHeight="1">
      <c r="A331" s="190" t="s">
        <v>180</v>
      </c>
      <c r="B331" s="191" t="s">
        <v>181</v>
      </c>
      <c r="C331" s="201" t="s">
        <v>560</v>
      </c>
      <c r="D331" s="202">
        <v>5</v>
      </c>
      <c r="E331" s="203">
        <f t="shared" si="127"/>
        <v>148168</v>
      </c>
      <c r="F331" s="203">
        <v>71508</v>
      </c>
      <c r="G331" s="203">
        <v>76660</v>
      </c>
      <c r="H331" s="204">
        <f t="shared" si="128"/>
        <v>13039</v>
      </c>
      <c r="I331" s="203">
        <v>0</v>
      </c>
      <c r="J331" s="203">
        <v>843</v>
      </c>
      <c r="K331" s="203">
        <v>3225</v>
      </c>
      <c r="L331" s="203">
        <v>2506</v>
      </c>
      <c r="M331" s="203">
        <v>0</v>
      </c>
      <c r="N331" s="203">
        <v>6465</v>
      </c>
      <c r="O331" s="205">
        <v>0</v>
      </c>
      <c r="P331" s="205">
        <f t="shared" si="125"/>
        <v>86559</v>
      </c>
      <c r="Q331" s="203">
        <v>7123</v>
      </c>
      <c r="R331" s="203">
        <v>2670</v>
      </c>
      <c r="S331" s="203">
        <v>5413</v>
      </c>
      <c r="T331" s="203">
        <v>0</v>
      </c>
      <c r="U331" s="203">
        <v>4770</v>
      </c>
      <c r="V331" s="203">
        <v>0</v>
      </c>
      <c r="W331" s="203">
        <v>2610</v>
      </c>
      <c r="X331" s="203">
        <v>10224</v>
      </c>
      <c r="Y331" s="203">
        <v>28055</v>
      </c>
      <c r="Z331" s="203">
        <v>7883</v>
      </c>
      <c r="AA331" s="203">
        <v>17811</v>
      </c>
      <c r="AB331" s="203">
        <v>0</v>
      </c>
      <c r="AC331" s="203">
        <v>0</v>
      </c>
      <c r="AD331" s="203">
        <v>0</v>
      </c>
      <c r="AE331" s="203">
        <v>0</v>
      </c>
      <c r="AF331" s="203">
        <f t="shared" si="126"/>
        <v>48570</v>
      </c>
      <c r="AG331" s="203">
        <v>25987</v>
      </c>
      <c r="AH331" s="203">
        <v>22583</v>
      </c>
      <c r="AI331" s="197">
        <f t="shared" si="123"/>
        <v>0</v>
      </c>
    </row>
    <row r="332" spans="1:35" s="198" customFormat="1" ht="26.1" customHeight="1">
      <c r="A332" s="190" t="s">
        <v>180</v>
      </c>
      <c r="B332" s="191" t="s">
        <v>181</v>
      </c>
      <c r="C332" s="201" t="s">
        <v>561</v>
      </c>
      <c r="D332" s="202">
        <v>5</v>
      </c>
      <c r="E332" s="203">
        <f t="shared" si="127"/>
        <v>7415</v>
      </c>
      <c r="F332" s="203">
        <v>0</v>
      </c>
      <c r="G332" s="203">
        <v>7415</v>
      </c>
      <c r="H332" s="204">
        <f t="shared" si="128"/>
        <v>1868</v>
      </c>
      <c r="I332" s="203">
        <v>0</v>
      </c>
      <c r="J332" s="203">
        <v>0</v>
      </c>
      <c r="K332" s="203">
        <v>593</v>
      </c>
      <c r="L332" s="203">
        <v>94</v>
      </c>
      <c r="M332" s="203">
        <v>0</v>
      </c>
      <c r="N332" s="203">
        <v>1181</v>
      </c>
      <c r="O332" s="205">
        <v>0</v>
      </c>
      <c r="P332" s="205">
        <f t="shared" si="125"/>
        <v>5547</v>
      </c>
      <c r="Q332" s="203">
        <v>46</v>
      </c>
      <c r="R332" s="203">
        <v>187</v>
      </c>
      <c r="S332" s="203">
        <v>100</v>
      </c>
      <c r="T332" s="203">
        <v>0</v>
      </c>
      <c r="U332" s="203">
        <v>298</v>
      </c>
      <c r="V332" s="203">
        <v>0</v>
      </c>
      <c r="W332" s="203">
        <v>0</v>
      </c>
      <c r="X332" s="203">
        <v>1203</v>
      </c>
      <c r="Y332" s="203">
        <v>3379</v>
      </c>
      <c r="Z332" s="203">
        <v>334</v>
      </c>
      <c r="AA332" s="203">
        <v>0</v>
      </c>
      <c r="AB332" s="203">
        <v>0</v>
      </c>
      <c r="AC332" s="203">
        <v>0</v>
      </c>
      <c r="AD332" s="203">
        <v>0</v>
      </c>
      <c r="AE332" s="203">
        <v>0</v>
      </c>
      <c r="AF332" s="203">
        <f t="shared" si="126"/>
        <v>0</v>
      </c>
      <c r="AG332" s="203">
        <v>0</v>
      </c>
      <c r="AH332" s="203">
        <v>0</v>
      </c>
      <c r="AI332" s="197">
        <f t="shared" si="123"/>
        <v>0</v>
      </c>
    </row>
    <row r="333" spans="1:35" s="198" customFormat="1" ht="26.1" customHeight="1">
      <c r="A333" s="190" t="s">
        <v>180</v>
      </c>
      <c r="B333" s="191" t="s">
        <v>181</v>
      </c>
      <c r="C333" s="201" t="s">
        <v>562</v>
      </c>
      <c r="D333" s="202">
        <v>5</v>
      </c>
      <c r="E333" s="203">
        <f t="shared" si="127"/>
        <v>149826</v>
      </c>
      <c r="F333" s="203">
        <v>149826</v>
      </c>
      <c r="G333" s="203">
        <v>0</v>
      </c>
      <c r="H333" s="204">
        <f t="shared" si="128"/>
        <v>71789</v>
      </c>
      <c r="I333" s="203">
        <v>0</v>
      </c>
      <c r="J333" s="203">
        <v>11491</v>
      </c>
      <c r="K333" s="203">
        <v>9390</v>
      </c>
      <c r="L333" s="203">
        <v>27901</v>
      </c>
      <c r="M333" s="203">
        <v>11126</v>
      </c>
      <c r="N333" s="203">
        <v>11881</v>
      </c>
      <c r="O333" s="205">
        <v>0</v>
      </c>
      <c r="P333" s="205">
        <f t="shared" si="125"/>
        <v>76905</v>
      </c>
      <c r="Q333" s="203">
        <v>9521</v>
      </c>
      <c r="R333" s="203">
        <v>4517</v>
      </c>
      <c r="S333" s="203">
        <v>7130</v>
      </c>
      <c r="T333" s="203">
        <v>9423</v>
      </c>
      <c r="U333" s="203">
        <v>8236</v>
      </c>
      <c r="V333" s="203">
        <v>4409</v>
      </c>
      <c r="W333" s="203">
        <v>8887</v>
      </c>
      <c r="X333" s="203">
        <v>4276</v>
      </c>
      <c r="Y333" s="203">
        <v>3641</v>
      </c>
      <c r="Z333" s="203">
        <v>6491</v>
      </c>
      <c r="AA333" s="203">
        <v>1517</v>
      </c>
      <c r="AB333" s="203">
        <v>1924</v>
      </c>
      <c r="AC333" s="203">
        <v>2283</v>
      </c>
      <c r="AD333" s="203">
        <v>4650</v>
      </c>
      <c r="AE333" s="203">
        <v>0</v>
      </c>
      <c r="AF333" s="203">
        <f t="shared" si="126"/>
        <v>1132</v>
      </c>
      <c r="AG333" s="203">
        <v>932</v>
      </c>
      <c r="AH333" s="203">
        <v>200</v>
      </c>
      <c r="AI333" s="197">
        <f t="shared" si="123"/>
        <v>0</v>
      </c>
    </row>
    <row r="334" spans="1:35" s="198" customFormat="1" ht="26.1" customHeight="1">
      <c r="A334" s="190" t="s">
        <v>180</v>
      </c>
      <c r="B334" s="191" t="s">
        <v>181</v>
      </c>
      <c r="C334" s="201" t="s">
        <v>563</v>
      </c>
      <c r="D334" s="202">
        <v>5</v>
      </c>
      <c r="E334" s="203">
        <f t="shared" si="127"/>
        <v>91391</v>
      </c>
      <c r="F334" s="203">
        <v>91391</v>
      </c>
      <c r="G334" s="203">
        <v>0</v>
      </c>
      <c r="H334" s="204">
        <f t="shared" si="128"/>
        <v>56878</v>
      </c>
      <c r="I334" s="203">
        <v>8559</v>
      </c>
      <c r="J334" s="203">
        <v>12331</v>
      </c>
      <c r="K334" s="203">
        <v>8055</v>
      </c>
      <c r="L334" s="203">
        <v>12768</v>
      </c>
      <c r="M334" s="203">
        <v>6788</v>
      </c>
      <c r="N334" s="203">
        <v>8377</v>
      </c>
      <c r="O334" s="205"/>
      <c r="P334" s="205">
        <f t="shared" si="125"/>
        <v>33671</v>
      </c>
      <c r="Q334" s="203">
        <v>2410</v>
      </c>
      <c r="R334" s="203">
        <v>3036</v>
      </c>
      <c r="S334" s="203">
        <v>2506</v>
      </c>
      <c r="T334" s="203">
        <v>7935</v>
      </c>
      <c r="U334" s="203">
        <v>1995</v>
      </c>
      <c r="V334" s="203">
        <v>3150</v>
      </c>
      <c r="W334" s="203">
        <v>1430</v>
      </c>
      <c r="X334" s="203">
        <v>4494</v>
      </c>
      <c r="Y334" s="203">
        <v>564</v>
      </c>
      <c r="Z334" s="203">
        <v>1712</v>
      </c>
      <c r="AA334" s="203">
        <v>300</v>
      </c>
      <c r="AB334" s="203">
        <v>1588</v>
      </c>
      <c r="AC334" s="203">
        <v>1665</v>
      </c>
      <c r="AD334" s="203">
        <v>886</v>
      </c>
      <c r="AE334" s="203"/>
      <c r="AF334" s="203">
        <f t="shared" si="126"/>
        <v>842</v>
      </c>
      <c r="AG334" s="203">
        <v>552</v>
      </c>
      <c r="AH334" s="203">
        <v>290</v>
      </c>
      <c r="AI334" s="197">
        <f t="shared" si="123"/>
        <v>0</v>
      </c>
    </row>
    <row r="335" spans="1:35" s="198" customFormat="1" ht="26.1" customHeight="1">
      <c r="A335" s="190" t="s">
        <v>180</v>
      </c>
      <c r="B335" s="191" t="s">
        <v>181</v>
      </c>
      <c r="C335" s="201" t="s">
        <v>564</v>
      </c>
      <c r="D335" s="202">
        <v>5</v>
      </c>
      <c r="E335" s="203">
        <f>SUM(H335,P335,AF335)</f>
        <v>2000</v>
      </c>
      <c r="F335" s="203">
        <v>2000</v>
      </c>
      <c r="G335" s="203">
        <v>0</v>
      </c>
      <c r="H335" s="204">
        <f t="shared" si="128"/>
        <v>1340</v>
      </c>
      <c r="I335" s="203">
        <v>200</v>
      </c>
      <c r="J335" s="203">
        <v>300</v>
      </c>
      <c r="K335" s="203">
        <v>150</v>
      </c>
      <c r="L335" s="203">
        <v>220</v>
      </c>
      <c r="M335" s="203">
        <v>170</v>
      </c>
      <c r="N335" s="203">
        <v>300</v>
      </c>
      <c r="O335" s="205"/>
      <c r="P335" s="205">
        <f t="shared" si="125"/>
        <v>660</v>
      </c>
      <c r="Q335" s="203">
        <v>30</v>
      </c>
      <c r="R335" s="203">
        <v>30</v>
      </c>
      <c r="S335" s="203">
        <v>40</v>
      </c>
      <c r="T335" s="203">
        <v>80</v>
      </c>
      <c r="U335" s="203">
        <v>60</v>
      </c>
      <c r="V335" s="203">
        <v>70</v>
      </c>
      <c r="W335" s="203">
        <v>20</v>
      </c>
      <c r="X335" s="203">
        <v>100</v>
      </c>
      <c r="Y335" s="203">
        <v>90</v>
      </c>
      <c r="Z335" s="203">
        <v>50</v>
      </c>
      <c r="AA335" s="203">
        <v>20</v>
      </c>
      <c r="AB335" s="203">
        <v>30</v>
      </c>
      <c r="AC335" s="203">
        <v>20</v>
      </c>
      <c r="AD335" s="203">
        <v>20</v>
      </c>
      <c r="AE335" s="203"/>
      <c r="AF335" s="203">
        <f t="shared" si="126"/>
        <v>0</v>
      </c>
      <c r="AG335" s="203">
        <v>0</v>
      </c>
      <c r="AH335" s="203">
        <v>0</v>
      </c>
      <c r="AI335" s="197">
        <f t="shared" si="123"/>
        <v>0</v>
      </c>
    </row>
    <row r="336" spans="1:35" s="198" customFormat="1" ht="26.1" customHeight="1">
      <c r="A336" s="190" t="s">
        <v>180</v>
      </c>
      <c r="B336" s="191" t="s">
        <v>181</v>
      </c>
      <c r="C336" s="201" t="s">
        <v>565</v>
      </c>
      <c r="D336" s="202">
        <v>5</v>
      </c>
      <c r="E336" s="203">
        <f>SUM(H336,P336,AF336)</f>
        <v>878659</v>
      </c>
      <c r="F336" s="203">
        <v>878659</v>
      </c>
      <c r="G336" s="203">
        <v>0</v>
      </c>
      <c r="H336" s="204">
        <f t="shared" si="128"/>
        <v>778865</v>
      </c>
      <c r="I336" s="203">
        <v>73118</v>
      </c>
      <c r="J336" s="203">
        <v>118330</v>
      </c>
      <c r="K336" s="203">
        <v>21994</v>
      </c>
      <c r="L336" s="203">
        <v>271784</v>
      </c>
      <c r="M336" s="203">
        <v>127343</v>
      </c>
      <c r="N336" s="203">
        <v>166296</v>
      </c>
      <c r="O336" s="205"/>
      <c r="P336" s="205">
        <f t="shared" si="125"/>
        <v>99682</v>
      </c>
      <c r="Q336" s="203">
        <v>0</v>
      </c>
      <c r="R336" s="203">
        <v>7221</v>
      </c>
      <c r="S336" s="203">
        <v>25824</v>
      </c>
      <c r="T336" s="203">
        <v>20467</v>
      </c>
      <c r="U336" s="203">
        <v>0</v>
      </c>
      <c r="V336" s="203">
        <v>17549</v>
      </c>
      <c r="W336" s="203">
        <v>3833</v>
      </c>
      <c r="X336" s="203">
        <v>0</v>
      </c>
      <c r="Y336" s="203">
        <v>0</v>
      </c>
      <c r="Z336" s="203">
        <v>927</v>
      </c>
      <c r="AA336" s="203">
        <v>0</v>
      </c>
      <c r="AB336" s="203">
        <v>18438</v>
      </c>
      <c r="AC336" s="203">
        <v>5423</v>
      </c>
      <c r="AD336" s="203">
        <v>0</v>
      </c>
      <c r="AE336" s="203"/>
      <c r="AF336" s="203">
        <f t="shared" si="126"/>
        <v>112</v>
      </c>
      <c r="AG336" s="203">
        <v>0</v>
      </c>
      <c r="AH336" s="203">
        <v>112</v>
      </c>
      <c r="AI336" s="197"/>
    </row>
    <row r="337" spans="1:35" s="198" customFormat="1" ht="26.1" customHeight="1">
      <c r="A337" s="190" t="s">
        <v>180</v>
      </c>
      <c r="B337" s="191" t="s">
        <v>181</v>
      </c>
      <c r="C337" s="201" t="s">
        <v>566</v>
      </c>
      <c r="D337" s="202">
        <v>5</v>
      </c>
      <c r="E337" s="203">
        <f t="shared" si="127"/>
        <v>40593</v>
      </c>
      <c r="F337" s="203">
        <v>40593</v>
      </c>
      <c r="G337" s="203">
        <v>0</v>
      </c>
      <c r="H337" s="204">
        <f t="shared" si="128"/>
        <v>25535</v>
      </c>
      <c r="I337" s="203">
        <v>1732</v>
      </c>
      <c r="J337" s="203">
        <v>3221</v>
      </c>
      <c r="K337" s="203">
        <v>2020</v>
      </c>
      <c r="L337" s="203">
        <v>9588</v>
      </c>
      <c r="M337" s="203">
        <v>5245</v>
      </c>
      <c r="N337" s="203">
        <v>3729</v>
      </c>
      <c r="O337" s="205"/>
      <c r="P337" s="205">
        <f t="shared" si="125"/>
        <v>14954</v>
      </c>
      <c r="Q337" s="203">
        <v>370</v>
      </c>
      <c r="R337" s="203">
        <v>0</v>
      </c>
      <c r="S337" s="203">
        <v>0</v>
      </c>
      <c r="T337" s="203">
        <v>4254</v>
      </c>
      <c r="U337" s="203">
        <v>722</v>
      </c>
      <c r="V337" s="203">
        <v>1887</v>
      </c>
      <c r="W337" s="203">
        <v>1251</v>
      </c>
      <c r="X337" s="203">
        <v>244</v>
      </c>
      <c r="Y337" s="203">
        <v>3974</v>
      </c>
      <c r="Z337" s="203">
        <v>385</v>
      </c>
      <c r="AA337" s="203">
        <v>367</v>
      </c>
      <c r="AB337" s="203">
        <v>105</v>
      </c>
      <c r="AC337" s="203">
        <v>1219</v>
      </c>
      <c r="AD337" s="203">
        <v>176</v>
      </c>
      <c r="AE337" s="203"/>
      <c r="AF337" s="203">
        <f t="shared" si="126"/>
        <v>104</v>
      </c>
      <c r="AG337" s="203">
        <v>99</v>
      </c>
      <c r="AH337" s="203">
        <v>5</v>
      </c>
      <c r="AI337" s="197">
        <f t="shared" si="123"/>
        <v>0</v>
      </c>
    </row>
    <row r="338" spans="1:35" s="198" customFormat="1" ht="26.1" customHeight="1">
      <c r="A338" s="190" t="s">
        <v>180</v>
      </c>
      <c r="B338" s="191" t="s">
        <v>181</v>
      </c>
      <c r="C338" s="201" t="s">
        <v>567</v>
      </c>
      <c r="D338" s="202">
        <v>5</v>
      </c>
      <c r="E338" s="203">
        <f t="shared" si="127"/>
        <v>351000</v>
      </c>
      <c r="F338" s="203">
        <v>351000</v>
      </c>
      <c r="G338" s="203">
        <v>0</v>
      </c>
      <c r="H338" s="204">
        <f t="shared" si="128"/>
        <v>196964</v>
      </c>
      <c r="I338" s="203">
        <v>29524</v>
      </c>
      <c r="J338" s="203">
        <v>46944</v>
      </c>
      <c r="K338" s="203">
        <v>26724</v>
      </c>
      <c r="L338" s="203">
        <v>29524</v>
      </c>
      <c r="M338" s="203">
        <v>19424</v>
      </c>
      <c r="N338" s="203">
        <v>44824</v>
      </c>
      <c r="O338" s="205">
        <v>0</v>
      </c>
      <c r="P338" s="205">
        <f t="shared" si="125"/>
        <v>151803</v>
      </c>
      <c r="Q338" s="203">
        <v>5467</v>
      </c>
      <c r="R338" s="203">
        <v>6197</v>
      </c>
      <c r="S338" s="203">
        <v>12027</v>
      </c>
      <c r="T338" s="203">
        <v>12022</v>
      </c>
      <c r="U338" s="203">
        <v>16117</v>
      </c>
      <c r="V338" s="203">
        <v>11267</v>
      </c>
      <c r="W338" s="203">
        <v>7987</v>
      </c>
      <c r="X338" s="203">
        <v>32267</v>
      </c>
      <c r="Y338" s="203">
        <v>9617</v>
      </c>
      <c r="Z338" s="203">
        <v>15267</v>
      </c>
      <c r="AA338" s="203">
        <v>867</v>
      </c>
      <c r="AB338" s="203">
        <v>16517</v>
      </c>
      <c r="AC338" s="203">
        <v>3317</v>
      </c>
      <c r="AD338" s="203">
        <v>2867</v>
      </c>
      <c r="AE338" s="203">
        <v>0</v>
      </c>
      <c r="AF338" s="203">
        <f t="shared" si="126"/>
        <v>2233</v>
      </c>
      <c r="AG338" s="203">
        <v>1873</v>
      </c>
      <c r="AH338" s="203">
        <v>360</v>
      </c>
      <c r="AI338" s="197">
        <f t="shared" si="123"/>
        <v>0</v>
      </c>
    </row>
    <row r="339" spans="1:35" s="198" customFormat="1" ht="26.1" customHeight="1">
      <c r="A339" s="190" t="s">
        <v>180</v>
      </c>
      <c r="B339" s="191" t="s">
        <v>181</v>
      </c>
      <c r="C339" s="201" t="s">
        <v>568</v>
      </c>
      <c r="D339" s="202">
        <v>5</v>
      </c>
      <c r="E339" s="203">
        <f t="shared" si="127"/>
        <v>92215</v>
      </c>
      <c r="F339" s="203">
        <v>92215</v>
      </c>
      <c r="G339" s="203">
        <v>0</v>
      </c>
      <c r="H339" s="204">
        <f t="shared" si="128"/>
        <v>59086</v>
      </c>
      <c r="I339" s="203">
        <v>5486</v>
      </c>
      <c r="J339" s="203">
        <v>15974</v>
      </c>
      <c r="K339" s="203">
        <v>9158</v>
      </c>
      <c r="L339" s="203">
        <v>14199</v>
      </c>
      <c r="M339" s="203">
        <v>8698</v>
      </c>
      <c r="N339" s="203">
        <v>5571</v>
      </c>
      <c r="O339" s="205"/>
      <c r="P339" s="205">
        <f t="shared" si="125"/>
        <v>32374</v>
      </c>
      <c r="Q339" s="203">
        <v>1777</v>
      </c>
      <c r="R339" s="203">
        <v>2180</v>
      </c>
      <c r="S339" s="203">
        <v>2789</v>
      </c>
      <c r="T339" s="203">
        <v>7047</v>
      </c>
      <c r="U339" s="203">
        <v>2043</v>
      </c>
      <c r="V339" s="203">
        <v>3703</v>
      </c>
      <c r="W339" s="203">
        <v>2591</v>
      </c>
      <c r="X339" s="203">
        <v>3048</v>
      </c>
      <c r="Y339" s="203">
        <v>1225</v>
      </c>
      <c r="Z339" s="203">
        <v>1773</v>
      </c>
      <c r="AA339" s="203">
        <v>499</v>
      </c>
      <c r="AB339" s="203">
        <v>1476</v>
      </c>
      <c r="AC339" s="203">
        <v>1171</v>
      </c>
      <c r="AD339" s="203">
        <v>1052</v>
      </c>
      <c r="AE339" s="203"/>
      <c r="AF339" s="203">
        <f t="shared" si="126"/>
        <v>755</v>
      </c>
      <c r="AG339" s="203">
        <v>512</v>
      </c>
      <c r="AH339" s="203">
        <v>243</v>
      </c>
      <c r="AI339" s="197">
        <f t="shared" si="123"/>
        <v>0</v>
      </c>
    </row>
    <row r="340" spans="1:35" s="198" customFormat="1" ht="26.1" customHeight="1">
      <c r="A340" s="190" t="s">
        <v>180</v>
      </c>
      <c r="B340" s="191" t="s">
        <v>181</v>
      </c>
      <c r="C340" s="201" t="s">
        <v>569</v>
      </c>
      <c r="D340" s="202">
        <v>5</v>
      </c>
      <c r="E340" s="203">
        <f t="shared" si="127"/>
        <v>27000</v>
      </c>
      <c r="F340" s="203">
        <v>27000</v>
      </c>
      <c r="G340" s="203"/>
      <c r="H340" s="204">
        <f t="shared" si="128"/>
        <v>19827</v>
      </c>
      <c r="I340" s="203">
        <v>3823</v>
      </c>
      <c r="J340" s="203">
        <v>2414</v>
      </c>
      <c r="K340" s="203">
        <v>7742</v>
      </c>
      <c r="L340" s="203">
        <v>3023</v>
      </c>
      <c r="M340" s="203">
        <v>1220</v>
      </c>
      <c r="N340" s="203">
        <v>1605</v>
      </c>
      <c r="O340" s="205"/>
      <c r="P340" s="205">
        <f t="shared" si="125"/>
        <v>7120</v>
      </c>
      <c r="Q340" s="203">
        <v>969</v>
      </c>
      <c r="R340" s="203">
        <v>352</v>
      </c>
      <c r="S340" s="203">
        <v>690</v>
      </c>
      <c r="T340" s="203">
        <v>486</v>
      </c>
      <c r="U340" s="203">
        <v>332</v>
      </c>
      <c r="V340" s="203">
        <v>713</v>
      </c>
      <c r="W340" s="203">
        <v>570</v>
      </c>
      <c r="X340" s="203">
        <v>313</v>
      </c>
      <c r="Y340" s="203">
        <v>691</v>
      </c>
      <c r="Z340" s="203">
        <v>391</v>
      </c>
      <c r="AA340" s="203">
        <v>153</v>
      </c>
      <c r="AB340" s="203">
        <v>416</v>
      </c>
      <c r="AC340" s="203">
        <v>765</v>
      </c>
      <c r="AD340" s="203">
        <v>279</v>
      </c>
      <c r="AE340" s="203"/>
      <c r="AF340" s="203">
        <f t="shared" si="126"/>
        <v>53</v>
      </c>
      <c r="AG340" s="203">
        <v>39</v>
      </c>
      <c r="AH340" s="203">
        <v>14</v>
      </c>
      <c r="AI340" s="197">
        <f t="shared" si="123"/>
        <v>0</v>
      </c>
    </row>
    <row r="341" spans="1:35" s="198" customFormat="1" ht="26.1" customHeight="1">
      <c r="A341" s="190" t="s">
        <v>180</v>
      </c>
      <c r="B341" s="191" t="s">
        <v>181</v>
      </c>
      <c r="C341" s="201" t="s">
        <v>570</v>
      </c>
      <c r="D341" s="202">
        <v>5</v>
      </c>
      <c r="E341" s="203">
        <f t="shared" si="127"/>
        <v>13366</v>
      </c>
      <c r="F341" s="203">
        <v>13366</v>
      </c>
      <c r="G341" s="203"/>
      <c r="H341" s="204">
        <f t="shared" si="128"/>
        <v>13366</v>
      </c>
      <c r="I341" s="203">
        <v>0</v>
      </c>
      <c r="J341" s="203">
        <v>13366</v>
      </c>
      <c r="K341" s="203">
        <v>0</v>
      </c>
      <c r="L341" s="203">
        <v>0</v>
      </c>
      <c r="M341" s="203">
        <v>0</v>
      </c>
      <c r="N341" s="203">
        <v>0</v>
      </c>
      <c r="O341" s="205"/>
      <c r="P341" s="205">
        <f t="shared" si="125"/>
        <v>0</v>
      </c>
      <c r="Q341" s="203">
        <v>0</v>
      </c>
      <c r="R341" s="203">
        <v>0</v>
      </c>
      <c r="S341" s="203">
        <v>0</v>
      </c>
      <c r="T341" s="203">
        <v>0</v>
      </c>
      <c r="U341" s="203">
        <v>0</v>
      </c>
      <c r="V341" s="203">
        <v>0</v>
      </c>
      <c r="W341" s="203">
        <v>0</v>
      </c>
      <c r="X341" s="203">
        <v>0</v>
      </c>
      <c r="Y341" s="203">
        <v>0</v>
      </c>
      <c r="Z341" s="203">
        <v>0</v>
      </c>
      <c r="AA341" s="203">
        <v>0</v>
      </c>
      <c r="AB341" s="203">
        <v>0</v>
      </c>
      <c r="AC341" s="203">
        <v>0</v>
      </c>
      <c r="AD341" s="203">
        <v>0</v>
      </c>
      <c r="AE341" s="203"/>
      <c r="AF341" s="203">
        <f t="shared" si="126"/>
        <v>0</v>
      </c>
      <c r="AG341" s="203">
        <v>0</v>
      </c>
      <c r="AH341" s="203">
        <v>0</v>
      </c>
      <c r="AI341" s="197">
        <f t="shared" si="123"/>
        <v>0</v>
      </c>
    </row>
    <row r="342" spans="1:35" s="198" customFormat="1" ht="26.1" customHeight="1">
      <c r="A342" s="190" t="s">
        <v>180</v>
      </c>
      <c r="B342" s="191" t="s">
        <v>181</v>
      </c>
      <c r="C342" s="201" t="s">
        <v>571</v>
      </c>
      <c r="D342" s="202">
        <v>5</v>
      </c>
      <c r="E342" s="203">
        <f t="shared" si="127"/>
        <v>877712</v>
      </c>
      <c r="F342" s="203">
        <v>877712</v>
      </c>
      <c r="G342" s="203">
        <v>0</v>
      </c>
      <c r="H342" s="204">
        <f t="shared" si="128"/>
        <v>877712</v>
      </c>
      <c r="I342" s="203">
        <v>803123</v>
      </c>
      <c r="J342" s="203">
        <v>0</v>
      </c>
      <c r="K342" s="203">
        <v>0</v>
      </c>
      <c r="L342" s="203">
        <v>0</v>
      </c>
      <c r="M342" s="203">
        <v>0</v>
      </c>
      <c r="N342" s="203">
        <v>74589</v>
      </c>
      <c r="O342" s="205"/>
      <c r="P342" s="205">
        <f t="shared" si="125"/>
        <v>0</v>
      </c>
      <c r="Q342" s="203">
        <v>0</v>
      </c>
      <c r="R342" s="203">
        <v>0</v>
      </c>
      <c r="S342" s="203">
        <v>0</v>
      </c>
      <c r="T342" s="203">
        <v>0</v>
      </c>
      <c r="U342" s="203">
        <v>0</v>
      </c>
      <c r="V342" s="203">
        <v>0</v>
      </c>
      <c r="W342" s="203">
        <v>0</v>
      </c>
      <c r="X342" s="203">
        <v>0</v>
      </c>
      <c r="Y342" s="203">
        <v>0</v>
      </c>
      <c r="Z342" s="203">
        <v>0</v>
      </c>
      <c r="AA342" s="203">
        <v>0</v>
      </c>
      <c r="AB342" s="203">
        <v>0</v>
      </c>
      <c r="AC342" s="203">
        <v>0</v>
      </c>
      <c r="AD342" s="203">
        <v>0</v>
      </c>
      <c r="AE342" s="203">
        <v>0</v>
      </c>
      <c r="AF342" s="203">
        <f t="shared" si="126"/>
        <v>0</v>
      </c>
      <c r="AG342" s="203">
        <v>0</v>
      </c>
      <c r="AH342" s="203">
        <v>0</v>
      </c>
      <c r="AI342" s="197">
        <f t="shared" si="123"/>
        <v>0</v>
      </c>
    </row>
    <row r="343" spans="1:35" s="198" customFormat="1" ht="26.1" customHeight="1">
      <c r="A343" s="190"/>
      <c r="B343" s="191"/>
      <c r="C343" s="201"/>
      <c r="D343" s="202"/>
      <c r="E343" s="213">
        <f>SUM(E344:E355)</f>
        <v>12155573</v>
      </c>
      <c r="F343" s="203">
        <f t="shared" ref="F343:AH343" si="129">SUM(F344:F355)</f>
        <v>12023150</v>
      </c>
      <c r="G343" s="203">
        <f t="shared" si="129"/>
        <v>132423</v>
      </c>
      <c r="H343" s="213">
        <f t="shared" si="129"/>
        <v>7563248</v>
      </c>
      <c r="I343" s="203">
        <f t="shared" si="129"/>
        <v>974030</v>
      </c>
      <c r="J343" s="203">
        <f t="shared" si="129"/>
        <v>1857815</v>
      </c>
      <c r="K343" s="203">
        <f t="shared" si="129"/>
        <v>882467</v>
      </c>
      <c r="L343" s="203">
        <f t="shared" si="129"/>
        <v>1306850</v>
      </c>
      <c r="M343" s="203">
        <f t="shared" si="129"/>
        <v>1000781</v>
      </c>
      <c r="N343" s="203">
        <f t="shared" si="129"/>
        <v>1541305</v>
      </c>
      <c r="O343" s="203">
        <f t="shared" si="129"/>
        <v>0</v>
      </c>
      <c r="P343" s="213">
        <f t="shared" si="129"/>
        <v>4521193</v>
      </c>
      <c r="Q343" s="203">
        <f t="shared" si="129"/>
        <v>266049</v>
      </c>
      <c r="R343" s="203">
        <f t="shared" si="129"/>
        <v>264008</v>
      </c>
      <c r="S343" s="203">
        <f t="shared" si="129"/>
        <v>332061</v>
      </c>
      <c r="T343" s="203">
        <f t="shared" si="129"/>
        <v>745046</v>
      </c>
      <c r="U343" s="203">
        <f t="shared" si="129"/>
        <v>397161</v>
      </c>
      <c r="V343" s="203">
        <f t="shared" si="129"/>
        <v>484241</v>
      </c>
      <c r="W343" s="203">
        <f t="shared" si="129"/>
        <v>358549</v>
      </c>
      <c r="X343" s="203">
        <f t="shared" si="129"/>
        <v>621100</v>
      </c>
      <c r="Y343" s="203">
        <f t="shared" si="129"/>
        <v>199047</v>
      </c>
      <c r="Z343" s="203">
        <f t="shared" si="129"/>
        <v>234160</v>
      </c>
      <c r="AA343" s="203">
        <f t="shared" si="129"/>
        <v>97566</v>
      </c>
      <c r="AB343" s="203">
        <f t="shared" si="129"/>
        <v>170455</v>
      </c>
      <c r="AC343" s="203">
        <f t="shared" si="129"/>
        <v>200187</v>
      </c>
      <c r="AD343" s="203">
        <f t="shared" si="129"/>
        <v>148163</v>
      </c>
      <c r="AE343" s="203">
        <f t="shared" si="129"/>
        <v>3400</v>
      </c>
      <c r="AF343" s="213">
        <f t="shared" si="129"/>
        <v>71132</v>
      </c>
      <c r="AG343" s="203">
        <f t="shared" si="129"/>
        <v>66578</v>
      </c>
      <c r="AH343" s="203">
        <f t="shared" si="129"/>
        <v>4554</v>
      </c>
      <c r="AI343" s="197">
        <f t="shared" ref="AI343:AI356" si="130">IF(+F343+G343=E343,0,FALSE)</f>
        <v>0</v>
      </c>
    </row>
    <row r="344" spans="1:35" s="198" customFormat="1" ht="26.1" customHeight="1">
      <c r="A344" s="190" t="s">
        <v>180</v>
      </c>
      <c r="B344" s="191" t="s">
        <v>191</v>
      </c>
      <c r="C344" s="201" t="s">
        <v>572</v>
      </c>
      <c r="D344" s="202">
        <v>5</v>
      </c>
      <c r="E344" s="203">
        <f t="shared" ref="E344:E356" si="131">SUM(H344,P344,AF344)</f>
        <v>3836614</v>
      </c>
      <c r="F344" s="203">
        <v>3713971</v>
      </c>
      <c r="G344" s="203">
        <v>122643</v>
      </c>
      <c r="H344" s="204">
        <f t="shared" ref="H344:H356" si="132">SUM(I344:O344)</f>
        <v>2112406</v>
      </c>
      <c r="I344" s="203">
        <v>258372</v>
      </c>
      <c r="J344" s="203">
        <v>436310</v>
      </c>
      <c r="K344" s="203">
        <v>230726</v>
      </c>
      <c r="L344" s="203">
        <v>278062</v>
      </c>
      <c r="M344" s="203">
        <v>338050</v>
      </c>
      <c r="N344" s="203">
        <v>570886</v>
      </c>
      <c r="O344" s="205"/>
      <c r="P344" s="205">
        <f>SUM(Q344:AE344)</f>
        <v>1702358</v>
      </c>
      <c r="Q344" s="203">
        <v>80800</v>
      </c>
      <c r="R344" s="203">
        <v>79047</v>
      </c>
      <c r="S344" s="203">
        <v>125185</v>
      </c>
      <c r="T344" s="203">
        <v>247681</v>
      </c>
      <c r="U344" s="203">
        <v>179900</v>
      </c>
      <c r="V344" s="203">
        <v>189898</v>
      </c>
      <c r="W344" s="203">
        <v>159428</v>
      </c>
      <c r="X344" s="203">
        <v>292200</v>
      </c>
      <c r="Y344" s="203">
        <v>86836</v>
      </c>
      <c r="Z344" s="203">
        <v>81500</v>
      </c>
      <c r="AA344" s="203">
        <v>47500</v>
      </c>
      <c r="AB344" s="203">
        <v>45158</v>
      </c>
      <c r="AC344" s="203">
        <v>36722</v>
      </c>
      <c r="AD344" s="203">
        <v>50503</v>
      </c>
      <c r="AE344" s="203"/>
      <c r="AF344" s="203">
        <f>SUM(AG344:AH344)</f>
        <v>21850</v>
      </c>
      <c r="AG344" s="203">
        <v>19000</v>
      </c>
      <c r="AH344" s="203">
        <v>2850</v>
      </c>
      <c r="AI344" s="197">
        <f t="shared" si="130"/>
        <v>0</v>
      </c>
    </row>
    <row r="345" spans="1:35" s="198" customFormat="1" ht="26.1" customHeight="1">
      <c r="A345" s="190" t="s">
        <v>180</v>
      </c>
      <c r="B345" s="191" t="s">
        <v>191</v>
      </c>
      <c r="C345" s="201" t="s">
        <v>573</v>
      </c>
      <c r="D345" s="202">
        <v>5</v>
      </c>
      <c r="E345" s="203">
        <f t="shared" si="131"/>
        <v>85761</v>
      </c>
      <c r="F345" s="203">
        <v>79381</v>
      </c>
      <c r="G345" s="203">
        <v>6380</v>
      </c>
      <c r="H345" s="204">
        <f t="shared" si="132"/>
        <v>55351</v>
      </c>
      <c r="I345" s="203">
        <v>587</v>
      </c>
      <c r="J345" s="203">
        <v>6843</v>
      </c>
      <c r="K345" s="203">
        <v>8559</v>
      </c>
      <c r="L345" s="203">
        <v>6174</v>
      </c>
      <c r="M345" s="203">
        <v>26535</v>
      </c>
      <c r="N345" s="203">
        <v>6653</v>
      </c>
      <c r="O345" s="205"/>
      <c r="P345" s="205">
        <f>SUM(Q345:AE345)</f>
        <v>29855</v>
      </c>
      <c r="Q345" s="203">
        <v>1840</v>
      </c>
      <c r="R345" s="203">
        <v>1109</v>
      </c>
      <c r="S345" s="203">
        <v>2268</v>
      </c>
      <c r="T345" s="203">
        <v>3050</v>
      </c>
      <c r="U345" s="203">
        <v>2163</v>
      </c>
      <c r="V345" s="203">
        <v>1664</v>
      </c>
      <c r="W345" s="203">
        <v>2217</v>
      </c>
      <c r="X345" s="203">
        <v>4788</v>
      </c>
      <c r="Y345" s="203">
        <v>1412</v>
      </c>
      <c r="Z345" s="203">
        <v>1084</v>
      </c>
      <c r="AA345" s="203">
        <v>839</v>
      </c>
      <c r="AB345" s="203">
        <v>5785</v>
      </c>
      <c r="AC345" s="203">
        <v>857</v>
      </c>
      <c r="AD345" s="203">
        <v>779</v>
      </c>
      <c r="AE345" s="203"/>
      <c r="AF345" s="203">
        <f>SUM(AG345:AH345)</f>
        <v>555</v>
      </c>
      <c r="AG345" s="203">
        <v>328</v>
      </c>
      <c r="AH345" s="203">
        <v>227</v>
      </c>
      <c r="AI345" s="197">
        <f t="shared" si="130"/>
        <v>0</v>
      </c>
    </row>
    <row r="346" spans="1:35" s="198" customFormat="1" ht="26.1" customHeight="1">
      <c r="A346" s="190" t="s">
        <v>180</v>
      </c>
      <c r="B346" s="191" t="s">
        <v>191</v>
      </c>
      <c r="C346" s="201" t="s">
        <v>574</v>
      </c>
      <c r="D346" s="202">
        <v>5</v>
      </c>
      <c r="E346" s="203">
        <f t="shared" si="131"/>
        <v>120000</v>
      </c>
      <c r="F346" s="203">
        <v>120000</v>
      </c>
      <c r="G346" s="203">
        <v>0</v>
      </c>
      <c r="H346" s="204">
        <f t="shared" si="132"/>
        <v>70000</v>
      </c>
      <c r="I346" s="203">
        <v>0</v>
      </c>
      <c r="J346" s="203">
        <v>10000</v>
      </c>
      <c r="K346" s="203">
        <v>10000</v>
      </c>
      <c r="L346" s="203">
        <v>10000</v>
      </c>
      <c r="M346" s="203">
        <v>10000</v>
      </c>
      <c r="N346" s="203">
        <v>30000</v>
      </c>
      <c r="O346" s="205"/>
      <c r="P346" s="205">
        <f t="shared" ref="P346:P356" si="133">SUM(Q346:AE346)</f>
        <v>50000</v>
      </c>
      <c r="Q346" s="203">
        <v>2500</v>
      </c>
      <c r="R346" s="203">
        <v>2200</v>
      </c>
      <c r="S346" s="203">
        <v>1300</v>
      </c>
      <c r="T346" s="203">
        <v>6000</v>
      </c>
      <c r="U346" s="203">
        <v>5200</v>
      </c>
      <c r="V346" s="203">
        <v>5700</v>
      </c>
      <c r="W346" s="203">
        <v>4800</v>
      </c>
      <c r="X346" s="203">
        <v>6000</v>
      </c>
      <c r="Y346" s="203">
        <v>2500</v>
      </c>
      <c r="Z346" s="203">
        <v>2500</v>
      </c>
      <c r="AA346" s="203">
        <v>1200</v>
      </c>
      <c r="AB346" s="203">
        <v>5000</v>
      </c>
      <c r="AC346" s="203">
        <v>2500</v>
      </c>
      <c r="AD346" s="203">
        <v>2600</v>
      </c>
      <c r="AE346" s="203"/>
      <c r="AF346" s="203">
        <f>SUM(AG346:AH346)</f>
        <v>0</v>
      </c>
      <c r="AG346" s="203">
        <v>0</v>
      </c>
      <c r="AH346" s="203">
        <v>0</v>
      </c>
      <c r="AI346" s="197">
        <f t="shared" si="130"/>
        <v>0</v>
      </c>
    </row>
    <row r="347" spans="1:35" s="198" customFormat="1" ht="26.1" customHeight="1">
      <c r="A347" s="190" t="s">
        <v>180</v>
      </c>
      <c r="B347" s="191" t="s">
        <v>191</v>
      </c>
      <c r="C347" s="201" t="s">
        <v>575</v>
      </c>
      <c r="D347" s="202">
        <v>5</v>
      </c>
      <c r="E347" s="203">
        <f t="shared" si="131"/>
        <v>268200</v>
      </c>
      <c r="F347" s="203">
        <v>268200</v>
      </c>
      <c r="G347" s="203">
        <v>0</v>
      </c>
      <c r="H347" s="204">
        <f t="shared" si="132"/>
        <v>179288</v>
      </c>
      <c r="I347" s="203">
        <v>22000</v>
      </c>
      <c r="J347" s="203">
        <v>40039</v>
      </c>
      <c r="K347" s="203">
        <v>11569</v>
      </c>
      <c r="L347" s="203">
        <v>33259</v>
      </c>
      <c r="M347" s="203">
        <v>20463</v>
      </c>
      <c r="N347" s="203">
        <v>51958</v>
      </c>
      <c r="O347" s="205"/>
      <c r="P347" s="205">
        <f t="shared" si="133"/>
        <v>88725</v>
      </c>
      <c r="Q347" s="203">
        <v>3199</v>
      </c>
      <c r="R347" s="203">
        <v>2224</v>
      </c>
      <c r="S347" s="203">
        <v>4875</v>
      </c>
      <c r="T347" s="203">
        <v>11924</v>
      </c>
      <c r="U347" s="203">
        <v>11088</v>
      </c>
      <c r="V347" s="203">
        <v>10390</v>
      </c>
      <c r="W347" s="203">
        <v>9154</v>
      </c>
      <c r="X347" s="203">
        <v>11311</v>
      </c>
      <c r="Y347" s="203">
        <v>2516</v>
      </c>
      <c r="Z347" s="203">
        <v>3816</v>
      </c>
      <c r="AA347" s="203">
        <v>2376</v>
      </c>
      <c r="AB347" s="203">
        <v>6093</v>
      </c>
      <c r="AC347" s="203">
        <v>4770</v>
      </c>
      <c r="AD347" s="203">
        <v>4989</v>
      </c>
      <c r="AE347" s="203"/>
      <c r="AF347" s="203">
        <f>SUM(AG347:AH347)</f>
        <v>187</v>
      </c>
      <c r="AG347" s="203">
        <v>100</v>
      </c>
      <c r="AH347" s="203">
        <v>87</v>
      </c>
      <c r="AI347" s="197">
        <f t="shared" si="130"/>
        <v>0</v>
      </c>
    </row>
    <row r="348" spans="1:35" s="198" customFormat="1" ht="26.1" customHeight="1">
      <c r="A348" s="190" t="s">
        <v>180</v>
      </c>
      <c r="B348" s="191" t="s">
        <v>191</v>
      </c>
      <c r="C348" s="201" t="s">
        <v>576</v>
      </c>
      <c r="D348" s="202">
        <v>5</v>
      </c>
      <c r="E348" s="203">
        <f t="shared" si="131"/>
        <v>1410141</v>
      </c>
      <c r="F348" s="203">
        <v>1410141</v>
      </c>
      <c r="G348" s="203">
        <v>0</v>
      </c>
      <c r="H348" s="204">
        <f t="shared" si="132"/>
        <v>850450</v>
      </c>
      <c r="I348" s="203">
        <v>100000</v>
      </c>
      <c r="J348" s="203">
        <v>191985</v>
      </c>
      <c r="K348" s="203">
        <v>80990</v>
      </c>
      <c r="L348" s="203">
        <v>157250</v>
      </c>
      <c r="M348" s="203">
        <v>130225</v>
      </c>
      <c r="N348" s="203">
        <v>190000</v>
      </c>
      <c r="O348" s="205"/>
      <c r="P348" s="205">
        <f t="shared" si="133"/>
        <v>553522</v>
      </c>
      <c r="Q348" s="203">
        <v>33380</v>
      </c>
      <c r="R348" s="203">
        <v>21406</v>
      </c>
      <c r="S348" s="203">
        <v>35000</v>
      </c>
      <c r="T348" s="203">
        <v>90575</v>
      </c>
      <c r="U348" s="203">
        <v>45020</v>
      </c>
      <c r="V348" s="203">
        <v>67696</v>
      </c>
      <c r="W348" s="203">
        <v>47000</v>
      </c>
      <c r="X348" s="203">
        <v>80655</v>
      </c>
      <c r="Y348" s="203">
        <v>28790</v>
      </c>
      <c r="Z348" s="203">
        <v>35000</v>
      </c>
      <c r="AA348" s="203">
        <v>10000</v>
      </c>
      <c r="AB348" s="203">
        <v>25000</v>
      </c>
      <c r="AC348" s="203">
        <v>17000</v>
      </c>
      <c r="AD348" s="203">
        <v>17000</v>
      </c>
      <c r="AE348" s="203"/>
      <c r="AF348" s="203">
        <f>AG348+AH348</f>
        <v>6169</v>
      </c>
      <c r="AG348" s="203">
        <v>6000</v>
      </c>
      <c r="AH348" s="203">
        <v>169</v>
      </c>
      <c r="AI348" s="197">
        <f t="shared" si="130"/>
        <v>0</v>
      </c>
    </row>
    <row r="349" spans="1:35" s="198" customFormat="1" ht="26.1" customHeight="1">
      <c r="A349" s="190" t="s">
        <v>180</v>
      </c>
      <c r="B349" s="191" t="s">
        <v>191</v>
      </c>
      <c r="C349" s="201" t="s">
        <v>577</v>
      </c>
      <c r="D349" s="202">
        <v>5</v>
      </c>
      <c r="E349" s="203">
        <f t="shared" si="131"/>
        <v>252000</v>
      </c>
      <c r="F349" s="203">
        <v>252000</v>
      </c>
      <c r="G349" s="203">
        <v>0</v>
      </c>
      <c r="H349" s="204">
        <f t="shared" si="132"/>
        <v>134271</v>
      </c>
      <c r="I349" s="203">
        <v>9198</v>
      </c>
      <c r="J349" s="203">
        <v>27184</v>
      </c>
      <c r="K349" s="203">
        <v>28451</v>
      </c>
      <c r="L349" s="203">
        <v>21212</v>
      </c>
      <c r="M349" s="203">
        <v>16682</v>
      </c>
      <c r="N349" s="203">
        <v>31544</v>
      </c>
      <c r="O349" s="205"/>
      <c r="P349" s="205">
        <f t="shared" si="133"/>
        <v>116167</v>
      </c>
      <c r="Q349" s="203">
        <v>4561</v>
      </c>
      <c r="R349" s="203">
        <v>6066</v>
      </c>
      <c r="S349" s="203">
        <v>9720</v>
      </c>
      <c r="T349" s="203">
        <v>25150</v>
      </c>
      <c r="U349" s="203">
        <v>14389</v>
      </c>
      <c r="V349" s="203">
        <v>11290</v>
      </c>
      <c r="W349" s="203">
        <v>9752</v>
      </c>
      <c r="X349" s="203">
        <v>11106</v>
      </c>
      <c r="Y349" s="203">
        <v>7786</v>
      </c>
      <c r="Z349" s="203">
        <v>7761</v>
      </c>
      <c r="AA349" s="203">
        <v>1995</v>
      </c>
      <c r="AB349" s="203">
        <v>4788</v>
      </c>
      <c r="AC349" s="203">
        <v>0</v>
      </c>
      <c r="AD349" s="203">
        <v>1803</v>
      </c>
      <c r="AE349" s="203"/>
      <c r="AF349" s="203">
        <f t="shared" ref="AF349:AF356" si="134">SUM(AG349:AH349)</f>
        <v>1562</v>
      </c>
      <c r="AG349" s="203">
        <v>1562</v>
      </c>
      <c r="AH349" s="203">
        <v>0</v>
      </c>
      <c r="AI349" s="197">
        <f t="shared" si="130"/>
        <v>0</v>
      </c>
    </row>
    <row r="350" spans="1:35" s="198" customFormat="1" ht="26.1" customHeight="1">
      <c r="A350" s="190" t="s">
        <v>180</v>
      </c>
      <c r="B350" s="191" t="s">
        <v>191</v>
      </c>
      <c r="C350" s="201" t="s">
        <v>578</v>
      </c>
      <c r="D350" s="202">
        <v>5</v>
      </c>
      <c r="E350" s="203">
        <f t="shared" si="131"/>
        <v>4484807</v>
      </c>
      <c r="F350" s="203">
        <v>4484807</v>
      </c>
      <c r="G350" s="203">
        <v>0</v>
      </c>
      <c r="H350" s="204">
        <f t="shared" si="132"/>
        <v>2938642</v>
      </c>
      <c r="I350" s="203">
        <v>379582</v>
      </c>
      <c r="J350" s="203">
        <v>779450</v>
      </c>
      <c r="K350" s="203">
        <v>367721</v>
      </c>
      <c r="L350" s="203">
        <v>556525</v>
      </c>
      <c r="M350" s="203">
        <v>342952</v>
      </c>
      <c r="N350" s="203">
        <v>512412</v>
      </c>
      <c r="O350" s="205"/>
      <c r="P350" s="205">
        <f t="shared" si="133"/>
        <v>1511004</v>
      </c>
      <c r="Q350" s="203">
        <v>103247</v>
      </c>
      <c r="R350" s="203">
        <v>95072</v>
      </c>
      <c r="S350" s="203">
        <v>110399</v>
      </c>
      <c r="T350" s="203">
        <v>283527</v>
      </c>
      <c r="U350" s="203">
        <v>112242</v>
      </c>
      <c r="V350" s="203">
        <v>164600</v>
      </c>
      <c r="W350" s="203">
        <v>106433</v>
      </c>
      <c r="X350" s="203">
        <v>187125</v>
      </c>
      <c r="Y350" s="203">
        <v>54091</v>
      </c>
      <c r="Z350" s="203">
        <v>80667</v>
      </c>
      <c r="AA350" s="203">
        <v>30189</v>
      </c>
      <c r="AB350" s="203">
        <v>53616</v>
      </c>
      <c r="AC350" s="203">
        <v>77517</v>
      </c>
      <c r="AD350" s="203">
        <v>52279</v>
      </c>
      <c r="AE350" s="203"/>
      <c r="AF350" s="203">
        <f t="shared" si="134"/>
        <v>35161</v>
      </c>
      <c r="AG350" s="203">
        <v>34708</v>
      </c>
      <c r="AH350" s="203">
        <v>453</v>
      </c>
      <c r="AI350" s="197">
        <f t="shared" si="130"/>
        <v>0</v>
      </c>
    </row>
    <row r="351" spans="1:35" s="198" customFormat="1" ht="26.1" customHeight="1">
      <c r="A351" s="190" t="s">
        <v>180</v>
      </c>
      <c r="B351" s="191" t="s">
        <v>191</v>
      </c>
      <c r="C351" s="201" t="s">
        <v>579</v>
      </c>
      <c r="D351" s="202">
        <v>5</v>
      </c>
      <c r="E351" s="203">
        <f t="shared" si="131"/>
        <v>1335393</v>
      </c>
      <c r="F351" s="203">
        <v>1335393</v>
      </c>
      <c r="G351" s="203">
        <v>0</v>
      </c>
      <c r="H351" s="204">
        <f t="shared" si="132"/>
        <v>985587</v>
      </c>
      <c r="I351" s="203">
        <v>161283</v>
      </c>
      <c r="J351" s="203">
        <v>291593</v>
      </c>
      <c r="K351" s="203">
        <v>111053</v>
      </c>
      <c r="L351" s="203">
        <v>209539</v>
      </c>
      <c r="M351" s="203">
        <v>91566</v>
      </c>
      <c r="N351" s="203">
        <v>120553</v>
      </c>
      <c r="O351" s="205"/>
      <c r="P351" s="205">
        <f t="shared" si="133"/>
        <v>345706</v>
      </c>
      <c r="Q351" s="203">
        <v>25513</v>
      </c>
      <c r="R351" s="203">
        <v>46027</v>
      </c>
      <c r="S351" s="203">
        <v>30040</v>
      </c>
      <c r="T351" s="203">
        <v>59027</v>
      </c>
      <c r="U351" s="203">
        <v>21540</v>
      </c>
      <c r="V351" s="203">
        <v>21540</v>
      </c>
      <c r="W351" s="203">
        <v>13513</v>
      </c>
      <c r="X351" s="203">
        <v>18540</v>
      </c>
      <c r="Y351" s="203">
        <v>8900</v>
      </c>
      <c r="Z351" s="203">
        <v>14000</v>
      </c>
      <c r="AA351" s="203">
        <v>2300</v>
      </c>
      <c r="AB351" s="203">
        <v>18213</v>
      </c>
      <c r="AC351" s="203">
        <v>51013</v>
      </c>
      <c r="AD351" s="203">
        <v>15540</v>
      </c>
      <c r="AE351" s="203"/>
      <c r="AF351" s="203">
        <f t="shared" si="134"/>
        <v>4100</v>
      </c>
      <c r="AG351" s="203">
        <v>3500</v>
      </c>
      <c r="AH351" s="203">
        <v>600</v>
      </c>
      <c r="AI351" s="197">
        <f t="shared" si="130"/>
        <v>0</v>
      </c>
    </row>
    <row r="352" spans="1:35" s="198" customFormat="1" ht="26.1" customHeight="1">
      <c r="A352" s="190" t="s">
        <v>180</v>
      </c>
      <c r="B352" s="191" t="s">
        <v>191</v>
      </c>
      <c r="C352" s="201" t="s">
        <v>580</v>
      </c>
      <c r="D352" s="202">
        <v>5</v>
      </c>
      <c r="E352" s="203">
        <f t="shared" si="131"/>
        <v>50409</v>
      </c>
      <c r="F352" s="203">
        <v>50409</v>
      </c>
      <c r="G352" s="203">
        <v>0</v>
      </c>
      <c r="H352" s="204">
        <f t="shared" si="132"/>
        <v>25894</v>
      </c>
      <c r="I352" s="203">
        <v>2383</v>
      </c>
      <c r="J352" s="203">
        <v>4264</v>
      </c>
      <c r="K352" s="203">
        <v>3443</v>
      </c>
      <c r="L352" s="203">
        <v>7924</v>
      </c>
      <c r="M352" s="203">
        <v>5158</v>
      </c>
      <c r="N352" s="203">
        <v>2722</v>
      </c>
      <c r="O352" s="205"/>
      <c r="P352" s="205">
        <f t="shared" si="133"/>
        <v>24318</v>
      </c>
      <c r="Q352" s="203">
        <v>2436</v>
      </c>
      <c r="R352" s="203">
        <v>2573</v>
      </c>
      <c r="S352" s="203">
        <v>3496</v>
      </c>
      <c r="T352" s="203">
        <v>3909</v>
      </c>
      <c r="U352" s="203">
        <v>1218</v>
      </c>
      <c r="V352" s="203">
        <v>2197</v>
      </c>
      <c r="W352" s="203">
        <v>1765</v>
      </c>
      <c r="X352" s="203">
        <v>2454</v>
      </c>
      <c r="Y352" s="203">
        <v>844</v>
      </c>
      <c r="Z352" s="203">
        <v>701</v>
      </c>
      <c r="AA352" s="203">
        <v>116</v>
      </c>
      <c r="AB352" s="203">
        <v>298</v>
      </c>
      <c r="AC352" s="203">
        <v>1648</v>
      </c>
      <c r="AD352" s="203">
        <v>663</v>
      </c>
      <c r="AE352" s="203"/>
      <c r="AF352" s="203">
        <f t="shared" si="134"/>
        <v>197</v>
      </c>
      <c r="AG352" s="203">
        <v>119</v>
      </c>
      <c r="AH352" s="203">
        <v>78</v>
      </c>
      <c r="AI352" s="197">
        <f t="shared" si="130"/>
        <v>0</v>
      </c>
    </row>
    <row r="353" spans="1:35" s="198" customFormat="1" ht="26.1" customHeight="1">
      <c r="A353" s="190" t="s">
        <v>180</v>
      </c>
      <c r="B353" s="191" t="s">
        <v>191</v>
      </c>
      <c r="C353" s="201" t="s">
        <v>581</v>
      </c>
      <c r="D353" s="202">
        <v>5</v>
      </c>
      <c r="E353" s="203">
        <f t="shared" si="131"/>
        <v>173000</v>
      </c>
      <c r="F353" s="203">
        <v>173000</v>
      </c>
      <c r="G353" s="203">
        <v>0</v>
      </c>
      <c r="H353" s="204">
        <f t="shared" si="132"/>
        <v>118937</v>
      </c>
      <c r="I353" s="203">
        <v>19947</v>
      </c>
      <c r="J353" s="203">
        <v>29289</v>
      </c>
      <c r="K353" s="203">
        <v>15189</v>
      </c>
      <c r="L353" s="203">
        <v>20085</v>
      </c>
      <c r="M353" s="203">
        <v>13909</v>
      </c>
      <c r="N353" s="203">
        <v>20518</v>
      </c>
      <c r="O353" s="205"/>
      <c r="P353" s="205">
        <f t="shared" si="133"/>
        <v>53018</v>
      </c>
      <c r="Q353" s="203">
        <v>3391</v>
      </c>
      <c r="R353" s="203">
        <v>3962</v>
      </c>
      <c r="S353" s="203">
        <v>4187</v>
      </c>
      <c r="T353" s="203">
        <v>9532</v>
      </c>
      <c r="U353" s="203">
        <v>3789</v>
      </c>
      <c r="V353" s="203">
        <v>5207</v>
      </c>
      <c r="W353" s="203">
        <v>3875</v>
      </c>
      <c r="X353" s="203">
        <v>6265</v>
      </c>
      <c r="Y353" s="203">
        <v>1664</v>
      </c>
      <c r="Z353" s="203">
        <v>2460</v>
      </c>
      <c r="AA353" s="203">
        <v>745</v>
      </c>
      <c r="AB353" s="203">
        <v>2751</v>
      </c>
      <c r="AC353" s="203">
        <v>3183</v>
      </c>
      <c r="AD353" s="203">
        <v>2007</v>
      </c>
      <c r="AE353" s="203"/>
      <c r="AF353" s="203">
        <f t="shared" si="134"/>
        <v>1045</v>
      </c>
      <c r="AG353" s="203">
        <v>955</v>
      </c>
      <c r="AH353" s="203">
        <v>90</v>
      </c>
      <c r="AI353" s="197">
        <f t="shared" si="130"/>
        <v>0</v>
      </c>
    </row>
    <row r="354" spans="1:35" s="198" customFormat="1" ht="26.1" customHeight="1">
      <c r="A354" s="190" t="s">
        <v>180</v>
      </c>
      <c r="B354" s="191" t="s">
        <v>191</v>
      </c>
      <c r="C354" s="201" t="s">
        <v>583</v>
      </c>
      <c r="D354" s="202">
        <v>5</v>
      </c>
      <c r="E354" s="203">
        <f t="shared" si="131"/>
        <v>3400</v>
      </c>
      <c r="F354" s="203">
        <v>0</v>
      </c>
      <c r="G354" s="203">
        <v>3400</v>
      </c>
      <c r="H354" s="204">
        <f t="shared" si="132"/>
        <v>0</v>
      </c>
      <c r="I354" s="203">
        <v>0</v>
      </c>
      <c r="J354" s="203">
        <v>0</v>
      </c>
      <c r="K354" s="203">
        <v>0</v>
      </c>
      <c r="L354" s="203">
        <v>0</v>
      </c>
      <c r="M354" s="203">
        <v>0</v>
      </c>
      <c r="N354" s="203">
        <v>0</v>
      </c>
      <c r="O354" s="205"/>
      <c r="P354" s="205">
        <f t="shared" si="133"/>
        <v>3400</v>
      </c>
      <c r="Q354" s="203"/>
      <c r="R354" s="203"/>
      <c r="S354" s="203"/>
      <c r="T354" s="203"/>
      <c r="U354" s="203"/>
      <c r="V354" s="203"/>
      <c r="W354" s="203"/>
      <c r="X354" s="203"/>
      <c r="Y354" s="203"/>
      <c r="Z354" s="203"/>
      <c r="AA354" s="203"/>
      <c r="AB354" s="203"/>
      <c r="AC354" s="203"/>
      <c r="AD354" s="203"/>
      <c r="AE354" s="203">
        <v>3400</v>
      </c>
      <c r="AF354" s="203">
        <f t="shared" si="134"/>
        <v>0</v>
      </c>
      <c r="AG354" s="203"/>
      <c r="AH354" s="203"/>
      <c r="AI354" s="197">
        <f t="shared" si="130"/>
        <v>0</v>
      </c>
    </row>
    <row r="355" spans="1:35" s="198" customFormat="1" ht="26.1" customHeight="1">
      <c r="A355" s="190" t="s">
        <v>180</v>
      </c>
      <c r="B355" s="191" t="s">
        <v>191</v>
      </c>
      <c r="C355" s="201" t="s">
        <v>582</v>
      </c>
      <c r="D355" s="202">
        <v>5</v>
      </c>
      <c r="E355" s="203">
        <f>SUM(H355,P355,AF355)</f>
        <v>135848</v>
      </c>
      <c r="F355" s="203">
        <v>135848</v>
      </c>
      <c r="G355" s="203">
        <v>0</v>
      </c>
      <c r="H355" s="204">
        <f>SUM(I355:O355)</f>
        <v>92422</v>
      </c>
      <c r="I355" s="203">
        <v>20678</v>
      </c>
      <c r="J355" s="203">
        <v>40858</v>
      </c>
      <c r="K355" s="203">
        <v>14766</v>
      </c>
      <c r="L355" s="203">
        <v>6820</v>
      </c>
      <c r="M355" s="203">
        <v>5241</v>
      </c>
      <c r="N355" s="203">
        <v>4059</v>
      </c>
      <c r="O355" s="205"/>
      <c r="P355" s="205">
        <f>SUM(Q355:AE355)</f>
        <v>43120</v>
      </c>
      <c r="Q355" s="203">
        <v>5182</v>
      </c>
      <c r="R355" s="203">
        <v>4322</v>
      </c>
      <c r="S355" s="203">
        <v>5591</v>
      </c>
      <c r="T355" s="203">
        <v>4671</v>
      </c>
      <c r="U355" s="203">
        <v>612</v>
      </c>
      <c r="V355" s="203">
        <v>4059</v>
      </c>
      <c r="W355" s="203">
        <v>612</v>
      </c>
      <c r="X355" s="203">
        <v>656</v>
      </c>
      <c r="Y355" s="203">
        <v>3708</v>
      </c>
      <c r="Z355" s="203">
        <v>4671</v>
      </c>
      <c r="AA355" s="203">
        <v>306</v>
      </c>
      <c r="AB355" s="203">
        <v>3753</v>
      </c>
      <c r="AC355" s="203">
        <v>4977</v>
      </c>
      <c r="AD355" s="203">
        <v>0</v>
      </c>
      <c r="AE355" s="203"/>
      <c r="AF355" s="203">
        <f>SUM(AG355:AH355)</f>
        <v>306</v>
      </c>
      <c r="AG355" s="203">
        <v>306</v>
      </c>
      <c r="AH355" s="203">
        <v>0</v>
      </c>
      <c r="AI355" s="197"/>
    </row>
    <row r="356" spans="1:35" s="198" customFormat="1" ht="26.1" customHeight="1">
      <c r="A356" s="190" t="s">
        <v>180</v>
      </c>
      <c r="B356" s="191" t="s">
        <v>194</v>
      </c>
      <c r="C356" s="201" t="s">
        <v>195</v>
      </c>
      <c r="D356" s="202">
        <v>5</v>
      </c>
      <c r="E356" s="213">
        <f t="shared" si="131"/>
        <v>125132</v>
      </c>
      <c r="F356" s="203">
        <v>125132</v>
      </c>
      <c r="G356" s="203"/>
      <c r="H356" s="214">
        <f t="shared" si="132"/>
        <v>58903</v>
      </c>
      <c r="I356" s="203">
        <v>5382</v>
      </c>
      <c r="J356" s="203">
        <v>11063</v>
      </c>
      <c r="K356" s="203">
        <v>5382</v>
      </c>
      <c r="L356" s="203">
        <v>11512</v>
      </c>
      <c r="M356" s="203">
        <v>12259</v>
      </c>
      <c r="N356" s="203">
        <v>13305</v>
      </c>
      <c r="O356" s="205"/>
      <c r="P356" s="215">
        <f t="shared" si="133"/>
        <v>63239</v>
      </c>
      <c r="Q356" s="203">
        <v>3738</v>
      </c>
      <c r="R356" s="203">
        <v>4335</v>
      </c>
      <c r="S356" s="203">
        <v>5681</v>
      </c>
      <c r="T356" s="203">
        <v>8073</v>
      </c>
      <c r="U356" s="203">
        <v>4336</v>
      </c>
      <c r="V356" s="203">
        <v>6129</v>
      </c>
      <c r="W356" s="203">
        <v>5532</v>
      </c>
      <c r="X356" s="203">
        <v>10016</v>
      </c>
      <c r="Y356" s="203">
        <v>4934</v>
      </c>
      <c r="Z356" s="203">
        <v>4186</v>
      </c>
      <c r="AA356" s="203">
        <v>1794</v>
      </c>
      <c r="AB356" s="203">
        <v>2392</v>
      </c>
      <c r="AC356" s="203">
        <v>1196</v>
      </c>
      <c r="AD356" s="203">
        <v>897</v>
      </c>
      <c r="AE356" s="203"/>
      <c r="AF356" s="213">
        <f t="shared" si="134"/>
        <v>2990</v>
      </c>
      <c r="AG356" s="203">
        <v>1794</v>
      </c>
      <c r="AH356" s="203">
        <v>1196</v>
      </c>
      <c r="AI356" s="197">
        <f t="shared" si="130"/>
        <v>0</v>
      </c>
    </row>
    <row r="357" spans="1:35" s="198" customFormat="1" ht="26.1" customHeight="1">
      <c r="A357" s="190"/>
      <c r="B357" s="191"/>
      <c r="C357" s="201"/>
      <c r="D357" s="202"/>
      <c r="E357" s="213">
        <f>SUM(E358:E361)</f>
        <v>132553</v>
      </c>
      <c r="F357" s="203">
        <f t="shared" ref="F357:AH357" si="135">SUM(F358:F361)</f>
        <v>101718</v>
      </c>
      <c r="G357" s="203">
        <f t="shared" si="135"/>
        <v>30835</v>
      </c>
      <c r="H357" s="213">
        <f t="shared" si="135"/>
        <v>57008</v>
      </c>
      <c r="I357" s="203">
        <f t="shared" si="135"/>
        <v>0</v>
      </c>
      <c r="J357" s="203">
        <f t="shared" si="135"/>
        <v>12443</v>
      </c>
      <c r="K357" s="203"/>
      <c r="L357" s="203">
        <f>SUM(L358:L361)</f>
        <v>7594</v>
      </c>
      <c r="M357" s="203">
        <f t="shared" si="135"/>
        <v>14222</v>
      </c>
      <c r="N357" s="203">
        <f t="shared" si="135"/>
        <v>12990</v>
      </c>
      <c r="O357" s="203">
        <f t="shared" si="135"/>
        <v>0</v>
      </c>
      <c r="P357" s="213">
        <f>SUM(P358:P361)</f>
        <v>71732</v>
      </c>
      <c r="Q357" s="203">
        <f t="shared" si="135"/>
        <v>5346</v>
      </c>
      <c r="R357" s="203">
        <f t="shared" si="135"/>
        <v>3970</v>
      </c>
      <c r="S357" s="203">
        <f t="shared" si="135"/>
        <v>5404</v>
      </c>
      <c r="T357" s="203">
        <f t="shared" si="135"/>
        <v>6641</v>
      </c>
      <c r="U357" s="203">
        <f t="shared" si="135"/>
        <v>3917</v>
      </c>
      <c r="V357" s="203">
        <f t="shared" si="135"/>
        <v>11332</v>
      </c>
      <c r="W357" s="203">
        <f t="shared" si="135"/>
        <v>5420</v>
      </c>
      <c r="X357" s="203">
        <f t="shared" si="135"/>
        <v>4985</v>
      </c>
      <c r="Y357" s="203">
        <f t="shared" si="135"/>
        <v>3901</v>
      </c>
      <c r="Z357" s="203">
        <f t="shared" si="135"/>
        <v>5417</v>
      </c>
      <c r="AA357" s="203">
        <f t="shared" si="135"/>
        <v>3397</v>
      </c>
      <c r="AB357" s="203">
        <f t="shared" si="135"/>
        <v>3909</v>
      </c>
      <c r="AC357" s="203">
        <f t="shared" si="135"/>
        <v>3300</v>
      </c>
      <c r="AD357" s="203">
        <f t="shared" si="135"/>
        <v>4793</v>
      </c>
      <c r="AE357" s="203">
        <f t="shared" si="135"/>
        <v>0</v>
      </c>
      <c r="AF357" s="213">
        <f t="shared" si="135"/>
        <v>3813</v>
      </c>
      <c r="AG357" s="203">
        <f t="shared" si="135"/>
        <v>1570</v>
      </c>
      <c r="AH357" s="203">
        <f t="shared" si="135"/>
        <v>2243</v>
      </c>
      <c r="AI357" s="197">
        <f t="shared" ref="AI357:AI362" si="136">IF(+F357+G357=E357,0,FALSE)</f>
        <v>0</v>
      </c>
    </row>
    <row r="358" spans="1:35" s="198" customFormat="1" ht="26.1" customHeight="1">
      <c r="A358" s="190" t="s">
        <v>180</v>
      </c>
      <c r="B358" s="191" t="s">
        <v>196</v>
      </c>
      <c r="C358" s="201" t="s">
        <v>584</v>
      </c>
      <c r="D358" s="202">
        <v>5</v>
      </c>
      <c r="E358" s="203">
        <f>SUM(H358,P358,AF358)</f>
        <v>22000</v>
      </c>
      <c r="F358" s="203">
        <v>16318</v>
      </c>
      <c r="G358" s="203">
        <v>5682</v>
      </c>
      <c r="H358" s="204">
        <f>SUM(I358:O358)</f>
        <v>8300</v>
      </c>
      <c r="I358" s="203">
        <v>0</v>
      </c>
      <c r="J358" s="203">
        <v>1616</v>
      </c>
      <c r="K358" s="203">
        <v>1136</v>
      </c>
      <c r="L358" s="203">
        <v>858</v>
      </c>
      <c r="M358" s="203">
        <v>3110</v>
      </c>
      <c r="N358" s="203">
        <v>1580</v>
      </c>
      <c r="O358" s="205">
        <v>0</v>
      </c>
      <c r="P358" s="205">
        <f>SUM(Q358:AE358)</f>
        <v>12792</v>
      </c>
      <c r="Q358" s="203">
        <v>1291</v>
      </c>
      <c r="R358" s="203">
        <v>540</v>
      </c>
      <c r="S358" s="203">
        <v>1672</v>
      </c>
      <c r="T358" s="203">
        <v>719</v>
      </c>
      <c r="U358" s="203">
        <v>780</v>
      </c>
      <c r="V358" s="203">
        <v>1043</v>
      </c>
      <c r="W358" s="203">
        <v>1255</v>
      </c>
      <c r="X358" s="203">
        <v>764</v>
      </c>
      <c r="Y358" s="203">
        <v>610</v>
      </c>
      <c r="Z358" s="203">
        <v>978</v>
      </c>
      <c r="AA358" s="203">
        <v>826</v>
      </c>
      <c r="AB358" s="203">
        <v>720</v>
      </c>
      <c r="AC358" s="203">
        <v>506</v>
      </c>
      <c r="AD358" s="203">
        <v>1088</v>
      </c>
      <c r="AE358" s="203">
        <v>0</v>
      </c>
      <c r="AF358" s="203">
        <f>SUM(AG358:AH358)</f>
        <v>908</v>
      </c>
      <c r="AG358" s="203">
        <v>0</v>
      </c>
      <c r="AH358" s="203">
        <v>908</v>
      </c>
      <c r="AI358" s="197">
        <f t="shared" si="136"/>
        <v>0</v>
      </c>
    </row>
    <row r="359" spans="1:35" s="198" customFormat="1" ht="26.1" customHeight="1">
      <c r="A359" s="190" t="s">
        <v>180</v>
      </c>
      <c r="B359" s="191" t="s">
        <v>196</v>
      </c>
      <c r="C359" s="201" t="s">
        <v>585</v>
      </c>
      <c r="D359" s="202">
        <v>5</v>
      </c>
      <c r="E359" s="203">
        <f>SUM(H359,P359,AF359)</f>
        <v>17553</v>
      </c>
      <c r="F359" s="203">
        <v>0</v>
      </c>
      <c r="G359" s="203">
        <v>17553</v>
      </c>
      <c r="H359" s="204">
        <f>SUM(I359:O359)</f>
        <v>10975</v>
      </c>
      <c r="I359" s="203">
        <v>0</v>
      </c>
      <c r="J359" s="203">
        <v>1912</v>
      </c>
      <c r="K359" s="203">
        <v>637</v>
      </c>
      <c r="L359" s="203">
        <v>337</v>
      </c>
      <c r="M359" s="203">
        <v>4645</v>
      </c>
      <c r="N359" s="203">
        <v>3444</v>
      </c>
      <c r="O359" s="205">
        <v>0</v>
      </c>
      <c r="P359" s="205">
        <f>SUM(Q359:AE359)</f>
        <v>6578</v>
      </c>
      <c r="Q359" s="203">
        <v>0</v>
      </c>
      <c r="R359" s="203">
        <v>0</v>
      </c>
      <c r="S359" s="203">
        <v>0</v>
      </c>
      <c r="T359" s="203">
        <v>0</v>
      </c>
      <c r="U359" s="203">
        <v>0</v>
      </c>
      <c r="V359" s="203">
        <v>5950</v>
      </c>
      <c r="W359" s="203">
        <v>0</v>
      </c>
      <c r="X359" s="203">
        <v>0</v>
      </c>
      <c r="Y359" s="203">
        <v>628</v>
      </c>
      <c r="Z359" s="203">
        <v>0</v>
      </c>
      <c r="AA359" s="203">
        <v>0</v>
      </c>
      <c r="AB359" s="203">
        <v>0</v>
      </c>
      <c r="AC359" s="203">
        <v>0</v>
      </c>
      <c r="AD359" s="203">
        <v>0</v>
      </c>
      <c r="AE359" s="203">
        <v>0</v>
      </c>
      <c r="AF359" s="203">
        <f>SUM(AG359:AH359)</f>
        <v>0</v>
      </c>
      <c r="AG359" s="203">
        <v>0</v>
      </c>
      <c r="AH359" s="203">
        <v>0</v>
      </c>
      <c r="AI359" s="197">
        <f t="shared" si="136"/>
        <v>0</v>
      </c>
    </row>
    <row r="360" spans="1:35" s="198" customFormat="1" ht="26.1" customHeight="1">
      <c r="A360" s="190" t="s">
        <v>180</v>
      </c>
      <c r="B360" s="191" t="s">
        <v>196</v>
      </c>
      <c r="C360" s="201" t="s">
        <v>586</v>
      </c>
      <c r="D360" s="202">
        <v>5</v>
      </c>
      <c r="E360" s="203">
        <f>SUM(H360,P360,AF360)</f>
        <v>8000</v>
      </c>
      <c r="F360" s="203">
        <v>8000</v>
      </c>
      <c r="G360" s="203">
        <v>0</v>
      </c>
      <c r="H360" s="204">
        <f>SUM(I360:O360)</f>
        <v>2183</v>
      </c>
      <c r="I360" s="203">
        <v>0</v>
      </c>
      <c r="J360" s="203">
        <v>495</v>
      </c>
      <c r="K360" s="203">
        <v>466</v>
      </c>
      <c r="L360" s="203">
        <v>379</v>
      </c>
      <c r="M360" s="203">
        <v>407</v>
      </c>
      <c r="N360" s="203">
        <v>436</v>
      </c>
      <c r="O360" s="205">
        <v>0</v>
      </c>
      <c r="P360" s="205">
        <f>SUM(Q360:AE360)</f>
        <v>5252</v>
      </c>
      <c r="Q360" s="203">
        <v>395</v>
      </c>
      <c r="R360" s="203">
        <v>350</v>
      </c>
      <c r="S360" s="203">
        <v>332</v>
      </c>
      <c r="T360" s="203">
        <v>462</v>
      </c>
      <c r="U360" s="203">
        <v>387</v>
      </c>
      <c r="V360" s="203">
        <v>479</v>
      </c>
      <c r="W360" s="203">
        <v>405</v>
      </c>
      <c r="X360" s="203">
        <v>371</v>
      </c>
      <c r="Y360" s="203">
        <v>383</v>
      </c>
      <c r="Z360" s="203">
        <v>309</v>
      </c>
      <c r="AA360" s="203">
        <v>281</v>
      </c>
      <c r="AB360" s="203">
        <v>339</v>
      </c>
      <c r="AC360" s="203">
        <v>324</v>
      </c>
      <c r="AD360" s="203">
        <v>435</v>
      </c>
      <c r="AE360" s="203">
        <v>0</v>
      </c>
      <c r="AF360" s="203">
        <f>SUM(AG360:AH360)</f>
        <v>565</v>
      </c>
      <c r="AG360" s="203">
        <v>310</v>
      </c>
      <c r="AH360" s="203">
        <v>255</v>
      </c>
      <c r="AI360" s="197">
        <f t="shared" si="136"/>
        <v>0</v>
      </c>
    </row>
    <row r="361" spans="1:35" s="198" customFormat="1" ht="26.1" customHeight="1">
      <c r="A361" s="190" t="s">
        <v>180</v>
      </c>
      <c r="B361" s="191" t="s">
        <v>196</v>
      </c>
      <c r="C361" s="201" t="s">
        <v>197</v>
      </c>
      <c r="D361" s="202">
        <v>5</v>
      </c>
      <c r="E361" s="203">
        <f>SUM(H361,P361,AF361)</f>
        <v>85000</v>
      </c>
      <c r="F361" s="203">
        <v>77400</v>
      </c>
      <c r="G361" s="203">
        <v>7600</v>
      </c>
      <c r="H361" s="204">
        <f>SUM(I361:O361)</f>
        <v>35550</v>
      </c>
      <c r="I361" s="203"/>
      <c r="J361" s="203">
        <v>8420</v>
      </c>
      <c r="K361" s="203">
        <v>7520</v>
      </c>
      <c r="L361" s="203">
        <v>6020</v>
      </c>
      <c r="M361" s="203">
        <v>6060</v>
      </c>
      <c r="N361" s="203">
        <v>7530</v>
      </c>
      <c r="O361" s="205"/>
      <c r="P361" s="205">
        <f>SUM(Q361:AE361)</f>
        <v>47110</v>
      </c>
      <c r="Q361" s="203">
        <v>3660</v>
      </c>
      <c r="R361" s="203">
        <v>3080</v>
      </c>
      <c r="S361" s="203">
        <v>3400</v>
      </c>
      <c r="T361" s="203">
        <v>5460</v>
      </c>
      <c r="U361" s="203">
        <v>2750</v>
      </c>
      <c r="V361" s="203">
        <v>3860</v>
      </c>
      <c r="W361" s="203">
        <v>3760</v>
      </c>
      <c r="X361" s="203">
        <v>3850</v>
      </c>
      <c r="Y361" s="203">
        <v>2280</v>
      </c>
      <c r="Z361" s="203">
        <v>4130</v>
      </c>
      <c r="AA361" s="203">
        <v>2290</v>
      </c>
      <c r="AB361" s="203">
        <v>2850</v>
      </c>
      <c r="AC361" s="203">
        <v>2470</v>
      </c>
      <c r="AD361" s="203">
        <v>3270</v>
      </c>
      <c r="AE361" s="203"/>
      <c r="AF361" s="203">
        <f>SUM(AG361:AH361)</f>
        <v>2340</v>
      </c>
      <c r="AG361" s="203">
        <v>1260</v>
      </c>
      <c r="AH361" s="203">
        <v>1080</v>
      </c>
      <c r="AI361" s="197">
        <f t="shared" si="136"/>
        <v>0</v>
      </c>
    </row>
    <row r="362" spans="1:35" s="198" customFormat="1" ht="26.1" customHeight="1">
      <c r="A362" s="190"/>
      <c r="B362" s="191"/>
      <c r="C362" s="201"/>
      <c r="D362" s="202"/>
      <c r="E362" s="213">
        <f>SUM(E363:E373)</f>
        <v>77303</v>
      </c>
      <c r="F362" s="203">
        <f>SUM(F363:F373)</f>
        <v>77303</v>
      </c>
      <c r="G362" s="203">
        <f t="shared" ref="G362:AH362" si="137">SUM(G363:G373)</f>
        <v>0</v>
      </c>
      <c r="H362" s="213">
        <f t="shared" si="137"/>
        <v>42373</v>
      </c>
      <c r="I362" s="203">
        <f t="shared" si="137"/>
        <v>0</v>
      </c>
      <c r="J362" s="203">
        <f t="shared" si="137"/>
        <v>5486</v>
      </c>
      <c r="K362" s="203">
        <f t="shared" si="137"/>
        <v>5315</v>
      </c>
      <c r="L362" s="203">
        <f t="shared" si="137"/>
        <v>5319</v>
      </c>
      <c r="M362" s="203">
        <f t="shared" si="137"/>
        <v>11765</v>
      </c>
      <c r="N362" s="203">
        <f t="shared" si="137"/>
        <v>14488</v>
      </c>
      <c r="O362" s="203">
        <f t="shared" si="137"/>
        <v>0</v>
      </c>
      <c r="P362" s="213">
        <f t="shared" si="137"/>
        <v>33726</v>
      </c>
      <c r="Q362" s="203">
        <f t="shared" si="137"/>
        <v>2299</v>
      </c>
      <c r="R362" s="203">
        <f t="shared" si="137"/>
        <v>1894</v>
      </c>
      <c r="S362" s="203">
        <f t="shared" si="137"/>
        <v>2086</v>
      </c>
      <c r="T362" s="203">
        <f t="shared" si="137"/>
        <v>2681</v>
      </c>
      <c r="U362" s="203">
        <f t="shared" si="137"/>
        <v>2017</v>
      </c>
      <c r="V362" s="203">
        <f t="shared" si="137"/>
        <v>2291</v>
      </c>
      <c r="W362" s="203">
        <f t="shared" si="137"/>
        <v>3163</v>
      </c>
      <c r="X362" s="203">
        <f t="shared" si="137"/>
        <v>6156</v>
      </c>
      <c r="Y362" s="203">
        <f t="shared" si="137"/>
        <v>2518</v>
      </c>
      <c r="Z362" s="203">
        <f t="shared" si="137"/>
        <v>2404</v>
      </c>
      <c r="AA362" s="203">
        <f t="shared" si="137"/>
        <v>1440</v>
      </c>
      <c r="AB362" s="203">
        <f t="shared" si="137"/>
        <v>1721</v>
      </c>
      <c r="AC362" s="203">
        <f t="shared" si="137"/>
        <v>1586</v>
      </c>
      <c r="AD362" s="203">
        <f t="shared" si="137"/>
        <v>1470</v>
      </c>
      <c r="AE362" s="207">
        <f t="shared" si="137"/>
        <v>0</v>
      </c>
      <c r="AF362" s="213">
        <f t="shared" si="137"/>
        <v>1204</v>
      </c>
      <c r="AG362" s="203">
        <f t="shared" si="137"/>
        <v>294</v>
      </c>
      <c r="AH362" s="203">
        <f t="shared" si="137"/>
        <v>910</v>
      </c>
      <c r="AI362" s="197">
        <f t="shared" si="136"/>
        <v>0</v>
      </c>
    </row>
    <row r="363" spans="1:35" s="198" customFormat="1" ht="26.1" customHeight="1">
      <c r="A363" s="190" t="s">
        <v>180</v>
      </c>
      <c r="B363" s="191" t="s">
        <v>587</v>
      </c>
      <c r="C363" s="201" t="s">
        <v>588</v>
      </c>
      <c r="D363" s="202">
        <v>5</v>
      </c>
      <c r="E363" s="203">
        <f>SUM(H363,P363,AF363)</f>
        <v>600</v>
      </c>
      <c r="F363" s="203">
        <v>600</v>
      </c>
      <c r="G363" s="203">
        <v>0</v>
      </c>
      <c r="H363" s="204">
        <f>SUM(I363:O363)</f>
        <v>200</v>
      </c>
      <c r="I363" s="203">
        <v>0</v>
      </c>
      <c r="J363" s="203">
        <v>0</v>
      </c>
      <c r="K363" s="203">
        <v>0</v>
      </c>
      <c r="L363" s="203">
        <v>0</v>
      </c>
      <c r="M363" s="203">
        <v>200</v>
      </c>
      <c r="N363" s="203">
        <v>0</v>
      </c>
      <c r="O363" s="203">
        <v>0</v>
      </c>
      <c r="P363" s="205">
        <f t="shared" ref="P363:P373" si="138">SUM(Q363:AE363)</f>
        <v>400</v>
      </c>
      <c r="Q363" s="203">
        <v>0</v>
      </c>
      <c r="R363" s="203">
        <v>0</v>
      </c>
      <c r="S363" s="203">
        <v>0</v>
      </c>
      <c r="T363" s="203">
        <v>0</v>
      </c>
      <c r="U363" s="203">
        <v>0</v>
      </c>
      <c r="V363" s="203">
        <v>0</v>
      </c>
      <c r="W363" s="203">
        <v>0</v>
      </c>
      <c r="X363" s="203">
        <v>0</v>
      </c>
      <c r="Y363" s="203">
        <v>200</v>
      </c>
      <c r="Z363" s="203">
        <v>200</v>
      </c>
      <c r="AA363" s="203">
        <v>0</v>
      </c>
      <c r="AB363" s="203">
        <v>0</v>
      </c>
      <c r="AC363" s="203">
        <v>0</v>
      </c>
      <c r="AD363" s="203">
        <v>0</v>
      </c>
      <c r="AE363" s="203">
        <v>0</v>
      </c>
      <c r="AF363" s="203">
        <f t="shared" ref="AF363:AF373" si="139">SUM(AG363:AH363)</f>
        <v>0</v>
      </c>
      <c r="AG363" s="203">
        <v>0</v>
      </c>
      <c r="AH363" s="203">
        <v>0</v>
      </c>
      <c r="AI363" s="197">
        <f t="shared" ref="AI363:AI373" si="140">IF(+F363+G363=E363,0,FALSE)</f>
        <v>0</v>
      </c>
    </row>
    <row r="364" spans="1:35" s="198" customFormat="1" ht="26.1" customHeight="1">
      <c r="A364" s="190" t="s">
        <v>180</v>
      </c>
      <c r="B364" s="191" t="s">
        <v>587</v>
      </c>
      <c r="C364" s="201" t="s">
        <v>589</v>
      </c>
      <c r="D364" s="202">
        <v>5</v>
      </c>
      <c r="E364" s="203">
        <f t="shared" ref="E364:E373" si="141">SUM(H364,P364,AF364)</f>
        <v>19866</v>
      </c>
      <c r="F364" s="203">
        <v>19866</v>
      </c>
      <c r="G364" s="203">
        <v>0</v>
      </c>
      <c r="H364" s="204">
        <f t="shared" ref="H364:H373" si="142">SUM(I364:O364)</f>
        <v>14846</v>
      </c>
      <c r="I364" s="203">
        <v>0</v>
      </c>
      <c r="J364" s="203">
        <v>0</v>
      </c>
      <c r="K364" s="203">
        <v>80</v>
      </c>
      <c r="L364" s="203">
        <v>0</v>
      </c>
      <c r="M364" s="203">
        <v>6080</v>
      </c>
      <c r="N364" s="203">
        <v>8686</v>
      </c>
      <c r="O364" s="203">
        <v>0</v>
      </c>
      <c r="P364" s="205">
        <f t="shared" si="138"/>
        <v>5020</v>
      </c>
      <c r="Q364" s="203">
        <v>80</v>
      </c>
      <c r="R364" s="203">
        <v>0</v>
      </c>
      <c r="S364" s="203">
        <v>0</v>
      </c>
      <c r="T364" s="203">
        <v>0</v>
      </c>
      <c r="U364" s="203">
        <v>0</v>
      </c>
      <c r="V364" s="203">
        <v>0</v>
      </c>
      <c r="W364" s="203">
        <v>480</v>
      </c>
      <c r="X364" s="203">
        <v>3290</v>
      </c>
      <c r="Y364" s="203">
        <v>480</v>
      </c>
      <c r="Z364" s="203">
        <v>80</v>
      </c>
      <c r="AA364" s="203">
        <v>610</v>
      </c>
      <c r="AB364" s="203">
        <v>0</v>
      </c>
      <c r="AC364" s="203">
        <v>0</v>
      </c>
      <c r="AD364" s="203">
        <v>0</v>
      </c>
      <c r="AE364" s="203">
        <v>0</v>
      </c>
      <c r="AF364" s="203">
        <f t="shared" si="139"/>
        <v>0</v>
      </c>
      <c r="AG364" s="203">
        <v>0</v>
      </c>
      <c r="AH364" s="203">
        <v>0</v>
      </c>
      <c r="AI364" s="197">
        <f t="shared" si="140"/>
        <v>0</v>
      </c>
    </row>
    <row r="365" spans="1:35" s="198" customFormat="1" ht="26.1" customHeight="1">
      <c r="A365" s="190" t="s">
        <v>180</v>
      </c>
      <c r="B365" s="191" t="s">
        <v>587</v>
      </c>
      <c r="C365" s="201" t="s">
        <v>590</v>
      </c>
      <c r="D365" s="202">
        <v>5</v>
      </c>
      <c r="E365" s="203">
        <f t="shared" si="141"/>
        <v>1457</v>
      </c>
      <c r="F365" s="203">
        <v>1457</v>
      </c>
      <c r="G365" s="203">
        <v>0</v>
      </c>
      <c r="H365" s="204">
        <f t="shared" si="142"/>
        <v>318</v>
      </c>
      <c r="I365" s="203">
        <v>0</v>
      </c>
      <c r="J365" s="203">
        <v>0</v>
      </c>
      <c r="K365" s="203">
        <v>78</v>
      </c>
      <c r="L365" s="203">
        <v>80</v>
      </c>
      <c r="M365" s="203">
        <v>80</v>
      </c>
      <c r="N365" s="203">
        <v>80</v>
      </c>
      <c r="O365" s="203">
        <v>0</v>
      </c>
      <c r="P365" s="205">
        <f t="shared" si="138"/>
        <v>1039</v>
      </c>
      <c r="Q365" s="203">
        <v>80</v>
      </c>
      <c r="R365" s="203">
        <v>70</v>
      </c>
      <c r="S365" s="203">
        <v>80</v>
      </c>
      <c r="T365" s="203">
        <v>59</v>
      </c>
      <c r="U365" s="203">
        <v>80</v>
      </c>
      <c r="V365" s="203">
        <v>80</v>
      </c>
      <c r="W365" s="203">
        <v>80</v>
      </c>
      <c r="X365" s="203">
        <v>80</v>
      </c>
      <c r="Y365" s="203">
        <v>80</v>
      </c>
      <c r="Z365" s="203">
        <v>80</v>
      </c>
      <c r="AA365" s="203">
        <v>80</v>
      </c>
      <c r="AB365" s="203">
        <v>70</v>
      </c>
      <c r="AC365" s="203">
        <v>80</v>
      </c>
      <c r="AD365" s="203">
        <v>40</v>
      </c>
      <c r="AE365" s="203">
        <v>0</v>
      </c>
      <c r="AF365" s="203">
        <f t="shared" si="139"/>
        <v>100</v>
      </c>
      <c r="AG365" s="203">
        <v>50</v>
      </c>
      <c r="AH365" s="203">
        <v>50</v>
      </c>
      <c r="AI365" s="197">
        <f t="shared" si="140"/>
        <v>0</v>
      </c>
    </row>
    <row r="366" spans="1:35" s="198" customFormat="1" ht="26.1" customHeight="1">
      <c r="A366" s="190" t="s">
        <v>180</v>
      </c>
      <c r="B366" s="191" t="s">
        <v>587</v>
      </c>
      <c r="C366" s="201" t="s">
        <v>591</v>
      </c>
      <c r="D366" s="202">
        <v>5</v>
      </c>
      <c r="E366" s="203">
        <f t="shared" si="141"/>
        <v>887</v>
      </c>
      <c r="F366" s="203">
        <v>887</v>
      </c>
      <c r="G366" s="203">
        <v>0</v>
      </c>
      <c r="H366" s="204">
        <f t="shared" si="142"/>
        <v>207</v>
      </c>
      <c r="I366" s="203">
        <v>0</v>
      </c>
      <c r="J366" s="203">
        <v>0</v>
      </c>
      <c r="K366" s="203">
        <v>63</v>
      </c>
      <c r="L366" s="203">
        <v>48</v>
      </c>
      <c r="M366" s="203">
        <v>48</v>
      </c>
      <c r="N366" s="203">
        <v>48</v>
      </c>
      <c r="O366" s="203">
        <v>0</v>
      </c>
      <c r="P366" s="205">
        <f t="shared" si="138"/>
        <v>640</v>
      </c>
      <c r="Q366" s="203">
        <v>48</v>
      </c>
      <c r="R366" s="203">
        <v>48</v>
      </c>
      <c r="S366" s="203">
        <v>48</v>
      </c>
      <c r="T366" s="203">
        <v>43</v>
      </c>
      <c r="U366" s="203">
        <v>48</v>
      </c>
      <c r="V366" s="203">
        <v>48</v>
      </c>
      <c r="W366" s="203">
        <v>48</v>
      </c>
      <c r="X366" s="203">
        <v>48</v>
      </c>
      <c r="Y366" s="203">
        <v>48</v>
      </c>
      <c r="Z366" s="203">
        <v>48</v>
      </c>
      <c r="AA366" s="203">
        <v>40</v>
      </c>
      <c r="AB366" s="203">
        <v>45</v>
      </c>
      <c r="AC366" s="203">
        <v>45</v>
      </c>
      <c r="AD366" s="203">
        <v>35</v>
      </c>
      <c r="AE366" s="203">
        <v>0</v>
      </c>
      <c r="AF366" s="203">
        <f t="shared" si="139"/>
        <v>40</v>
      </c>
      <c r="AG366" s="203">
        <v>0</v>
      </c>
      <c r="AH366" s="203">
        <v>40</v>
      </c>
      <c r="AI366" s="197">
        <f t="shared" si="140"/>
        <v>0</v>
      </c>
    </row>
    <row r="367" spans="1:35" s="198" customFormat="1" ht="26.1" customHeight="1">
      <c r="A367" s="190" t="s">
        <v>180</v>
      </c>
      <c r="B367" s="191" t="s">
        <v>587</v>
      </c>
      <c r="C367" s="201" t="s">
        <v>592</v>
      </c>
      <c r="D367" s="202">
        <v>5</v>
      </c>
      <c r="E367" s="203">
        <f t="shared" si="141"/>
        <v>856</v>
      </c>
      <c r="F367" s="203">
        <v>856</v>
      </c>
      <c r="G367" s="203">
        <v>0</v>
      </c>
      <c r="H367" s="204">
        <f t="shared" si="142"/>
        <v>144</v>
      </c>
      <c r="I367" s="203">
        <v>0</v>
      </c>
      <c r="J367" s="203">
        <v>0</v>
      </c>
      <c r="K367" s="203">
        <v>48</v>
      </c>
      <c r="L367" s="203">
        <v>0</v>
      </c>
      <c r="M367" s="203">
        <v>48</v>
      </c>
      <c r="N367" s="203">
        <v>48</v>
      </c>
      <c r="O367" s="203">
        <v>0</v>
      </c>
      <c r="P367" s="205">
        <f t="shared" si="138"/>
        <v>632</v>
      </c>
      <c r="Q367" s="203">
        <v>48</v>
      </c>
      <c r="R367" s="203">
        <v>48</v>
      </c>
      <c r="S367" s="203">
        <v>48</v>
      </c>
      <c r="T367" s="203">
        <v>30</v>
      </c>
      <c r="U367" s="203">
        <v>48</v>
      </c>
      <c r="V367" s="203">
        <v>48</v>
      </c>
      <c r="W367" s="203">
        <v>48</v>
      </c>
      <c r="X367" s="203">
        <v>48</v>
      </c>
      <c r="Y367" s="203">
        <v>48</v>
      </c>
      <c r="Z367" s="203">
        <v>48</v>
      </c>
      <c r="AA367" s="203">
        <v>40</v>
      </c>
      <c r="AB367" s="203">
        <v>45</v>
      </c>
      <c r="AC367" s="203">
        <v>45</v>
      </c>
      <c r="AD367" s="203">
        <v>40</v>
      </c>
      <c r="AE367" s="203">
        <v>0</v>
      </c>
      <c r="AF367" s="203">
        <f t="shared" si="139"/>
        <v>80</v>
      </c>
      <c r="AG367" s="203">
        <v>40</v>
      </c>
      <c r="AH367" s="203">
        <v>40</v>
      </c>
      <c r="AI367" s="197">
        <f t="shared" si="140"/>
        <v>0</v>
      </c>
    </row>
    <row r="368" spans="1:35" s="198" customFormat="1" ht="26.1" customHeight="1">
      <c r="A368" s="190" t="s">
        <v>180</v>
      </c>
      <c r="B368" s="191" t="s">
        <v>587</v>
      </c>
      <c r="C368" s="201" t="s">
        <v>593</v>
      </c>
      <c r="D368" s="202">
        <v>5</v>
      </c>
      <c r="E368" s="203">
        <f t="shared" si="141"/>
        <v>208</v>
      </c>
      <c r="F368" s="203">
        <v>208</v>
      </c>
      <c r="G368" s="203">
        <v>0</v>
      </c>
      <c r="H368" s="204">
        <f t="shared" si="142"/>
        <v>38</v>
      </c>
      <c r="I368" s="203">
        <v>0</v>
      </c>
      <c r="J368" s="203">
        <v>0</v>
      </c>
      <c r="K368" s="203">
        <v>2</v>
      </c>
      <c r="L368" s="203">
        <v>12</v>
      </c>
      <c r="M368" s="203">
        <v>12</v>
      </c>
      <c r="N368" s="203">
        <v>12</v>
      </c>
      <c r="O368" s="203">
        <v>0</v>
      </c>
      <c r="P368" s="205">
        <f t="shared" si="138"/>
        <v>160</v>
      </c>
      <c r="Q368" s="203">
        <v>12</v>
      </c>
      <c r="R368" s="203">
        <v>12</v>
      </c>
      <c r="S368" s="203">
        <v>12</v>
      </c>
      <c r="T368" s="203">
        <v>12</v>
      </c>
      <c r="U368" s="203">
        <v>12</v>
      </c>
      <c r="V368" s="203">
        <v>12</v>
      </c>
      <c r="W368" s="203">
        <v>12</v>
      </c>
      <c r="X368" s="203">
        <v>12</v>
      </c>
      <c r="Y368" s="203">
        <v>12</v>
      </c>
      <c r="Z368" s="203">
        <v>12</v>
      </c>
      <c r="AA368" s="203">
        <v>10</v>
      </c>
      <c r="AB368" s="203">
        <v>10</v>
      </c>
      <c r="AC368" s="203">
        <v>10</v>
      </c>
      <c r="AD368" s="203">
        <v>10</v>
      </c>
      <c r="AE368" s="203">
        <v>0</v>
      </c>
      <c r="AF368" s="203">
        <f t="shared" si="139"/>
        <v>10</v>
      </c>
      <c r="AG368" s="203">
        <v>0</v>
      </c>
      <c r="AH368" s="203">
        <v>10</v>
      </c>
      <c r="AI368" s="197">
        <f t="shared" si="140"/>
        <v>0</v>
      </c>
    </row>
    <row r="369" spans="1:35" s="198" customFormat="1" ht="26.1" customHeight="1">
      <c r="A369" s="190" t="s">
        <v>180</v>
      </c>
      <c r="B369" s="191" t="s">
        <v>587</v>
      </c>
      <c r="C369" s="201" t="s">
        <v>594</v>
      </c>
      <c r="D369" s="202">
        <v>5</v>
      </c>
      <c r="E369" s="203">
        <f t="shared" si="141"/>
        <v>215</v>
      </c>
      <c r="F369" s="203">
        <v>215</v>
      </c>
      <c r="G369" s="203">
        <v>0</v>
      </c>
      <c r="H369" s="204">
        <f t="shared" si="142"/>
        <v>45</v>
      </c>
      <c r="I369" s="203">
        <v>0</v>
      </c>
      <c r="J369" s="203">
        <v>0</v>
      </c>
      <c r="K369" s="203">
        <v>9</v>
      </c>
      <c r="L369" s="203">
        <v>12</v>
      </c>
      <c r="M369" s="203">
        <v>12</v>
      </c>
      <c r="N369" s="203">
        <v>12</v>
      </c>
      <c r="O369" s="203">
        <v>0</v>
      </c>
      <c r="P369" s="205">
        <f>SUM(Q369:AE369)</f>
        <v>160</v>
      </c>
      <c r="Q369" s="203">
        <v>12</v>
      </c>
      <c r="R369" s="203">
        <v>12</v>
      </c>
      <c r="S369" s="203">
        <v>12</v>
      </c>
      <c r="T369" s="203">
        <v>12</v>
      </c>
      <c r="U369" s="203">
        <v>12</v>
      </c>
      <c r="V369" s="203">
        <v>12</v>
      </c>
      <c r="W369" s="203">
        <v>12</v>
      </c>
      <c r="X369" s="203">
        <v>12</v>
      </c>
      <c r="Y369" s="203">
        <v>12</v>
      </c>
      <c r="Z369" s="203">
        <v>12</v>
      </c>
      <c r="AA369" s="203">
        <v>10</v>
      </c>
      <c r="AB369" s="203">
        <v>10</v>
      </c>
      <c r="AC369" s="203">
        <v>10</v>
      </c>
      <c r="AD369" s="203">
        <v>10</v>
      </c>
      <c r="AE369" s="203">
        <v>0</v>
      </c>
      <c r="AF369" s="203">
        <f t="shared" si="139"/>
        <v>10</v>
      </c>
      <c r="AG369" s="203">
        <v>0</v>
      </c>
      <c r="AH369" s="203">
        <v>10</v>
      </c>
      <c r="AI369" s="197">
        <f t="shared" si="140"/>
        <v>0</v>
      </c>
    </row>
    <row r="370" spans="1:35" s="198" customFormat="1" ht="26.1" customHeight="1">
      <c r="A370" s="190" t="s">
        <v>180</v>
      </c>
      <c r="B370" s="191" t="s">
        <v>587</v>
      </c>
      <c r="C370" s="201" t="s">
        <v>595</v>
      </c>
      <c r="D370" s="202">
        <v>5</v>
      </c>
      <c r="E370" s="203">
        <f t="shared" si="141"/>
        <v>33548</v>
      </c>
      <c r="F370" s="203">
        <v>33548</v>
      </c>
      <c r="G370" s="203">
        <v>0</v>
      </c>
      <c r="H370" s="204">
        <f t="shared" si="142"/>
        <v>19968</v>
      </c>
      <c r="I370" s="203">
        <v>0</v>
      </c>
      <c r="J370" s="203">
        <v>4000</v>
      </c>
      <c r="K370" s="203">
        <v>3968</v>
      </c>
      <c r="L370" s="203">
        <v>4000</v>
      </c>
      <c r="M370" s="203">
        <v>4000</v>
      </c>
      <c r="N370" s="203">
        <v>4000</v>
      </c>
      <c r="O370" s="203">
        <v>0</v>
      </c>
      <c r="P370" s="205">
        <f t="shared" si="138"/>
        <v>13400</v>
      </c>
      <c r="Q370" s="203">
        <v>1000</v>
      </c>
      <c r="R370" s="203">
        <v>1000</v>
      </c>
      <c r="S370" s="203">
        <v>1000</v>
      </c>
      <c r="T370" s="203">
        <v>1500</v>
      </c>
      <c r="U370" s="203">
        <v>1000</v>
      </c>
      <c r="V370" s="203">
        <v>1000</v>
      </c>
      <c r="W370" s="203">
        <v>1400</v>
      </c>
      <c r="X370" s="203">
        <v>1400</v>
      </c>
      <c r="Y370" s="203">
        <v>650</v>
      </c>
      <c r="Z370" s="203">
        <v>650</v>
      </c>
      <c r="AA370" s="203">
        <v>200</v>
      </c>
      <c r="AB370" s="203">
        <v>1000</v>
      </c>
      <c r="AC370" s="203">
        <v>1000</v>
      </c>
      <c r="AD370" s="203">
        <v>600</v>
      </c>
      <c r="AE370" s="203">
        <v>0</v>
      </c>
      <c r="AF370" s="203">
        <f t="shared" si="139"/>
        <v>180</v>
      </c>
      <c r="AG370" s="203">
        <v>80</v>
      </c>
      <c r="AH370" s="203">
        <v>100</v>
      </c>
      <c r="AI370" s="197">
        <f t="shared" si="140"/>
        <v>0</v>
      </c>
    </row>
    <row r="371" spans="1:35" s="198" customFormat="1" ht="26.1" customHeight="1">
      <c r="A371" s="190" t="s">
        <v>180</v>
      </c>
      <c r="B371" s="191" t="s">
        <v>587</v>
      </c>
      <c r="C371" s="201" t="s">
        <v>596</v>
      </c>
      <c r="D371" s="202">
        <v>5</v>
      </c>
      <c r="E371" s="203">
        <f t="shared" si="141"/>
        <v>13288</v>
      </c>
      <c r="F371" s="203">
        <v>13288</v>
      </c>
      <c r="G371" s="203">
        <v>0</v>
      </c>
      <c r="H371" s="204">
        <f t="shared" si="142"/>
        <v>4200</v>
      </c>
      <c r="I371" s="203">
        <v>0</v>
      </c>
      <c r="J371" s="203">
        <v>1079</v>
      </c>
      <c r="K371" s="203">
        <v>589</v>
      </c>
      <c r="L371" s="203">
        <v>706</v>
      </c>
      <c r="M371" s="203">
        <v>802</v>
      </c>
      <c r="N371" s="203">
        <v>1024</v>
      </c>
      <c r="O371" s="203">
        <v>0</v>
      </c>
      <c r="P371" s="205">
        <f t="shared" si="138"/>
        <v>8437</v>
      </c>
      <c r="Q371" s="203">
        <v>721</v>
      </c>
      <c r="R371" s="203">
        <v>405</v>
      </c>
      <c r="S371" s="203">
        <v>626</v>
      </c>
      <c r="T371" s="203">
        <v>641</v>
      </c>
      <c r="U371" s="203">
        <v>551</v>
      </c>
      <c r="V371" s="203">
        <v>739</v>
      </c>
      <c r="W371" s="203">
        <v>796</v>
      </c>
      <c r="X371" s="203">
        <v>900</v>
      </c>
      <c r="Y371" s="203">
        <v>761</v>
      </c>
      <c r="Z371" s="203">
        <v>931</v>
      </c>
      <c r="AA371" s="203">
        <v>340</v>
      </c>
      <c r="AB371" s="203">
        <v>374</v>
      </c>
      <c r="AC371" s="203">
        <v>247</v>
      </c>
      <c r="AD371" s="203">
        <v>405</v>
      </c>
      <c r="AE371" s="203">
        <v>0</v>
      </c>
      <c r="AF371" s="203">
        <f t="shared" si="139"/>
        <v>651</v>
      </c>
      <c r="AG371" s="203">
        <v>61</v>
      </c>
      <c r="AH371" s="203">
        <v>590</v>
      </c>
      <c r="AI371" s="197">
        <f t="shared" si="140"/>
        <v>0</v>
      </c>
    </row>
    <row r="372" spans="1:35" s="198" customFormat="1" ht="26.1" customHeight="1">
      <c r="A372" s="190" t="s">
        <v>180</v>
      </c>
      <c r="B372" s="191" t="s">
        <v>587</v>
      </c>
      <c r="C372" s="201" t="s">
        <v>597</v>
      </c>
      <c r="D372" s="202">
        <v>5</v>
      </c>
      <c r="E372" s="203">
        <f t="shared" si="141"/>
        <v>1278</v>
      </c>
      <c r="F372" s="203">
        <v>1278</v>
      </c>
      <c r="G372" s="203">
        <v>0</v>
      </c>
      <c r="H372" s="204">
        <f t="shared" si="142"/>
        <v>697</v>
      </c>
      <c r="I372" s="203">
        <v>0</v>
      </c>
      <c r="J372" s="203">
        <v>0</v>
      </c>
      <c r="K372" s="203">
        <v>108</v>
      </c>
      <c r="L372" s="203">
        <v>231</v>
      </c>
      <c r="M372" s="203">
        <v>120</v>
      </c>
      <c r="N372" s="203">
        <v>238</v>
      </c>
      <c r="O372" s="203">
        <v>0</v>
      </c>
      <c r="P372" s="205">
        <f t="shared" si="138"/>
        <v>548</v>
      </c>
      <c r="Q372" s="203">
        <v>30</v>
      </c>
      <c r="R372" s="203">
        <v>23</v>
      </c>
      <c r="S372" s="203">
        <v>63</v>
      </c>
      <c r="T372" s="203">
        <v>40</v>
      </c>
      <c r="U372" s="203">
        <v>34</v>
      </c>
      <c r="V372" s="203">
        <v>50</v>
      </c>
      <c r="W372" s="203">
        <v>18</v>
      </c>
      <c r="X372" s="203">
        <v>78</v>
      </c>
      <c r="Y372" s="203">
        <v>30</v>
      </c>
      <c r="Z372" s="203">
        <v>35</v>
      </c>
      <c r="AA372" s="203">
        <v>30</v>
      </c>
      <c r="AB372" s="203">
        <v>30</v>
      </c>
      <c r="AC372" s="203">
        <v>42</v>
      </c>
      <c r="AD372" s="203">
        <v>45</v>
      </c>
      <c r="AE372" s="203">
        <v>0</v>
      </c>
      <c r="AF372" s="203">
        <f t="shared" si="139"/>
        <v>33</v>
      </c>
      <c r="AG372" s="203">
        <v>13</v>
      </c>
      <c r="AH372" s="203">
        <v>20</v>
      </c>
      <c r="AI372" s="197">
        <f t="shared" si="140"/>
        <v>0</v>
      </c>
    </row>
    <row r="373" spans="1:35" s="198" customFormat="1" ht="26.1" customHeight="1">
      <c r="A373" s="190" t="s">
        <v>180</v>
      </c>
      <c r="B373" s="191" t="s">
        <v>587</v>
      </c>
      <c r="C373" s="201" t="s">
        <v>598</v>
      </c>
      <c r="D373" s="202">
        <v>5</v>
      </c>
      <c r="E373" s="203">
        <f t="shared" si="141"/>
        <v>5100</v>
      </c>
      <c r="F373" s="203">
        <v>5100</v>
      </c>
      <c r="G373" s="203">
        <v>0</v>
      </c>
      <c r="H373" s="204">
        <f t="shared" si="142"/>
        <v>1710</v>
      </c>
      <c r="I373" s="203">
        <v>0</v>
      </c>
      <c r="J373" s="203">
        <v>407</v>
      </c>
      <c r="K373" s="203">
        <v>370</v>
      </c>
      <c r="L373" s="203">
        <v>230</v>
      </c>
      <c r="M373" s="203">
        <v>363</v>
      </c>
      <c r="N373" s="203">
        <v>340</v>
      </c>
      <c r="O373" s="203">
        <v>0</v>
      </c>
      <c r="P373" s="205">
        <f t="shared" si="138"/>
        <v>3290</v>
      </c>
      <c r="Q373" s="203">
        <v>268</v>
      </c>
      <c r="R373" s="203">
        <v>276</v>
      </c>
      <c r="S373" s="203">
        <v>197</v>
      </c>
      <c r="T373" s="203">
        <v>344</v>
      </c>
      <c r="U373" s="203">
        <v>232</v>
      </c>
      <c r="V373" s="203">
        <v>302</v>
      </c>
      <c r="W373" s="203">
        <v>269</v>
      </c>
      <c r="X373" s="203">
        <v>288</v>
      </c>
      <c r="Y373" s="203">
        <v>197</v>
      </c>
      <c r="Z373" s="203">
        <v>308</v>
      </c>
      <c r="AA373" s="203">
        <v>80</v>
      </c>
      <c r="AB373" s="203">
        <v>137</v>
      </c>
      <c r="AC373" s="203">
        <v>107</v>
      </c>
      <c r="AD373" s="203">
        <v>285</v>
      </c>
      <c r="AE373" s="203">
        <v>0</v>
      </c>
      <c r="AF373" s="203">
        <f t="shared" si="139"/>
        <v>100</v>
      </c>
      <c r="AG373" s="203">
        <v>50</v>
      </c>
      <c r="AH373" s="203">
        <v>50</v>
      </c>
      <c r="AI373" s="197">
        <f t="shared" si="140"/>
        <v>0</v>
      </c>
    </row>
    <row r="374" spans="1:35" s="198" customFormat="1" ht="26.1" customHeight="1">
      <c r="A374" s="190"/>
      <c r="B374" s="191"/>
      <c r="C374" s="201"/>
      <c r="D374" s="202"/>
      <c r="E374" s="207">
        <f>SUM(E375:E377)</f>
        <v>2146666</v>
      </c>
      <c r="F374" s="203">
        <f t="shared" ref="F374:AH374" si="143">SUM(F375:F377)</f>
        <v>533226</v>
      </c>
      <c r="G374" s="203">
        <f t="shared" si="143"/>
        <v>1613440</v>
      </c>
      <c r="H374" s="207">
        <f t="shared" si="143"/>
        <v>896148</v>
      </c>
      <c r="I374" s="203">
        <f t="shared" si="143"/>
        <v>0</v>
      </c>
      <c r="J374" s="203">
        <f t="shared" si="143"/>
        <v>79300</v>
      </c>
      <c r="K374" s="203">
        <f t="shared" si="143"/>
        <v>252678</v>
      </c>
      <c r="L374" s="203">
        <f t="shared" si="143"/>
        <v>284800</v>
      </c>
      <c r="M374" s="203">
        <f t="shared" si="143"/>
        <v>115607</v>
      </c>
      <c r="N374" s="203">
        <f t="shared" si="143"/>
        <v>163763</v>
      </c>
      <c r="O374" s="203">
        <f t="shared" si="143"/>
        <v>0</v>
      </c>
      <c r="P374" s="207">
        <f t="shared" si="143"/>
        <v>1190928</v>
      </c>
      <c r="Q374" s="203">
        <f t="shared" si="143"/>
        <v>37699</v>
      </c>
      <c r="R374" s="203">
        <f t="shared" si="143"/>
        <v>103212</v>
      </c>
      <c r="S374" s="203">
        <f t="shared" si="143"/>
        <v>249014</v>
      </c>
      <c r="T374" s="203">
        <f t="shared" si="143"/>
        <v>32873</v>
      </c>
      <c r="U374" s="203">
        <f t="shared" si="143"/>
        <v>51914</v>
      </c>
      <c r="V374" s="203">
        <f t="shared" si="143"/>
        <v>134059</v>
      </c>
      <c r="W374" s="203">
        <f t="shared" si="143"/>
        <v>76078</v>
      </c>
      <c r="X374" s="203">
        <f t="shared" si="143"/>
        <v>92347</v>
      </c>
      <c r="Y374" s="203">
        <f t="shared" si="143"/>
        <v>145256</v>
      </c>
      <c r="Z374" s="203">
        <f t="shared" si="143"/>
        <v>47853</v>
      </c>
      <c r="AA374" s="203">
        <f t="shared" si="143"/>
        <v>49795</v>
      </c>
      <c r="AB374" s="203">
        <f t="shared" si="143"/>
        <v>4265</v>
      </c>
      <c r="AC374" s="203">
        <f t="shared" si="143"/>
        <v>4543</v>
      </c>
      <c r="AD374" s="203">
        <f t="shared" si="143"/>
        <v>5020</v>
      </c>
      <c r="AE374" s="203">
        <f t="shared" si="143"/>
        <v>157000</v>
      </c>
      <c r="AF374" s="207">
        <f t="shared" si="143"/>
        <v>59590</v>
      </c>
      <c r="AG374" s="203">
        <f t="shared" si="143"/>
        <v>39675</v>
      </c>
      <c r="AH374" s="203">
        <f t="shared" si="143"/>
        <v>19915</v>
      </c>
      <c r="AI374" s="197">
        <f>IF(+F374+G374=E374,0,FALSE)</f>
        <v>0</v>
      </c>
    </row>
    <row r="375" spans="1:35" s="198" customFormat="1" ht="26.1" customHeight="1">
      <c r="A375" s="200" t="s">
        <v>6</v>
      </c>
      <c r="B375" s="190" t="s">
        <v>479</v>
      </c>
      <c r="C375" s="190" t="s">
        <v>480</v>
      </c>
      <c r="D375" s="202">
        <v>6</v>
      </c>
      <c r="E375" s="203">
        <f>SUM(H375,P375,AF375)</f>
        <v>451166</v>
      </c>
      <c r="F375" s="203">
        <v>44702</v>
      </c>
      <c r="G375" s="203">
        <v>406464</v>
      </c>
      <c r="H375" s="204">
        <f>SUM(I375:O375)</f>
        <v>276050</v>
      </c>
      <c r="I375" s="203">
        <v>0</v>
      </c>
      <c r="J375" s="203">
        <v>10453</v>
      </c>
      <c r="K375" s="203">
        <v>62498</v>
      </c>
      <c r="L375" s="203">
        <v>107164</v>
      </c>
      <c r="M375" s="203">
        <v>60467</v>
      </c>
      <c r="N375" s="203">
        <v>35468</v>
      </c>
      <c r="O375" s="203"/>
      <c r="P375" s="205">
        <f>SUM(Q375:AE375)</f>
        <v>175116</v>
      </c>
      <c r="Q375" s="203">
        <v>21173</v>
      </c>
      <c r="R375" s="203">
        <v>2659</v>
      </c>
      <c r="S375" s="203">
        <v>0</v>
      </c>
      <c r="T375" s="203">
        <v>1500</v>
      </c>
      <c r="U375" s="203">
        <v>1208</v>
      </c>
      <c r="V375" s="203">
        <v>66653</v>
      </c>
      <c r="W375" s="203">
        <v>19609</v>
      </c>
      <c r="X375" s="203">
        <v>40255</v>
      </c>
      <c r="Y375" s="203">
        <v>5236</v>
      </c>
      <c r="Z375" s="203">
        <v>0</v>
      </c>
      <c r="AA375" s="203">
        <v>1600</v>
      </c>
      <c r="AB375" s="203">
        <v>1082</v>
      </c>
      <c r="AC375" s="203">
        <v>2341</v>
      </c>
      <c r="AD375" s="203">
        <v>1800</v>
      </c>
      <c r="AE375" s="203">
        <v>10000</v>
      </c>
      <c r="AF375" s="203">
        <f>SUM(AG375:AH375)</f>
        <v>0</v>
      </c>
      <c r="AG375" s="203">
        <v>0</v>
      </c>
      <c r="AH375" s="203">
        <v>0</v>
      </c>
      <c r="AI375" s="197">
        <f>IF(+F375+G375=E375,0,FALSE)</f>
        <v>0</v>
      </c>
    </row>
    <row r="376" spans="1:35" s="198" customFormat="1" ht="26.1" customHeight="1">
      <c r="A376" s="190" t="s">
        <v>6</v>
      </c>
      <c r="B376" s="190" t="s">
        <v>479</v>
      </c>
      <c r="C376" s="190" t="s">
        <v>481</v>
      </c>
      <c r="D376" s="202">
        <v>6</v>
      </c>
      <c r="E376" s="203">
        <f>SUM(H376,P376,AF376)</f>
        <v>1363500</v>
      </c>
      <c r="F376" s="203">
        <v>446024</v>
      </c>
      <c r="G376" s="203">
        <v>917476</v>
      </c>
      <c r="H376" s="204">
        <f>SUM(I376:O376)</f>
        <v>498298</v>
      </c>
      <c r="I376" s="203">
        <v>0</v>
      </c>
      <c r="J376" s="203">
        <v>28347</v>
      </c>
      <c r="K376" s="203">
        <v>190180</v>
      </c>
      <c r="L376" s="203">
        <v>177636</v>
      </c>
      <c r="M376" s="203">
        <v>14340</v>
      </c>
      <c r="N376" s="203">
        <v>87795</v>
      </c>
      <c r="O376" s="203"/>
      <c r="P376" s="205">
        <f>SUM(Q376:AE376)</f>
        <v>805612</v>
      </c>
      <c r="Q376" s="203">
        <v>5926</v>
      </c>
      <c r="R376" s="203">
        <v>60053</v>
      </c>
      <c r="S376" s="203">
        <v>238414</v>
      </c>
      <c r="T376" s="203">
        <v>20773</v>
      </c>
      <c r="U376" s="203">
        <v>50706</v>
      </c>
      <c r="V376" s="203">
        <v>5706</v>
      </c>
      <c r="W376" s="203">
        <v>34869</v>
      </c>
      <c r="X376" s="203">
        <v>10892</v>
      </c>
      <c r="Y376" s="203">
        <v>129420</v>
      </c>
      <c r="Z376" s="203">
        <v>47853</v>
      </c>
      <c r="AA376" s="203">
        <v>48195</v>
      </c>
      <c r="AB376" s="203">
        <v>3183</v>
      </c>
      <c r="AC376" s="203">
        <v>1902</v>
      </c>
      <c r="AD376" s="203">
        <v>3220</v>
      </c>
      <c r="AE376" s="203">
        <v>144500</v>
      </c>
      <c r="AF376" s="203">
        <f>SUM(AG376:AH376)</f>
        <v>59590</v>
      </c>
      <c r="AG376" s="203">
        <v>39675</v>
      </c>
      <c r="AH376" s="203">
        <v>19915</v>
      </c>
      <c r="AI376" s="197">
        <f>IF(+F376+G376=E376,0,FALSE)</f>
        <v>0</v>
      </c>
    </row>
    <row r="377" spans="1:35" s="198" customFormat="1" ht="26.1" customHeight="1">
      <c r="A377" s="190" t="s">
        <v>6</v>
      </c>
      <c r="B377" s="190" t="s">
        <v>479</v>
      </c>
      <c r="C377" s="190" t="s">
        <v>495</v>
      </c>
      <c r="D377" s="202">
        <v>6</v>
      </c>
      <c r="E377" s="203">
        <f>SUM(H377,P377,AF377)</f>
        <v>332000</v>
      </c>
      <c r="F377" s="203">
        <v>42500</v>
      </c>
      <c r="G377" s="203">
        <v>289500</v>
      </c>
      <c r="H377" s="204">
        <f>SUM(I377:O377)</f>
        <v>121800</v>
      </c>
      <c r="I377" s="203">
        <v>0</v>
      </c>
      <c r="J377" s="203">
        <v>40500</v>
      </c>
      <c r="K377" s="203">
        <v>0</v>
      </c>
      <c r="L377" s="203">
        <v>0</v>
      </c>
      <c r="M377" s="203">
        <v>40800</v>
      </c>
      <c r="N377" s="203">
        <v>40500</v>
      </c>
      <c r="O377" s="203"/>
      <c r="P377" s="205">
        <f>SUM(Q377:AE377)</f>
        <v>210200</v>
      </c>
      <c r="Q377" s="203">
        <v>10600</v>
      </c>
      <c r="R377" s="203">
        <v>40500</v>
      </c>
      <c r="S377" s="203">
        <v>10600</v>
      </c>
      <c r="T377" s="203">
        <v>10600</v>
      </c>
      <c r="U377" s="203">
        <v>0</v>
      </c>
      <c r="V377" s="203">
        <v>61700</v>
      </c>
      <c r="W377" s="203">
        <v>21600</v>
      </c>
      <c r="X377" s="203">
        <v>41200</v>
      </c>
      <c r="Y377" s="203">
        <v>10600</v>
      </c>
      <c r="Z377" s="203">
        <v>0</v>
      </c>
      <c r="AA377" s="203">
        <v>0</v>
      </c>
      <c r="AB377" s="203">
        <v>0</v>
      </c>
      <c r="AC377" s="203">
        <v>300</v>
      </c>
      <c r="AD377" s="203">
        <v>0</v>
      </c>
      <c r="AE377" s="203">
        <v>2500</v>
      </c>
      <c r="AF377" s="203">
        <f>SUM(AG377:AH377)</f>
        <v>0</v>
      </c>
      <c r="AG377" s="203"/>
      <c r="AH377" s="203"/>
      <c r="AI377" s="197">
        <f>IF(+F377+G377=E377,0,FALSE)</f>
        <v>0</v>
      </c>
    </row>
    <row r="378" spans="1:35" s="198" customFormat="1" ht="26.1" customHeight="1">
      <c r="A378" s="190"/>
      <c r="B378" s="190"/>
      <c r="C378" s="243"/>
      <c r="D378" s="202"/>
      <c r="E378" s="207">
        <f>E379+E392</f>
        <v>1200498</v>
      </c>
      <c r="F378" s="207">
        <f>F379+F392</f>
        <v>490882</v>
      </c>
      <c r="G378" s="207">
        <f>G379+G392</f>
        <v>709616</v>
      </c>
      <c r="H378" s="207">
        <f>H379+H392</f>
        <v>423820</v>
      </c>
      <c r="I378" s="203"/>
      <c r="J378" s="203"/>
      <c r="K378" s="203"/>
      <c r="L378" s="203"/>
      <c r="M378" s="203"/>
      <c r="N378" s="203"/>
      <c r="O378" s="203"/>
      <c r="P378" s="207">
        <f>P379+P392</f>
        <v>703270</v>
      </c>
      <c r="Q378" s="203"/>
      <c r="R378" s="203"/>
      <c r="S378" s="203"/>
      <c r="T378" s="203"/>
      <c r="U378" s="203"/>
      <c r="V378" s="203"/>
      <c r="W378" s="203"/>
      <c r="X378" s="203"/>
      <c r="Y378" s="203"/>
      <c r="Z378" s="203"/>
      <c r="AA378" s="203"/>
      <c r="AB378" s="203"/>
      <c r="AC378" s="203"/>
      <c r="AD378" s="203"/>
      <c r="AE378" s="203"/>
      <c r="AF378" s="207">
        <f>AF379+AF392</f>
        <v>73408</v>
      </c>
      <c r="AG378" s="203"/>
      <c r="AH378" s="203"/>
      <c r="AI378" s="197">
        <f t="shared" ref="AI378:AI391" si="144">IF(+F378+G378=E378,0,FALSE)</f>
        <v>0</v>
      </c>
    </row>
    <row r="379" spans="1:35" s="198" customFormat="1" ht="26.1" customHeight="1">
      <c r="A379" s="190"/>
      <c r="B379" s="190"/>
      <c r="C379" s="244"/>
      <c r="D379" s="202"/>
      <c r="E379" s="213">
        <f t="shared" ref="E379:J379" si="145">SUM(E380:E391)</f>
        <v>599647</v>
      </c>
      <c r="F379" s="203">
        <f t="shared" si="145"/>
        <v>352747</v>
      </c>
      <c r="G379" s="203">
        <f t="shared" si="145"/>
        <v>246900</v>
      </c>
      <c r="H379" s="213">
        <f t="shared" si="145"/>
        <v>216757</v>
      </c>
      <c r="I379" s="203">
        <f t="shared" si="145"/>
        <v>16347</v>
      </c>
      <c r="J379" s="203">
        <f t="shared" si="145"/>
        <v>20195</v>
      </c>
      <c r="K379" s="203"/>
      <c r="L379" s="203">
        <f t="shared" ref="L379:AH379" si="146">SUM(L380:L391)</f>
        <v>18396</v>
      </c>
      <c r="M379" s="203">
        <f t="shared" si="146"/>
        <v>74323</v>
      </c>
      <c r="N379" s="203">
        <f t="shared" si="146"/>
        <v>33914</v>
      </c>
      <c r="O379" s="203">
        <f t="shared" si="146"/>
        <v>36907</v>
      </c>
      <c r="P379" s="213">
        <f t="shared" si="146"/>
        <v>354912</v>
      </c>
      <c r="Q379" s="203">
        <f t="shared" si="146"/>
        <v>25572</v>
      </c>
      <c r="R379" s="203">
        <f t="shared" si="146"/>
        <v>24648</v>
      </c>
      <c r="S379" s="203">
        <f t="shared" si="146"/>
        <v>16352</v>
      </c>
      <c r="T379" s="203">
        <f t="shared" si="146"/>
        <v>13711</v>
      </c>
      <c r="U379" s="203">
        <f t="shared" si="146"/>
        <v>21612</v>
      </c>
      <c r="V379" s="203">
        <f t="shared" si="146"/>
        <v>18115</v>
      </c>
      <c r="W379" s="203">
        <f t="shared" si="146"/>
        <v>25920</v>
      </c>
      <c r="X379" s="203">
        <f t="shared" si="146"/>
        <v>18571</v>
      </c>
      <c r="Y379" s="203">
        <f t="shared" si="146"/>
        <v>15188</v>
      </c>
      <c r="Z379" s="203">
        <f t="shared" si="146"/>
        <v>19746</v>
      </c>
      <c r="AA379" s="203">
        <f t="shared" si="146"/>
        <v>16252</v>
      </c>
      <c r="AB379" s="203">
        <f t="shared" si="146"/>
        <v>6764</v>
      </c>
      <c r="AC379" s="203">
        <f t="shared" si="146"/>
        <v>12226</v>
      </c>
      <c r="AD379" s="203">
        <f t="shared" si="146"/>
        <v>16410</v>
      </c>
      <c r="AE379" s="203">
        <f t="shared" si="146"/>
        <v>103825</v>
      </c>
      <c r="AF379" s="213">
        <f t="shared" si="146"/>
        <v>27978</v>
      </c>
      <c r="AG379" s="203">
        <f t="shared" si="146"/>
        <v>13614</v>
      </c>
      <c r="AH379" s="203">
        <f t="shared" si="146"/>
        <v>14364</v>
      </c>
      <c r="AI379" s="197">
        <f t="shared" si="144"/>
        <v>0</v>
      </c>
    </row>
    <row r="380" spans="1:35" s="198" customFormat="1" ht="26.1" customHeight="1">
      <c r="A380" s="206" t="s">
        <v>494</v>
      </c>
      <c r="B380" s="191" t="s">
        <v>272</v>
      </c>
      <c r="C380" s="201" t="s">
        <v>617</v>
      </c>
      <c r="D380" s="202" t="s">
        <v>493</v>
      </c>
      <c r="E380" s="203">
        <f t="shared" ref="E380:E391" si="147">SUM(H380,P380,AF380)</f>
        <v>50000</v>
      </c>
      <c r="F380" s="203">
        <v>0</v>
      </c>
      <c r="G380" s="203">
        <v>50000</v>
      </c>
      <c r="H380" s="204">
        <f>SUM(I380:O380)</f>
        <v>50000</v>
      </c>
      <c r="I380" s="203">
        <v>0</v>
      </c>
      <c r="J380" s="203">
        <v>0</v>
      </c>
      <c r="K380" s="203">
        <v>0</v>
      </c>
      <c r="L380" s="203">
        <v>0</v>
      </c>
      <c r="M380" s="203">
        <v>50000</v>
      </c>
      <c r="N380" s="203">
        <v>0</v>
      </c>
      <c r="O380" s="205">
        <v>0</v>
      </c>
      <c r="P380" s="205">
        <f>SUM(Q380:AE380)</f>
        <v>0</v>
      </c>
      <c r="Q380" s="203">
        <v>0</v>
      </c>
      <c r="R380" s="203">
        <v>0</v>
      </c>
      <c r="S380" s="203">
        <v>0</v>
      </c>
      <c r="T380" s="203">
        <v>0</v>
      </c>
      <c r="U380" s="203">
        <v>0</v>
      </c>
      <c r="V380" s="203">
        <v>0</v>
      </c>
      <c r="W380" s="203">
        <v>0</v>
      </c>
      <c r="X380" s="203">
        <v>0</v>
      </c>
      <c r="Y380" s="203">
        <v>0</v>
      </c>
      <c r="Z380" s="203">
        <v>0</v>
      </c>
      <c r="AA380" s="203">
        <v>0</v>
      </c>
      <c r="AB380" s="203">
        <v>0</v>
      </c>
      <c r="AC380" s="203">
        <v>0</v>
      </c>
      <c r="AD380" s="203">
        <v>0</v>
      </c>
      <c r="AE380" s="203">
        <v>0</v>
      </c>
      <c r="AF380" s="203">
        <f t="shared" ref="AF380:AF391" si="148">SUM(AG380:AH380)</f>
        <v>0</v>
      </c>
      <c r="AG380" s="203">
        <v>0</v>
      </c>
      <c r="AH380" s="203">
        <v>0</v>
      </c>
      <c r="AI380" s="197">
        <f t="shared" si="144"/>
        <v>0</v>
      </c>
    </row>
    <row r="381" spans="1:35" s="198" customFormat="1" ht="26.1" customHeight="1">
      <c r="A381" s="190" t="s">
        <v>494</v>
      </c>
      <c r="B381" s="191" t="s">
        <v>272</v>
      </c>
      <c r="C381" s="201" t="s">
        <v>618</v>
      </c>
      <c r="D381" s="202" t="s">
        <v>493</v>
      </c>
      <c r="E381" s="203">
        <f t="shared" si="147"/>
        <v>161347</v>
      </c>
      <c r="F381" s="203">
        <v>161347</v>
      </c>
      <c r="G381" s="203">
        <v>0</v>
      </c>
      <c r="H381" s="204">
        <f t="shared" ref="H381:H391" si="149">SUM(I381:O381)</f>
        <v>50347</v>
      </c>
      <c r="I381" s="203">
        <v>4300</v>
      </c>
      <c r="J381" s="203">
        <v>6000</v>
      </c>
      <c r="K381" s="203">
        <v>6940</v>
      </c>
      <c r="L381" s="203">
        <v>8600</v>
      </c>
      <c r="M381" s="203">
        <v>10500</v>
      </c>
      <c r="N381" s="203">
        <v>9200</v>
      </c>
      <c r="O381" s="205">
        <v>4807</v>
      </c>
      <c r="P381" s="205">
        <f t="shared" ref="P381:P391" si="150">SUM(Q381:AE381)</f>
        <v>98000</v>
      </c>
      <c r="Q381" s="203">
        <v>8500</v>
      </c>
      <c r="R381" s="203">
        <v>6000</v>
      </c>
      <c r="S381" s="203">
        <v>4100</v>
      </c>
      <c r="T381" s="203">
        <v>5700</v>
      </c>
      <c r="U381" s="203">
        <v>6700</v>
      </c>
      <c r="V381" s="203">
        <v>9000</v>
      </c>
      <c r="W381" s="203">
        <v>5600</v>
      </c>
      <c r="X381" s="203">
        <v>5600</v>
      </c>
      <c r="Y381" s="203">
        <v>4100</v>
      </c>
      <c r="Z381" s="203">
        <v>4100</v>
      </c>
      <c r="AA381" s="203">
        <v>4500</v>
      </c>
      <c r="AB381" s="203">
        <v>5300</v>
      </c>
      <c r="AC381" s="203">
        <v>4100</v>
      </c>
      <c r="AD381" s="203">
        <v>4500</v>
      </c>
      <c r="AE381" s="203">
        <v>20200</v>
      </c>
      <c r="AF381" s="203">
        <f t="shared" si="148"/>
        <v>13000</v>
      </c>
      <c r="AG381" s="203">
        <v>6500</v>
      </c>
      <c r="AH381" s="203">
        <v>6500</v>
      </c>
      <c r="AI381" s="197">
        <f t="shared" si="144"/>
        <v>0</v>
      </c>
    </row>
    <row r="382" spans="1:35" s="198" customFormat="1" ht="26.1" customHeight="1">
      <c r="A382" s="190" t="s">
        <v>494</v>
      </c>
      <c r="B382" s="191" t="s">
        <v>272</v>
      </c>
      <c r="C382" s="201" t="s">
        <v>619</v>
      </c>
      <c r="D382" s="202" t="s">
        <v>493</v>
      </c>
      <c r="E382" s="203">
        <f t="shared" si="147"/>
        <v>265600</v>
      </c>
      <c r="F382" s="203">
        <v>70700</v>
      </c>
      <c r="G382" s="203">
        <v>194900</v>
      </c>
      <c r="H382" s="204">
        <f t="shared" si="149"/>
        <v>81910</v>
      </c>
      <c r="I382" s="203">
        <v>12047</v>
      </c>
      <c r="J382" s="203">
        <v>14195</v>
      </c>
      <c r="K382" s="203">
        <v>8835</v>
      </c>
      <c r="L382" s="203">
        <v>9196</v>
      </c>
      <c r="M382" s="203">
        <v>13823</v>
      </c>
      <c r="N382" s="203">
        <v>23814</v>
      </c>
      <c r="O382" s="205">
        <v>0</v>
      </c>
      <c r="P382" s="205">
        <f t="shared" si="150"/>
        <v>172762</v>
      </c>
      <c r="Q382" s="203">
        <v>17072</v>
      </c>
      <c r="R382" s="203">
        <v>18648</v>
      </c>
      <c r="S382" s="203">
        <v>12252</v>
      </c>
      <c r="T382" s="203">
        <v>8011</v>
      </c>
      <c r="U382" s="203">
        <v>14912</v>
      </c>
      <c r="V382" s="203">
        <v>8715</v>
      </c>
      <c r="W382" s="203">
        <v>20320</v>
      </c>
      <c r="X382" s="203">
        <v>12971</v>
      </c>
      <c r="Y382" s="203">
        <v>10688</v>
      </c>
      <c r="Z382" s="203">
        <v>15646</v>
      </c>
      <c r="AA382" s="203">
        <v>11227</v>
      </c>
      <c r="AB382" s="203">
        <v>1464</v>
      </c>
      <c r="AC382" s="203">
        <v>8126</v>
      </c>
      <c r="AD382" s="203">
        <v>11910</v>
      </c>
      <c r="AE382" s="203">
        <v>800</v>
      </c>
      <c r="AF382" s="203">
        <f t="shared" si="148"/>
        <v>10928</v>
      </c>
      <c r="AG382" s="203">
        <v>5464</v>
      </c>
      <c r="AH382" s="203">
        <v>5464</v>
      </c>
      <c r="AI382" s="197">
        <f t="shared" si="144"/>
        <v>0</v>
      </c>
    </row>
    <row r="383" spans="1:35" s="198" customFormat="1" ht="26.1" customHeight="1">
      <c r="A383" s="190" t="s">
        <v>494</v>
      </c>
      <c r="B383" s="191" t="s">
        <v>272</v>
      </c>
      <c r="C383" s="201" t="s">
        <v>620</v>
      </c>
      <c r="D383" s="202" t="s">
        <v>493</v>
      </c>
      <c r="E383" s="203">
        <f t="shared" si="147"/>
        <v>35000</v>
      </c>
      <c r="F383" s="203">
        <v>35000</v>
      </c>
      <c r="G383" s="203">
        <v>0</v>
      </c>
      <c r="H383" s="204">
        <f t="shared" si="149"/>
        <v>12000</v>
      </c>
      <c r="I383" s="203">
        <v>0</v>
      </c>
      <c r="J383" s="203">
        <v>0</v>
      </c>
      <c r="K383" s="203">
        <v>0</v>
      </c>
      <c r="L383" s="203">
        <v>0</v>
      </c>
      <c r="M383" s="203">
        <v>0</v>
      </c>
      <c r="N383" s="203">
        <v>0</v>
      </c>
      <c r="O383" s="205">
        <v>12000</v>
      </c>
      <c r="P383" s="205">
        <f t="shared" si="150"/>
        <v>20000</v>
      </c>
      <c r="Q383" s="203">
        <v>0</v>
      </c>
      <c r="R383" s="203">
        <v>0</v>
      </c>
      <c r="S383" s="203">
        <v>0</v>
      </c>
      <c r="T383" s="203">
        <v>0</v>
      </c>
      <c r="U383" s="203">
        <v>0</v>
      </c>
      <c r="V383" s="203">
        <v>0</v>
      </c>
      <c r="W383" s="203">
        <v>0</v>
      </c>
      <c r="X383" s="203">
        <v>0</v>
      </c>
      <c r="Y383" s="203">
        <v>0</v>
      </c>
      <c r="Z383" s="203">
        <v>0</v>
      </c>
      <c r="AA383" s="203">
        <v>0</v>
      </c>
      <c r="AB383" s="203">
        <v>0</v>
      </c>
      <c r="AC383" s="203">
        <v>0</v>
      </c>
      <c r="AD383" s="203">
        <v>0</v>
      </c>
      <c r="AE383" s="203">
        <v>20000</v>
      </c>
      <c r="AF383" s="203">
        <f t="shared" si="148"/>
        <v>3000</v>
      </c>
      <c r="AG383" s="203">
        <v>1500</v>
      </c>
      <c r="AH383" s="203">
        <v>1500</v>
      </c>
      <c r="AI383" s="197">
        <f t="shared" si="144"/>
        <v>0</v>
      </c>
    </row>
    <row r="384" spans="1:35" s="198" customFormat="1" ht="26.1" customHeight="1">
      <c r="A384" s="190" t="s">
        <v>494</v>
      </c>
      <c r="B384" s="191" t="s">
        <v>272</v>
      </c>
      <c r="C384" s="201" t="s">
        <v>621</v>
      </c>
      <c r="D384" s="202" t="s">
        <v>493</v>
      </c>
      <c r="E384" s="203">
        <f t="shared" si="147"/>
        <v>3000</v>
      </c>
      <c r="F384" s="203">
        <v>3000</v>
      </c>
      <c r="G384" s="203">
        <v>0</v>
      </c>
      <c r="H384" s="204">
        <f t="shared" si="149"/>
        <v>800</v>
      </c>
      <c r="I384" s="203">
        <v>0</v>
      </c>
      <c r="J384" s="203">
        <v>0</v>
      </c>
      <c r="K384" s="203">
        <v>0</v>
      </c>
      <c r="L384" s="203">
        <v>0</v>
      </c>
      <c r="M384" s="203">
        <v>0</v>
      </c>
      <c r="N384" s="203">
        <v>0</v>
      </c>
      <c r="O384" s="205">
        <v>800</v>
      </c>
      <c r="P384" s="205">
        <f t="shared" si="150"/>
        <v>1150</v>
      </c>
      <c r="Q384" s="203">
        <v>0</v>
      </c>
      <c r="R384" s="203">
        <v>0</v>
      </c>
      <c r="S384" s="203">
        <v>0</v>
      </c>
      <c r="T384" s="203">
        <v>0</v>
      </c>
      <c r="U384" s="203">
        <v>0</v>
      </c>
      <c r="V384" s="203">
        <v>0</v>
      </c>
      <c r="W384" s="203">
        <v>0</v>
      </c>
      <c r="X384" s="203">
        <v>0</v>
      </c>
      <c r="Y384" s="203">
        <v>0</v>
      </c>
      <c r="Z384" s="203">
        <v>0</v>
      </c>
      <c r="AA384" s="203">
        <v>125</v>
      </c>
      <c r="AB384" s="203">
        <v>0</v>
      </c>
      <c r="AC384" s="203">
        <v>0</v>
      </c>
      <c r="AD384" s="203">
        <v>0</v>
      </c>
      <c r="AE384" s="203">
        <v>1025</v>
      </c>
      <c r="AF384" s="203">
        <f t="shared" si="148"/>
        <v>1050</v>
      </c>
      <c r="AG384" s="203">
        <v>150</v>
      </c>
      <c r="AH384" s="203">
        <v>900</v>
      </c>
      <c r="AI384" s="197">
        <f t="shared" si="144"/>
        <v>0</v>
      </c>
    </row>
    <row r="385" spans="1:35" s="198" customFormat="1" ht="26.1" customHeight="1">
      <c r="A385" s="190" t="s">
        <v>494</v>
      </c>
      <c r="B385" s="191" t="s">
        <v>272</v>
      </c>
      <c r="C385" s="201" t="s">
        <v>622</v>
      </c>
      <c r="D385" s="202" t="s">
        <v>493</v>
      </c>
      <c r="E385" s="203">
        <f t="shared" si="147"/>
        <v>2000</v>
      </c>
      <c r="F385" s="203">
        <v>2000</v>
      </c>
      <c r="G385" s="203">
        <v>0</v>
      </c>
      <c r="H385" s="204">
        <f t="shared" si="149"/>
        <v>0</v>
      </c>
      <c r="I385" s="203">
        <v>0</v>
      </c>
      <c r="J385" s="203">
        <v>0</v>
      </c>
      <c r="K385" s="203">
        <v>0</v>
      </c>
      <c r="L385" s="203">
        <v>0</v>
      </c>
      <c r="M385" s="203">
        <v>0</v>
      </c>
      <c r="N385" s="203">
        <v>0</v>
      </c>
      <c r="O385" s="205">
        <v>0</v>
      </c>
      <c r="P385" s="205">
        <f t="shared" si="150"/>
        <v>2000</v>
      </c>
      <c r="Q385" s="203">
        <v>0</v>
      </c>
      <c r="R385" s="203">
        <v>0</v>
      </c>
      <c r="S385" s="203">
        <v>0</v>
      </c>
      <c r="T385" s="203">
        <v>0</v>
      </c>
      <c r="U385" s="203">
        <v>0</v>
      </c>
      <c r="V385" s="203">
        <v>0</v>
      </c>
      <c r="W385" s="203">
        <v>0</v>
      </c>
      <c r="X385" s="203">
        <v>0</v>
      </c>
      <c r="Y385" s="203">
        <v>0</v>
      </c>
      <c r="Z385" s="203">
        <v>0</v>
      </c>
      <c r="AA385" s="203">
        <v>0</v>
      </c>
      <c r="AB385" s="203">
        <v>0</v>
      </c>
      <c r="AC385" s="203">
        <v>0</v>
      </c>
      <c r="AD385" s="203">
        <v>0</v>
      </c>
      <c r="AE385" s="203">
        <v>2000</v>
      </c>
      <c r="AF385" s="203">
        <f t="shared" si="148"/>
        <v>0</v>
      </c>
      <c r="AG385" s="203">
        <v>0</v>
      </c>
      <c r="AH385" s="203">
        <v>0</v>
      </c>
      <c r="AI385" s="197">
        <f t="shared" si="144"/>
        <v>0</v>
      </c>
    </row>
    <row r="386" spans="1:35" s="198" customFormat="1" ht="26.1" customHeight="1">
      <c r="A386" s="190" t="s">
        <v>494</v>
      </c>
      <c r="B386" s="191" t="s">
        <v>272</v>
      </c>
      <c r="C386" s="201" t="s">
        <v>623</v>
      </c>
      <c r="D386" s="202" t="s">
        <v>493</v>
      </c>
      <c r="E386" s="203">
        <f t="shared" si="147"/>
        <v>5000</v>
      </c>
      <c r="F386" s="203">
        <v>5000</v>
      </c>
      <c r="G386" s="203">
        <v>0</v>
      </c>
      <c r="H386" s="204">
        <f t="shared" si="149"/>
        <v>3000</v>
      </c>
      <c r="I386" s="203">
        <v>0</v>
      </c>
      <c r="J386" s="203">
        <v>0</v>
      </c>
      <c r="K386" s="203">
        <v>900</v>
      </c>
      <c r="L386" s="203">
        <v>600</v>
      </c>
      <c r="M386" s="203">
        <v>0</v>
      </c>
      <c r="N386" s="203">
        <v>900</v>
      </c>
      <c r="O386" s="205">
        <v>600</v>
      </c>
      <c r="P386" s="205">
        <f t="shared" si="150"/>
        <v>2000</v>
      </c>
      <c r="Q386" s="203">
        <v>0</v>
      </c>
      <c r="R386" s="203">
        <v>0</v>
      </c>
      <c r="S386" s="203">
        <v>0</v>
      </c>
      <c r="T386" s="203">
        <v>0</v>
      </c>
      <c r="U386" s="203">
        <v>0</v>
      </c>
      <c r="V386" s="203">
        <v>400</v>
      </c>
      <c r="W386" s="203">
        <v>0</v>
      </c>
      <c r="X386" s="203">
        <v>0</v>
      </c>
      <c r="Y386" s="203">
        <v>400</v>
      </c>
      <c r="Z386" s="203">
        <v>0</v>
      </c>
      <c r="AA386" s="203">
        <v>400</v>
      </c>
      <c r="AB386" s="203">
        <v>0</v>
      </c>
      <c r="AC386" s="203">
        <v>0</v>
      </c>
      <c r="AD386" s="203">
        <v>0</v>
      </c>
      <c r="AE386" s="203">
        <v>800</v>
      </c>
      <c r="AF386" s="203">
        <f t="shared" si="148"/>
        <v>0</v>
      </c>
      <c r="AG386" s="203">
        <v>0</v>
      </c>
      <c r="AH386" s="203">
        <v>0</v>
      </c>
      <c r="AI386" s="197">
        <f t="shared" si="144"/>
        <v>0</v>
      </c>
    </row>
    <row r="387" spans="1:35" s="198" customFormat="1" ht="26.1" customHeight="1">
      <c r="A387" s="190" t="s">
        <v>494</v>
      </c>
      <c r="B387" s="191" t="s">
        <v>272</v>
      </c>
      <c r="C387" s="201" t="s">
        <v>624</v>
      </c>
      <c r="D387" s="202" t="s">
        <v>493</v>
      </c>
      <c r="E387" s="203">
        <f t="shared" si="147"/>
        <v>18000</v>
      </c>
      <c r="F387" s="203">
        <v>18000</v>
      </c>
      <c r="G387" s="203">
        <v>0</v>
      </c>
      <c r="H387" s="204">
        <f t="shared" si="149"/>
        <v>4000</v>
      </c>
      <c r="I387" s="203">
        <v>0</v>
      </c>
      <c r="J387" s="203">
        <v>0</v>
      </c>
      <c r="K387" s="203">
        <v>0</v>
      </c>
      <c r="L387" s="203">
        <v>0</v>
      </c>
      <c r="M387" s="203">
        <v>0</v>
      </c>
      <c r="N387" s="203">
        <v>0</v>
      </c>
      <c r="O387" s="205">
        <v>4000</v>
      </c>
      <c r="P387" s="205">
        <f t="shared" si="150"/>
        <v>14000</v>
      </c>
      <c r="Q387" s="203">
        <v>0</v>
      </c>
      <c r="R387" s="203">
        <v>0</v>
      </c>
      <c r="S387" s="203">
        <v>0</v>
      </c>
      <c r="T387" s="203">
        <v>0</v>
      </c>
      <c r="U387" s="203">
        <v>0</v>
      </c>
      <c r="V387" s="203">
        <v>0</v>
      </c>
      <c r="W387" s="203">
        <v>0</v>
      </c>
      <c r="X387" s="203">
        <v>0</v>
      </c>
      <c r="Y387" s="203">
        <v>0</v>
      </c>
      <c r="Z387" s="203">
        <v>0</v>
      </c>
      <c r="AA387" s="203">
        <v>0</v>
      </c>
      <c r="AB387" s="203">
        <v>0</v>
      </c>
      <c r="AC387" s="203">
        <v>0</v>
      </c>
      <c r="AD387" s="203">
        <v>0</v>
      </c>
      <c r="AE387" s="203">
        <v>14000</v>
      </c>
      <c r="AF387" s="203">
        <f t="shared" si="148"/>
        <v>0</v>
      </c>
      <c r="AG387" s="203">
        <v>0</v>
      </c>
      <c r="AH387" s="203">
        <v>0</v>
      </c>
      <c r="AI387" s="197">
        <f t="shared" si="144"/>
        <v>0</v>
      </c>
    </row>
    <row r="388" spans="1:35" s="198" customFormat="1" ht="26.1" customHeight="1">
      <c r="A388" s="190" t="s">
        <v>494</v>
      </c>
      <c r="B388" s="191" t="s">
        <v>272</v>
      </c>
      <c r="C388" s="201" t="s">
        <v>625</v>
      </c>
      <c r="D388" s="202" t="s">
        <v>493</v>
      </c>
      <c r="E388" s="203">
        <f t="shared" si="147"/>
        <v>36800</v>
      </c>
      <c r="F388" s="203">
        <v>36800</v>
      </c>
      <c r="G388" s="203">
        <v>0</v>
      </c>
      <c r="H388" s="204">
        <f t="shared" si="149"/>
        <v>10000</v>
      </c>
      <c r="I388" s="203">
        <v>0</v>
      </c>
      <c r="J388" s="203">
        <v>0</v>
      </c>
      <c r="K388" s="203">
        <v>0</v>
      </c>
      <c r="L388" s="203">
        <v>0</v>
      </c>
      <c r="M388" s="203">
        <v>0</v>
      </c>
      <c r="N388" s="203">
        <v>0</v>
      </c>
      <c r="O388" s="205">
        <v>10000</v>
      </c>
      <c r="P388" s="205">
        <f t="shared" si="150"/>
        <v>26800</v>
      </c>
      <c r="Q388" s="203">
        <v>0</v>
      </c>
      <c r="R388" s="203">
        <v>0</v>
      </c>
      <c r="S388" s="203">
        <v>0</v>
      </c>
      <c r="T388" s="203">
        <v>0</v>
      </c>
      <c r="U388" s="203">
        <v>0</v>
      </c>
      <c r="V388" s="203">
        <v>0</v>
      </c>
      <c r="W388" s="203">
        <v>0</v>
      </c>
      <c r="X388" s="203">
        <v>0</v>
      </c>
      <c r="Y388" s="203">
        <v>0</v>
      </c>
      <c r="Z388" s="203">
        <v>0</v>
      </c>
      <c r="AA388" s="203">
        <v>0</v>
      </c>
      <c r="AB388" s="203">
        <v>0</v>
      </c>
      <c r="AC388" s="203">
        <v>0</v>
      </c>
      <c r="AD388" s="203">
        <v>0</v>
      </c>
      <c r="AE388" s="203">
        <v>26800</v>
      </c>
      <c r="AF388" s="203">
        <f t="shared" si="148"/>
        <v>0</v>
      </c>
      <c r="AG388" s="203">
        <v>0</v>
      </c>
      <c r="AH388" s="203">
        <v>0</v>
      </c>
      <c r="AI388" s="197">
        <f t="shared" si="144"/>
        <v>0</v>
      </c>
    </row>
    <row r="389" spans="1:35" s="198" customFormat="1" ht="26.1" customHeight="1">
      <c r="A389" s="190" t="s">
        <v>494</v>
      </c>
      <c r="B389" s="191" t="s">
        <v>272</v>
      </c>
      <c r="C389" s="201" t="s">
        <v>626</v>
      </c>
      <c r="D389" s="202" t="s">
        <v>493</v>
      </c>
      <c r="E389" s="203">
        <f t="shared" si="147"/>
        <v>18500</v>
      </c>
      <c r="F389" s="203">
        <v>18500</v>
      </c>
      <c r="G389" s="203">
        <v>0</v>
      </c>
      <c r="H389" s="204">
        <f t="shared" si="149"/>
        <v>3500</v>
      </c>
      <c r="I389" s="203">
        <v>0</v>
      </c>
      <c r="J389" s="203">
        <v>0</v>
      </c>
      <c r="K389" s="203">
        <v>0</v>
      </c>
      <c r="L389" s="203">
        <v>0</v>
      </c>
      <c r="M389" s="203">
        <v>0</v>
      </c>
      <c r="N389" s="203">
        <v>0</v>
      </c>
      <c r="O389" s="205">
        <v>3500</v>
      </c>
      <c r="P389" s="205">
        <f t="shared" si="150"/>
        <v>15000</v>
      </c>
      <c r="Q389" s="203">
        <v>0</v>
      </c>
      <c r="R389" s="203">
        <v>0</v>
      </c>
      <c r="S389" s="203">
        <v>0</v>
      </c>
      <c r="T389" s="203">
        <v>0</v>
      </c>
      <c r="U389" s="203">
        <v>0</v>
      </c>
      <c r="V389" s="203">
        <v>0</v>
      </c>
      <c r="W389" s="203">
        <v>0</v>
      </c>
      <c r="X389" s="203">
        <v>0</v>
      </c>
      <c r="Y389" s="203">
        <v>0</v>
      </c>
      <c r="Z389" s="203">
        <v>0</v>
      </c>
      <c r="AA389" s="203">
        <v>0</v>
      </c>
      <c r="AB389" s="203">
        <v>0</v>
      </c>
      <c r="AC389" s="203">
        <v>0</v>
      </c>
      <c r="AD389" s="203">
        <v>0</v>
      </c>
      <c r="AE389" s="203">
        <v>15000</v>
      </c>
      <c r="AF389" s="203">
        <f t="shared" si="148"/>
        <v>0</v>
      </c>
      <c r="AG389" s="203">
        <v>0</v>
      </c>
      <c r="AH389" s="203">
        <v>0</v>
      </c>
      <c r="AI389" s="197">
        <f t="shared" si="144"/>
        <v>0</v>
      </c>
    </row>
    <row r="390" spans="1:35" s="198" customFormat="1" ht="26.1" customHeight="1">
      <c r="A390" s="190" t="s">
        <v>494</v>
      </c>
      <c r="B390" s="191" t="s">
        <v>272</v>
      </c>
      <c r="C390" s="201" t="s">
        <v>627</v>
      </c>
      <c r="D390" s="202" t="s">
        <v>493</v>
      </c>
      <c r="E390" s="203">
        <f t="shared" si="147"/>
        <v>4000</v>
      </c>
      <c r="F390" s="203">
        <v>2000</v>
      </c>
      <c r="G390" s="203">
        <v>2000</v>
      </c>
      <c r="H390" s="204">
        <f t="shared" si="149"/>
        <v>1000</v>
      </c>
      <c r="I390" s="203">
        <v>0</v>
      </c>
      <c r="J390" s="203">
        <v>0</v>
      </c>
      <c r="K390" s="203">
        <v>0</v>
      </c>
      <c r="L390" s="203">
        <v>0</v>
      </c>
      <c r="M390" s="203">
        <v>0</v>
      </c>
      <c r="N390" s="203">
        <v>0</v>
      </c>
      <c r="O390" s="205">
        <v>1000</v>
      </c>
      <c r="P390" s="205">
        <f t="shared" si="150"/>
        <v>3000</v>
      </c>
      <c r="Q390" s="203">
        <v>0</v>
      </c>
      <c r="R390" s="203">
        <v>0</v>
      </c>
      <c r="S390" s="203">
        <v>0</v>
      </c>
      <c r="T390" s="203">
        <v>0</v>
      </c>
      <c r="U390" s="203">
        <v>0</v>
      </c>
      <c r="V390" s="203">
        <v>0</v>
      </c>
      <c r="W390" s="203">
        <v>0</v>
      </c>
      <c r="X390" s="203">
        <v>0</v>
      </c>
      <c r="Y390" s="203">
        <v>0</v>
      </c>
      <c r="Z390" s="203">
        <v>0</v>
      </c>
      <c r="AA390" s="203">
        <v>0</v>
      </c>
      <c r="AB390" s="203">
        <v>0</v>
      </c>
      <c r="AC390" s="203">
        <v>0</v>
      </c>
      <c r="AD390" s="203">
        <v>0</v>
      </c>
      <c r="AE390" s="203">
        <v>3000</v>
      </c>
      <c r="AF390" s="203">
        <f t="shared" si="148"/>
        <v>0</v>
      </c>
      <c r="AG390" s="203">
        <v>0</v>
      </c>
      <c r="AH390" s="203">
        <v>0</v>
      </c>
      <c r="AI390" s="197">
        <f t="shared" si="144"/>
        <v>0</v>
      </c>
    </row>
    <row r="391" spans="1:35" s="198" customFormat="1" ht="26.1" customHeight="1">
      <c r="A391" s="190" t="s">
        <v>494</v>
      </c>
      <c r="B391" s="191" t="s">
        <v>272</v>
      </c>
      <c r="C391" s="201" t="s">
        <v>628</v>
      </c>
      <c r="D391" s="202" t="s">
        <v>493</v>
      </c>
      <c r="E391" s="203">
        <f t="shared" si="147"/>
        <v>400</v>
      </c>
      <c r="F391" s="203">
        <v>400</v>
      </c>
      <c r="G391" s="203">
        <v>0</v>
      </c>
      <c r="H391" s="204">
        <f t="shared" si="149"/>
        <v>200</v>
      </c>
      <c r="I391" s="203">
        <v>0</v>
      </c>
      <c r="J391" s="203">
        <v>0</v>
      </c>
      <c r="K391" s="203">
        <v>0</v>
      </c>
      <c r="L391" s="203">
        <v>0</v>
      </c>
      <c r="M391" s="203">
        <v>0</v>
      </c>
      <c r="N391" s="203">
        <v>0</v>
      </c>
      <c r="O391" s="205">
        <v>200</v>
      </c>
      <c r="P391" s="205">
        <f t="shared" si="150"/>
        <v>200</v>
      </c>
      <c r="Q391" s="203">
        <v>0</v>
      </c>
      <c r="R391" s="203">
        <v>0</v>
      </c>
      <c r="S391" s="203">
        <v>0</v>
      </c>
      <c r="T391" s="203">
        <v>0</v>
      </c>
      <c r="U391" s="203">
        <v>0</v>
      </c>
      <c r="V391" s="203">
        <v>0</v>
      </c>
      <c r="W391" s="203">
        <v>0</v>
      </c>
      <c r="X391" s="203">
        <v>0</v>
      </c>
      <c r="Y391" s="203">
        <v>0</v>
      </c>
      <c r="Z391" s="203">
        <v>0</v>
      </c>
      <c r="AA391" s="203">
        <v>0</v>
      </c>
      <c r="AB391" s="203">
        <v>0</v>
      </c>
      <c r="AC391" s="203">
        <v>0</v>
      </c>
      <c r="AD391" s="203">
        <v>0</v>
      </c>
      <c r="AE391" s="203">
        <v>200</v>
      </c>
      <c r="AF391" s="203">
        <f t="shared" si="148"/>
        <v>0</v>
      </c>
      <c r="AG391" s="203">
        <v>0</v>
      </c>
      <c r="AH391" s="203">
        <v>0</v>
      </c>
      <c r="AI391" s="197">
        <f t="shared" si="144"/>
        <v>0</v>
      </c>
    </row>
    <row r="392" spans="1:35" s="198" customFormat="1" ht="26.1" customHeight="1">
      <c r="A392" s="190"/>
      <c r="B392" s="191"/>
      <c r="C392" s="201"/>
      <c r="D392" s="202"/>
      <c r="E392" s="213">
        <f>SUM(E393:E396)</f>
        <v>600851</v>
      </c>
      <c r="F392" s="203">
        <f t="shared" ref="F392:AH392" si="151">SUM(F393:F396)</f>
        <v>138135</v>
      </c>
      <c r="G392" s="203">
        <f t="shared" si="151"/>
        <v>462716</v>
      </c>
      <c r="H392" s="213">
        <f t="shared" si="151"/>
        <v>207063</v>
      </c>
      <c r="I392" s="203">
        <f t="shared" si="151"/>
        <v>7911</v>
      </c>
      <c r="J392" s="203">
        <f t="shared" si="151"/>
        <v>36399</v>
      </c>
      <c r="K392" s="203"/>
      <c r="L392" s="203">
        <f t="shared" si="151"/>
        <v>39025</v>
      </c>
      <c r="M392" s="203">
        <f t="shared" si="151"/>
        <v>49845</v>
      </c>
      <c r="N392" s="203">
        <f t="shared" si="151"/>
        <v>39025</v>
      </c>
      <c r="O392" s="203">
        <f t="shared" si="151"/>
        <v>1780</v>
      </c>
      <c r="P392" s="213">
        <f t="shared" si="151"/>
        <v>348358</v>
      </c>
      <c r="Q392" s="203">
        <f t="shared" si="151"/>
        <v>18460</v>
      </c>
      <c r="R392" s="203">
        <f t="shared" si="151"/>
        <v>14752</v>
      </c>
      <c r="S392" s="203">
        <f t="shared" si="151"/>
        <v>18455</v>
      </c>
      <c r="T392" s="203">
        <f t="shared" si="151"/>
        <v>16470</v>
      </c>
      <c r="U392" s="203">
        <f t="shared" si="151"/>
        <v>23423</v>
      </c>
      <c r="V392" s="203">
        <f t="shared" si="151"/>
        <v>18710</v>
      </c>
      <c r="W392" s="203">
        <f t="shared" si="151"/>
        <v>27125</v>
      </c>
      <c r="X392" s="203">
        <f t="shared" si="151"/>
        <v>32771</v>
      </c>
      <c r="Y392" s="203">
        <f t="shared" si="151"/>
        <v>23875</v>
      </c>
      <c r="Z392" s="203">
        <f t="shared" si="151"/>
        <v>34589</v>
      </c>
      <c r="AA392" s="203">
        <f t="shared" si="151"/>
        <v>39204</v>
      </c>
      <c r="AB392" s="203">
        <f t="shared" si="151"/>
        <v>17300</v>
      </c>
      <c r="AC392" s="203">
        <f t="shared" si="151"/>
        <v>31585</v>
      </c>
      <c r="AD392" s="203">
        <f t="shared" si="151"/>
        <v>29655</v>
      </c>
      <c r="AE392" s="203">
        <f t="shared" si="151"/>
        <v>1984</v>
      </c>
      <c r="AF392" s="213">
        <f t="shared" si="151"/>
        <v>45430</v>
      </c>
      <c r="AG392" s="203">
        <f t="shared" si="151"/>
        <v>25725</v>
      </c>
      <c r="AH392" s="203">
        <f t="shared" si="151"/>
        <v>19705</v>
      </c>
      <c r="AI392" s="197">
        <f t="shared" ref="AI392:AI399" si="152">IF(+F392+G392=E392,0,FALSE)</f>
        <v>0</v>
      </c>
    </row>
    <row r="393" spans="1:35" s="198" customFormat="1" ht="26.1" customHeight="1">
      <c r="A393" s="190" t="s">
        <v>494</v>
      </c>
      <c r="B393" s="191" t="s">
        <v>629</v>
      </c>
      <c r="C393" s="201" t="s">
        <v>630</v>
      </c>
      <c r="D393" s="202" t="s">
        <v>493</v>
      </c>
      <c r="E393" s="203">
        <f>SUM(H393,P393,AF393)</f>
        <v>59101</v>
      </c>
      <c r="F393" s="203">
        <v>33185</v>
      </c>
      <c r="G393" s="203">
        <v>25916</v>
      </c>
      <c r="H393" s="204">
        <f>SUM(I393:O393)</f>
        <v>21056</v>
      </c>
      <c r="I393" s="203">
        <v>1003</v>
      </c>
      <c r="J393" s="203">
        <v>3020</v>
      </c>
      <c r="K393" s="203">
        <v>3820</v>
      </c>
      <c r="L393" s="203">
        <v>4840</v>
      </c>
      <c r="M393" s="203">
        <v>4803</v>
      </c>
      <c r="N393" s="203">
        <v>3570</v>
      </c>
      <c r="O393" s="205">
        <v>0</v>
      </c>
      <c r="P393" s="205">
        <f>SUM(Q393:AE393)</f>
        <v>31745</v>
      </c>
      <c r="Q393" s="203">
        <v>2030</v>
      </c>
      <c r="R393" s="203">
        <v>1522</v>
      </c>
      <c r="S393" s="203">
        <v>1740</v>
      </c>
      <c r="T393" s="203">
        <v>1795</v>
      </c>
      <c r="U393" s="203">
        <v>3028</v>
      </c>
      <c r="V393" s="203">
        <v>1865</v>
      </c>
      <c r="W393" s="203">
        <v>2145</v>
      </c>
      <c r="X393" s="203">
        <v>2711</v>
      </c>
      <c r="Y393" s="203">
        <v>2580</v>
      </c>
      <c r="Z393" s="203">
        <v>2300</v>
      </c>
      <c r="AA393" s="203">
        <v>1830</v>
      </c>
      <c r="AB393" s="203">
        <v>1715</v>
      </c>
      <c r="AC393" s="203">
        <v>1515</v>
      </c>
      <c r="AD393" s="203">
        <v>2985</v>
      </c>
      <c r="AE393" s="203">
        <v>1984</v>
      </c>
      <c r="AF393" s="203">
        <f>SUM(AG393:AH393)</f>
        <v>6300</v>
      </c>
      <c r="AG393" s="203">
        <v>4500</v>
      </c>
      <c r="AH393" s="203">
        <v>1800</v>
      </c>
      <c r="AI393" s="197">
        <f t="shared" si="152"/>
        <v>0</v>
      </c>
    </row>
    <row r="394" spans="1:35" s="198" customFormat="1" ht="26.1" customHeight="1">
      <c r="A394" s="190" t="s">
        <v>494</v>
      </c>
      <c r="B394" s="191" t="s">
        <v>629</v>
      </c>
      <c r="C394" s="201" t="s">
        <v>631</v>
      </c>
      <c r="D394" s="202" t="s">
        <v>493</v>
      </c>
      <c r="E394" s="203">
        <f>SUM(H394,P394,AF394)</f>
        <v>316650</v>
      </c>
      <c r="F394" s="203">
        <v>54400</v>
      </c>
      <c r="G394" s="203">
        <v>262250</v>
      </c>
      <c r="H394" s="204">
        <f>SUM(I394:O394)</f>
        <v>146557</v>
      </c>
      <c r="I394" s="203">
        <v>3300</v>
      </c>
      <c r="J394" s="203">
        <v>25695</v>
      </c>
      <c r="K394" s="203">
        <v>24900</v>
      </c>
      <c r="L394" s="203">
        <v>27860</v>
      </c>
      <c r="M394" s="203">
        <v>34717</v>
      </c>
      <c r="N394" s="203">
        <v>28305</v>
      </c>
      <c r="O394" s="205">
        <v>1780</v>
      </c>
      <c r="P394" s="205">
        <f>SUM(Q394:AE394)</f>
        <v>162093</v>
      </c>
      <c r="Q394" s="203">
        <v>9530</v>
      </c>
      <c r="R394" s="203">
        <v>9530</v>
      </c>
      <c r="S394" s="203">
        <v>10315</v>
      </c>
      <c r="T394" s="203">
        <v>10330</v>
      </c>
      <c r="U394" s="203">
        <v>11930</v>
      </c>
      <c r="V394" s="203">
        <v>11250</v>
      </c>
      <c r="W394" s="203">
        <v>12040</v>
      </c>
      <c r="X394" s="203">
        <v>11060</v>
      </c>
      <c r="Y394" s="203">
        <v>8450</v>
      </c>
      <c r="Z394" s="203">
        <v>12139</v>
      </c>
      <c r="AA394" s="203">
        <v>25019</v>
      </c>
      <c r="AB394" s="203">
        <v>11540</v>
      </c>
      <c r="AC394" s="203">
        <v>9430</v>
      </c>
      <c r="AD394" s="203">
        <v>9530</v>
      </c>
      <c r="AE394" s="203">
        <v>0</v>
      </c>
      <c r="AF394" s="203">
        <f>SUM(AG394:AH394)</f>
        <v>8000</v>
      </c>
      <c r="AG394" s="203">
        <v>7000</v>
      </c>
      <c r="AH394" s="203">
        <v>1000</v>
      </c>
      <c r="AI394" s="197">
        <f t="shared" si="152"/>
        <v>0</v>
      </c>
    </row>
    <row r="395" spans="1:35" s="198" customFormat="1" ht="26.1" customHeight="1">
      <c r="A395" s="190" t="s">
        <v>494</v>
      </c>
      <c r="B395" s="191" t="s">
        <v>629</v>
      </c>
      <c r="C395" s="201" t="s">
        <v>632</v>
      </c>
      <c r="D395" s="202" t="s">
        <v>493</v>
      </c>
      <c r="E395" s="203">
        <f>SUM(H395,P395,AF395)</f>
        <v>32050</v>
      </c>
      <c r="F395" s="203">
        <v>12000</v>
      </c>
      <c r="G395" s="203">
        <v>20050</v>
      </c>
      <c r="H395" s="204">
        <f>SUM(I395:O395)</f>
        <v>10500</v>
      </c>
      <c r="I395" s="203">
        <v>358</v>
      </c>
      <c r="J395" s="203">
        <v>2534</v>
      </c>
      <c r="K395" s="203">
        <v>858</v>
      </c>
      <c r="L395" s="203">
        <v>1075</v>
      </c>
      <c r="M395" s="203">
        <v>4525</v>
      </c>
      <c r="N395" s="203">
        <v>1150</v>
      </c>
      <c r="O395" s="205">
        <v>0</v>
      </c>
      <c r="P395" s="205">
        <f>SUM(Q395:AE395)</f>
        <v>18270</v>
      </c>
      <c r="Q395" s="203">
        <v>1450</v>
      </c>
      <c r="R395" s="203">
        <v>500</v>
      </c>
      <c r="S395" s="203">
        <v>800</v>
      </c>
      <c r="T395" s="203">
        <v>845</v>
      </c>
      <c r="U395" s="203">
        <v>5065</v>
      </c>
      <c r="V395" s="203">
        <v>1345</v>
      </c>
      <c r="W395" s="203">
        <v>1440</v>
      </c>
      <c r="X395" s="203">
        <v>1290</v>
      </c>
      <c r="Y395" s="203">
        <v>1270</v>
      </c>
      <c r="Z395" s="203">
        <v>1475</v>
      </c>
      <c r="AA395" s="203">
        <v>780</v>
      </c>
      <c r="AB395" s="203">
        <v>545</v>
      </c>
      <c r="AC395" s="203">
        <v>200</v>
      </c>
      <c r="AD395" s="203">
        <v>1265</v>
      </c>
      <c r="AE395" s="203">
        <v>0</v>
      </c>
      <c r="AF395" s="203">
        <f>SUM(AG395:AH395)</f>
        <v>3280</v>
      </c>
      <c r="AG395" s="203">
        <v>300</v>
      </c>
      <c r="AH395" s="203">
        <v>2980</v>
      </c>
      <c r="AI395" s="197">
        <f t="shared" si="152"/>
        <v>0</v>
      </c>
    </row>
    <row r="396" spans="1:35" s="198" customFormat="1" ht="26.1" customHeight="1">
      <c r="A396" s="190" t="s">
        <v>494</v>
      </c>
      <c r="B396" s="191" t="s">
        <v>629</v>
      </c>
      <c r="C396" s="201" t="s">
        <v>633</v>
      </c>
      <c r="D396" s="202" t="s">
        <v>493</v>
      </c>
      <c r="E396" s="203">
        <f>SUM(H396,P396,AF396)</f>
        <v>193050</v>
      </c>
      <c r="F396" s="203">
        <v>38550</v>
      </c>
      <c r="G396" s="203">
        <v>154500</v>
      </c>
      <c r="H396" s="204">
        <f>SUM(I396:O396)</f>
        <v>28950</v>
      </c>
      <c r="I396" s="203">
        <v>3250</v>
      </c>
      <c r="J396" s="203">
        <v>5150</v>
      </c>
      <c r="K396" s="203">
        <v>3500</v>
      </c>
      <c r="L396" s="203">
        <v>5250</v>
      </c>
      <c r="M396" s="203">
        <v>5800</v>
      </c>
      <c r="N396" s="203">
        <v>6000</v>
      </c>
      <c r="O396" s="205">
        <v>0</v>
      </c>
      <c r="P396" s="205">
        <f>SUM(Q396:AE396)</f>
        <v>136250</v>
      </c>
      <c r="Q396" s="203">
        <v>5450</v>
      </c>
      <c r="R396" s="203">
        <v>3200</v>
      </c>
      <c r="S396" s="203">
        <v>5600</v>
      </c>
      <c r="T396" s="203">
        <v>3500</v>
      </c>
      <c r="U396" s="203">
        <v>3400</v>
      </c>
      <c r="V396" s="203">
        <v>4250</v>
      </c>
      <c r="W396" s="203">
        <v>11500</v>
      </c>
      <c r="X396" s="203">
        <v>17710</v>
      </c>
      <c r="Y396" s="203">
        <v>11575</v>
      </c>
      <c r="Z396" s="203">
        <v>18675</v>
      </c>
      <c r="AA396" s="203">
        <v>11575</v>
      </c>
      <c r="AB396" s="203">
        <v>3500</v>
      </c>
      <c r="AC396" s="203">
        <v>20440</v>
      </c>
      <c r="AD396" s="203">
        <v>15875</v>
      </c>
      <c r="AE396" s="203">
        <v>0</v>
      </c>
      <c r="AF396" s="203">
        <f>SUM(AG396:AH396)</f>
        <v>27850</v>
      </c>
      <c r="AG396" s="203">
        <v>13925</v>
      </c>
      <c r="AH396" s="203">
        <v>13925</v>
      </c>
      <c r="AI396" s="197">
        <f t="shared" si="152"/>
        <v>0</v>
      </c>
    </row>
    <row r="397" spans="1:35" s="198" customFormat="1" ht="26.1" customHeight="1">
      <c r="A397" s="190"/>
      <c r="B397" s="191"/>
      <c r="C397" s="201"/>
      <c r="D397" s="202"/>
      <c r="E397" s="207">
        <f>SUM(E398:E399)</f>
        <v>32296</v>
      </c>
      <c r="F397" s="203">
        <f t="shared" ref="F397:AF397" si="153">SUM(F398:F399)</f>
        <v>350</v>
      </c>
      <c r="G397" s="203">
        <f t="shared" si="153"/>
        <v>31946</v>
      </c>
      <c r="H397" s="203">
        <f t="shared" si="153"/>
        <v>0</v>
      </c>
      <c r="I397" s="203">
        <f t="shared" si="153"/>
        <v>0</v>
      </c>
      <c r="J397" s="203">
        <f t="shared" si="153"/>
        <v>0</v>
      </c>
      <c r="K397" s="203">
        <f t="shared" si="153"/>
        <v>0</v>
      </c>
      <c r="L397" s="203">
        <f t="shared" si="153"/>
        <v>0</v>
      </c>
      <c r="M397" s="203">
        <f t="shared" si="153"/>
        <v>0</v>
      </c>
      <c r="N397" s="203">
        <f t="shared" si="153"/>
        <v>0</v>
      </c>
      <c r="O397" s="203">
        <f t="shared" si="153"/>
        <v>0</v>
      </c>
      <c r="P397" s="203">
        <f t="shared" si="153"/>
        <v>0</v>
      </c>
      <c r="Q397" s="203">
        <f t="shared" si="153"/>
        <v>0</v>
      </c>
      <c r="R397" s="203">
        <f t="shared" si="153"/>
        <v>0</v>
      </c>
      <c r="S397" s="203">
        <f t="shared" si="153"/>
        <v>0</v>
      </c>
      <c r="T397" s="203">
        <f t="shared" si="153"/>
        <v>0</v>
      </c>
      <c r="U397" s="203">
        <f t="shared" si="153"/>
        <v>0</v>
      </c>
      <c r="V397" s="203">
        <f t="shared" si="153"/>
        <v>0</v>
      </c>
      <c r="W397" s="203">
        <f t="shared" si="153"/>
        <v>0</v>
      </c>
      <c r="X397" s="203">
        <f t="shared" si="153"/>
        <v>0</v>
      </c>
      <c r="Y397" s="203">
        <f t="shared" si="153"/>
        <v>0</v>
      </c>
      <c r="Z397" s="203">
        <f t="shared" si="153"/>
        <v>0</v>
      </c>
      <c r="AA397" s="203">
        <f t="shared" si="153"/>
        <v>0</v>
      </c>
      <c r="AB397" s="203">
        <f t="shared" si="153"/>
        <v>0</v>
      </c>
      <c r="AC397" s="203">
        <f t="shared" si="153"/>
        <v>0</v>
      </c>
      <c r="AD397" s="203">
        <f t="shared" si="153"/>
        <v>0</v>
      </c>
      <c r="AE397" s="203">
        <f t="shared" si="153"/>
        <v>0</v>
      </c>
      <c r="AF397" s="207">
        <f t="shared" si="153"/>
        <v>32296</v>
      </c>
      <c r="AG397" s="203"/>
      <c r="AH397" s="203"/>
      <c r="AI397" s="197">
        <f t="shared" si="152"/>
        <v>0</v>
      </c>
    </row>
    <row r="398" spans="1:35" s="198" customFormat="1" ht="26.1" customHeight="1">
      <c r="A398" s="200" t="s">
        <v>7</v>
      </c>
      <c r="B398" s="191" t="s">
        <v>199</v>
      </c>
      <c r="C398" s="201" t="s">
        <v>599</v>
      </c>
      <c r="D398" s="202">
        <v>9</v>
      </c>
      <c r="E398" s="203">
        <f>SUM(H398,P398,AF398)</f>
        <v>31946</v>
      </c>
      <c r="F398" s="203"/>
      <c r="G398" s="203">
        <v>31946</v>
      </c>
      <c r="H398" s="204">
        <f>SUM(I398:O398)</f>
        <v>0</v>
      </c>
      <c r="I398" s="203"/>
      <c r="J398" s="203"/>
      <c r="K398" s="203"/>
      <c r="L398" s="203"/>
      <c r="M398" s="203"/>
      <c r="N398" s="203"/>
      <c r="O398" s="205"/>
      <c r="P398" s="205">
        <f>SUM(Q398:AE398)</f>
        <v>0</v>
      </c>
      <c r="Q398" s="203"/>
      <c r="R398" s="203"/>
      <c r="S398" s="203"/>
      <c r="T398" s="203"/>
      <c r="U398" s="203"/>
      <c r="V398" s="203"/>
      <c r="W398" s="203"/>
      <c r="X398" s="203"/>
      <c r="Y398" s="203"/>
      <c r="Z398" s="203"/>
      <c r="AA398" s="203"/>
      <c r="AB398" s="203"/>
      <c r="AC398" s="203"/>
      <c r="AD398" s="203"/>
      <c r="AE398" s="203"/>
      <c r="AF398" s="203">
        <f>SUM(AG398:AH398)</f>
        <v>31946</v>
      </c>
      <c r="AG398" s="203">
        <v>18000</v>
      </c>
      <c r="AH398" s="203">
        <v>13946</v>
      </c>
      <c r="AI398" s="197">
        <f t="shared" si="152"/>
        <v>0</v>
      </c>
    </row>
    <row r="399" spans="1:35" s="198" customFormat="1" ht="26.1" customHeight="1">
      <c r="A399" s="190" t="s">
        <v>820</v>
      </c>
      <c r="B399" s="191" t="s">
        <v>199</v>
      </c>
      <c r="C399" s="201" t="s">
        <v>821</v>
      </c>
      <c r="D399" s="202">
        <v>1</v>
      </c>
      <c r="E399" s="203">
        <f>SUM(H399,P399,AF399)</f>
        <v>350</v>
      </c>
      <c r="F399" s="203">
        <v>350</v>
      </c>
      <c r="G399" s="203"/>
      <c r="H399" s="204">
        <f>SUM(I399:O399)</f>
        <v>0</v>
      </c>
      <c r="I399" s="203"/>
      <c r="J399" s="203"/>
      <c r="K399" s="203"/>
      <c r="L399" s="203"/>
      <c r="M399" s="203"/>
      <c r="N399" s="203"/>
      <c r="O399" s="205"/>
      <c r="P399" s="205">
        <f>SUM(Q399:AE399)</f>
        <v>0</v>
      </c>
      <c r="Q399" s="203"/>
      <c r="R399" s="203"/>
      <c r="S399" s="203"/>
      <c r="T399" s="203"/>
      <c r="U399" s="203"/>
      <c r="V399" s="203"/>
      <c r="W399" s="203"/>
      <c r="X399" s="203"/>
      <c r="Y399" s="203"/>
      <c r="Z399" s="203"/>
      <c r="AA399" s="203"/>
      <c r="AB399" s="203"/>
      <c r="AC399" s="203"/>
      <c r="AD399" s="203"/>
      <c r="AE399" s="203"/>
      <c r="AF399" s="203">
        <f>SUM(AG399:AH399)</f>
        <v>350</v>
      </c>
      <c r="AG399" s="203">
        <v>200</v>
      </c>
      <c r="AH399" s="203">
        <v>150</v>
      </c>
      <c r="AI399" s="197">
        <f t="shared" si="152"/>
        <v>0</v>
      </c>
    </row>
    <row r="400" spans="1:35" ht="14.25">
      <c r="A400" s="155" t="s">
        <v>490</v>
      </c>
      <c r="B400" s="156"/>
      <c r="C400" s="157"/>
      <c r="D400" s="157"/>
      <c r="E400" s="158"/>
      <c r="F400" s="158"/>
      <c r="G400" s="158"/>
      <c r="H400" s="158"/>
      <c r="I400" s="158"/>
      <c r="J400" s="158"/>
      <c r="K400" s="158"/>
      <c r="L400" s="158"/>
      <c r="M400" s="158"/>
      <c r="N400" s="158"/>
      <c r="O400" s="159"/>
      <c r="P400" s="160"/>
      <c r="Q400" s="158"/>
      <c r="R400" s="158"/>
      <c r="S400" s="158"/>
      <c r="T400" s="158"/>
      <c r="U400" s="158"/>
      <c r="V400" s="158"/>
      <c r="W400" s="158"/>
      <c r="X400" s="158"/>
      <c r="Y400" s="158"/>
      <c r="Z400" s="158"/>
      <c r="AA400" s="158"/>
      <c r="AB400" s="158"/>
      <c r="AC400" s="158"/>
      <c r="AD400" s="158"/>
      <c r="AE400" s="158"/>
      <c r="AF400" s="161"/>
      <c r="AG400" s="158"/>
      <c r="AH400" s="158"/>
    </row>
    <row r="402" spans="4:35" ht="15">
      <c r="D402" s="136">
        <v>1</v>
      </c>
      <c r="E402" s="195">
        <v>3420571</v>
      </c>
      <c r="F402" s="195">
        <v>2281385</v>
      </c>
      <c r="G402" s="195">
        <v>1139186</v>
      </c>
      <c r="H402" s="195">
        <v>959796</v>
      </c>
      <c r="I402" s="195">
        <v>75848</v>
      </c>
      <c r="J402" s="195">
        <v>167906</v>
      </c>
      <c r="K402" s="195">
        <v>142144</v>
      </c>
      <c r="L402" s="195">
        <v>155623</v>
      </c>
      <c r="M402" s="195">
        <v>111906</v>
      </c>
      <c r="N402" s="195">
        <v>257268</v>
      </c>
      <c r="O402" s="195">
        <v>49101</v>
      </c>
      <c r="P402" s="195">
        <v>2422688</v>
      </c>
      <c r="Q402" s="195">
        <v>178246</v>
      </c>
      <c r="R402" s="195">
        <v>204803</v>
      </c>
      <c r="S402" s="195">
        <v>204633</v>
      </c>
      <c r="T402" s="195">
        <v>82806</v>
      </c>
      <c r="U402" s="195">
        <v>172241</v>
      </c>
      <c r="V402" s="195">
        <v>57870</v>
      </c>
      <c r="W402" s="195">
        <v>134361</v>
      </c>
      <c r="X402" s="195">
        <v>415687</v>
      </c>
      <c r="Y402" s="195">
        <v>330365</v>
      </c>
      <c r="Z402" s="195">
        <v>353615</v>
      </c>
      <c r="AA402" s="195">
        <v>32595</v>
      </c>
      <c r="AB402" s="195">
        <v>42993</v>
      </c>
      <c r="AC402" s="195">
        <v>27407</v>
      </c>
      <c r="AD402" s="195">
        <v>18886</v>
      </c>
      <c r="AE402" s="195">
        <v>166180</v>
      </c>
      <c r="AF402" s="195">
        <v>38087</v>
      </c>
      <c r="AG402" s="195">
        <v>30307</v>
      </c>
      <c r="AH402" s="195">
        <v>7780</v>
      </c>
      <c r="AI402" s="197">
        <f>IF(+F402+G402=E402,0,FALSE)</f>
        <v>0</v>
      </c>
    </row>
    <row r="403" spans="4:35" ht="15">
      <c r="D403" s="136">
        <v>2</v>
      </c>
      <c r="E403" s="195"/>
      <c r="F403" s="195"/>
      <c r="G403" s="195"/>
      <c r="H403" s="195"/>
      <c r="I403" s="195"/>
      <c r="J403" s="195"/>
      <c r="K403" s="195"/>
      <c r="L403" s="195"/>
      <c r="M403" s="195"/>
      <c r="N403" s="195"/>
      <c r="O403" s="195"/>
      <c r="P403" s="195"/>
      <c r="Q403" s="195"/>
      <c r="R403" s="195"/>
      <c r="S403" s="195"/>
      <c r="T403" s="195"/>
      <c r="U403" s="195"/>
      <c r="V403" s="195"/>
      <c r="W403" s="195"/>
      <c r="X403" s="195"/>
      <c r="Y403" s="195"/>
      <c r="Z403" s="195"/>
      <c r="AA403" s="195"/>
      <c r="AB403" s="195"/>
      <c r="AC403" s="195"/>
      <c r="AD403" s="195"/>
      <c r="AE403" s="195"/>
      <c r="AF403" s="195"/>
      <c r="AG403" s="195"/>
      <c r="AH403" s="195"/>
      <c r="AI403" s="197"/>
    </row>
    <row r="404" spans="4:35" ht="15">
      <c r="D404" s="136">
        <v>3</v>
      </c>
      <c r="E404" s="195">
        <v>42198828</v>
      </c>
      <c r="F404" s="195">
        <v>32527959</v>
      </c>
      <c r="G404" s="195">
        <v>9670869</v>
      </c>
      <c r="H404" s="195">
        <v>23959464</v>
      </c>
      <c r="I404" s="195">
        <v>3305725</v>
      </c>
      <c r="J404" s="195">
        <v>6287512</v>
      </c>
      <c r="K404" s="195">
        <v>2530655</v>
      </c>
      <c r="L404" s="195">
        <v>3036784</v>
      </c>
      <c r="M404" s="195">
        <v>2074031</v>
      </c>
      <c r="N404" s="195">
        <v>2761634</v>
      </c>
      <c r="O404" s="195">
        <v>3963123</v>
      </c>
      <c r="P404" s="195">
        <v>17657155</v>
      </c>
      <c r="Q404" s="195">
        <v>936338</v>
      </c>
      <c r="R404" s="195">
        <v>1013922</v>
      </c>
      <c r="S404" s="195">
        <v>903577</v>
      </c>
      <c r="T404" s="195">
        <v>1383624</v>
      </c>
      <c r="U404" s="195">
        <v>950117</v>
      </c>
      <c r="V404" s="195">
        <v>1021211</v>
      </c>
      <c r="W404" s="195">
        <v>901591</v>
      </c>
      <c r="X404" s="195">
        <v>1333922</v>
      </c>
      <c r="Y404" s="195">
        <v>762675</v>
      </c>
      <c r="Z404" s="195">
        <v>749984</v>
      </c>
      <c r="AA404" s="195">
        <v>527444</v>
      </c>
      <c r="AB404" s="195">
        <v>604100</v>
      </c>
      <c r="AC404" s="195">
        <v>746820</v>
      </c>
      <c r="AD404" s="195">
        <v>542946</v>
      </c>
      <c r="AE404" s="195">
        <v>5278884</v>
      </c>
      <c r="AF404" s="195">
        <v>582209</v>
      </c>
      <c r="AG404" s="195">
        <v>312119</v>
      </c>
      <c r="AH404" s="195">
        <v>270090</v>
      </c>
      <c r="AI404" s="197">
        <f t="shared" ref="AI404:AI410" si="154">IF(+F404+G404=E404,0,FALSE)</f>
        <v>0</v>
      </c>
    </row>
    <row r="405" spans="4:35" ht="15">
      <c r="D405" s="136">
        <v>4</v>
      </c>
      <c r="E405" s="195">
        <v>45689237</v>
      </c>
      <c r="F405" s="195">
        <v>3148403</v>
      </c>
      <c r="G405" s="195">
        <v>42540834</v>
      </c>
      <c r="H405" s="195">
        <v>31146265</v>
      </c>
      <c r="I405" s="195">
        <v>1824678</v>
      </c>
      <c r="J405" s="195">
        <v>6610190</v>
      </c>
      <c r="K405" s="195">
        <v>1405020</v>
      </c>
      <c r="L405" s="195">
        <v>12002106</v>
      </c>
      <c r="M405" s="195">
        <v>1528788</v>
      </c>
      <c r="N405" s="195">
        <v>6784677</v>
      </c>
      <c r="O405" s="195">
        <v>990806</v>
      </c>
      <c r="P405" s="195">
        <v>11249376</v>
      </c>
      <c r="Q405" s="195">
        <v>608125</v>
      </c>
      <c r="R405" s="195">
        <v>407848</v>
      </c>
      <c r="S405" s="195">
        <v>506835</v>
      </c>
      <c r="T405" s="195">
        <v>1226303.023</v>
      </c>
      <c r="U405" s="195">
        <v>436024</v>
      </c>
      <c r="V405" s="195">
        <v>658042.80000000005</v>
      </c>
      <c r="W405" s="195">
        <v>811464</v>
      </c>
      <c r="X405" s="195">
        <v>837774</v>
      </c>
      <c r="Y405" s="195">
        <v>421764</v>
      </c>
      <c r="Z405" s="195">
        <v>743190</v>
      </c>
      <c r="AA405" s="195">
        <v>914084</v>
      </c>
      <c r="AB405" s="195">
        <v>385171</v>
      </c>
      <c r="AC405" s="195">
        <v>209458</v>
      </c>
      <c r="AD405" s="195">
        <v>178039</v>
      </c>
      <c r="AE405" s="195">
        <v>2905254.1770000001</v>
      </c>
      <c r="AF405" s="195">
        <v>3293596</v>
      </c>
      <c r="AG405" s="195">
        <v>2309834</v>
      </c>
      <c r="AH405" s="195">
        <v>983762</v>
      </c>
      <c r="AI405" s="197">
        <f t="shared" si="154"/>
        <v>0</v>
      </c>
    </row>
    <row r="406" spans="4:35" ht="15">
      <c r="D406" s="136">
        <v>5</v>
      </c>
      <c r="E406" s="195">
        <v>16066483</v>
      </c>
      <c r="F406" s="195">
        <v>15811554</v>
      </c>
      <c r="G406" s="195">
        <v>254929</v>
      </c>
      <c r="H406" s="195">
        <v>10553279</v>
      </c>
      <c r="I406" s="195">
        <v>2494744</v>
      </c>
      <c r="J406" s="195">
        <v>2134117</v>
      </c>
      <c r="K406" s="195">
        <v>1004472</v>
      </c>
      <c r="L406" s="195">
        <v>1720253</v>
      </c>
      <c r="M406" s="195">
        <v>1231866</v>
      </c>
      <c r="N406" s="195">
        <v>1967742</v>
      </c>
      <c r="O406" s="195">
        <v>85</v>
      </c>
      <c r="P406" s="195">
        <v>5368163</v>
      </c>
      <c r="Q406" s="195">
        <v>315090</v>
      </c>
      <c r="R406" s="195">
        <v>309827</v>
      </c>
      <c r="S406" s="195">
        <v>410789</v>
      </c>
      <c r="T406" s="195">
        <v>833484</v>
      </c>
      <c r="U406" s="195">
        <v>453891</v>
      </c>
      <c r="V406" s="195">
        <v>555336</v>
      </c>
      <c r="W406" s="195">
        <v>410294</v>
      </c>
      <c r="X406" s="195">
        <v>714369</v>
      </c>
      <c r="Y406" s="195">
        <v>286087</v>
      </c>
      <c r="Z406" s="195">
        <v>299327</v>
      </c>
      <c r="AA406" s="195">
        <v>134928</v>
      </c>
      <c r="AB406" s="195">
        <v>224864</v>
      </c>
      <c r="AC406" s="195">
        <v>226645</v>
      </c>
      <c r="AD406" s="195">
        <v>169668</v>
      </c>
      <c r="AE406" s="195">
        <v>23564</v>
      </c>
      <c r="AF406" s="195">
        <v>145041</v>
      </c>
      <c r="AG406" s="195">
        <v>109673</v>
      </c>
      <c r="AH406" s="195">
        <v>35368</v>
      </c>
      <c r="AI406" s="197">
        <f t="shared" si="154"/>
        <v>0</v>
      </c>
    </row>
    <row r="407" spans="4:35" ht="15">
      <c r="D407" s="136">
        <v>6</v>
      </c>
      <c r="E407" s="195">
        <v>15137266</v>
      </c>
      <c r="F407" s="195">
        <v>833826</v>
      </c>
      <c r="G407" s="195">
        <v>14303440</v>
      </c>
      <c r="H407" s="195">
        <v>9350728</v>
      </c>
      <c r="I407" s="195">
        <v>0</v>
      </c>
      <c r="J407" s="195">
        <v>2980500</v>
      </c>
      <c r="K407" s="195">
        <v>991398</v>
      </c>
      <c r="L407" s="195">
        <v>1676200</v>
      </c>
      <c r="M407" s="195">
        <v>1240207</v>
      </c>
      <c r="N407" s="195">
        <v>2462423</v>
      </c>
      <c r="O407" s="195">
        <v>0</v>
      </c>
      <c r="P407" s="195">
        <v>5564308</v>
      </c>
      <c r="Q407" s="195">
        <v>667939</v>
      </c>
      <c r="R407" s="195">
        <v>282172</v>
      </c>
      <c r="S407" s="195">
        <v>816334</v>
      </c>
      <c r="T407" s="195">
        <v>272473</v>
      </c>
      <c r="U407" s="195">
        <v>464714</v>
      </c>
      <c r="V407" s="195">
        <v>233659</v>
      </c>
      <c r="W407" s="195">
        <v>283118</v>
      </c>
      <c r="X407" s="195">
        <v>514587</v>
      </c>
      <c r="Y407" s="195">
        <v>332376</v>
      </c>
      <c r="Z407" s="195">
        <v>758093</v>
      </c>
      <c r="AA407" s="195">
        <v>102175</v>
      </c>
      <c r="AB407" s="195">
        <v>441305</v>
      </c>
      <c r="AC407" s="195">
        <v>205143</v>
      </c>
      <c r="AD407" s="195">
        <v>33220</v>
      </c>
      <c r="AE407" s="195">
        <v>157000</v>
      </c>
      <c r="AF407" s="195">
        <v>222230</v>
      </c>
      <c r="AG407" s="195">
        <v>184725</v>
      </c>
      <c r="AH407" s="195">
        <v>37505</v>
      </c>
      <c r="AI407" s="197">
        <f t="shared" si="154"/>
        <v>0</v>
      </c>
    </row>
    <row r="408" spans="4:35" ht="15">
      <c r="D408" s="136">
        <v>7</v>
      </c>
      <c r="E408" s="195"/>
      <c r="F408" s="195"/>
      <c r="G408" s="195"/>
      <c r="H408" s="195"/>
      <c r="I408" s="195"/>
      <c r="J408" s="195"/>
      <c r="K408" s="195"/>
      <c r="L408" s="195"/>
      <c r="M408" s="195"/>
      <c r="N408" s="195"/>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7">
        <f t="shared" si="154"/>
        <v>0</v>
      </c>
    </row>
    <row r="409" spans="4:35" ht="15">
      <c r="D409" s="136">
        <v>8</v>
      </c>
      <c r="E409" s="195"/>
      <c r="F409" s="195"/>
      <c r="G409" s="195"/>
      <c r="H409" s="195"/>
      <c r="I409" s="195"/>
      <c r="J409" s="195"/>
      <c r="K409" s="195"/>
      <c r="L409" s="195"/>
      <c r="M409" s="195"/>
      <c r="N409" s="195"/>
      <c r="O409" s="195"/>
      <c r="P409" s="195"/>
      <c r="Q409" s="195"/>
      <c r="R409" s="195"/>
      <c r="S409" s="195"/>
      <c r="T409" s="195"/>
      <c r="U409" s="195"/>
      <c r="V409" s="195"/>
      <c r="W409" s="195"/>
      <c r="X409" s="195"/>
      <c r="Y409" s="195"/>
      <c r="Z409" s="195"/>
      <c r="AA409" s="195"/>
      <c r="AB409" s="195"/>
      <c r="AC409" s="195"/>
      <c r="AD409" s="195"/>
      <c r="AE409" s="195"/>
      <c r="AF409" s="195"/>
      <c r="AG409" s="195"/>
      <c r="AH409" s="195"/>
      <c r="AI409" s="197">
        <f t="shared" si="154"/>
        <v>0</v>
      </c>
    </row>
    <row r="410" spans="4:35" ht="15">
      <c r="D410" s="136">
        <v>9</v>
      </c>
      <c r="E410" s="195">
        <v>19458979</v>
      </c>
      <c r="F410" s="195">
        <v>19427033</v>
      </c>
      <c r="G410" s="195">
        <v>31946</v>
      </c>
      <c r="H410" s="195">
        <v>14677692</v>
      </c>
      <c r="I410" s="195">
        <v>7007478</v>
      </c>
      <c r="J410" s="195">
        <v>2024447</v>
      </c>
      <c r="K410" s="195">
        <v>942775</v>
      </c>
      <c r="L410" s="195">
        <v>1524325</v>
      </c>
      <c r="M410" s="195">
        <v>1170647</v>
      </c>
      <c r="N410" s="195">
        <v>2008020</v>
      </c>
      <c r="O410" s="195">
        <v>0</v>
      </c>
      <c r="P410" s="195">
        <v>4621919</v>
      </c>
      <c r="Q410" s="195">
        <v>274205</v>
      </c>
      <c r="R410" s="195">
        <v>282698</v>
      </c>
      <c r="S410" s="195">
        <v>356663</v>
      </c>
      <c r="T410" s="195">
        <v>673220</v>
      </c>
      <c r="U410" s="195">
        <v>364599</v>
      </c>
      <c r="V410" s="195">
        <v>481323</v>
      </c>
      <c r="W410" s="195">
        <v>337441</v>
      </c>
      <c r="X410" s="195">
        <v>557160</v>
      </c>
      <c r="Y410" s="195">
        <v>247072</v>
      </c>
      <c r="Z410" s="195">
        <v>266991</v>
      </c>
      <c r="AA410" s="195">
        <v>132054</v>
      </c>
      <c r="AB410" s="195">
        <v>253792</v>
      </c>
      <c r="AC410" s="195">
        <v>244317</v>
      </c>
      <c r="AD410" s="195">
        <v>150384</v>
      </c>
      <c r="AE410" s="195">
        <v>0</v>
      </c>
      <c r="AF410" s="195">
        <v>159368</v>
      </c>
      <c r="AG410" s="195">
        <v>114992</v>
      </c>
      <c r="AH410" s="195">
        <v>44376</v>
      </c>
      <c r="AI410" s="197">
        <f t="shared" si="154"/>
        <v>0</v>
      </c>
    </row>
    <row r="411" spans="4:35" ht="15">
      <c r="E411" s="216">
        <f>SUBTOTAL(9,E402:E410)</f>
        <v>141971364</v>
      </c>
      <c r="F411" s="195">
        <f t="shared" ref="F411:AH411" si="155">SUBTOTAL(9,F402:F410)</f>
        <v>74030160</v>
      </c>
      <c r="G411" s="195">
        <f t="shared" si="155"/>
        <v>67941204</v>
      </c>
      <c r="H411" s="216">
        <f t="shared" si="155"/>
        <v>90647224</v>
      </c>
      <c r="I411" s="195">
        <f t="shared" si="155"/>
        <v>14708473</v>
      </c>
      <c r="J411" s="195">
        <f t="shared" si="155"/>
        <v>20204672</v>
      </c>
      <c r="K411" s="195">
        <f t="shared" si="155"/>
        <v>7016464</v>
      </c>
      <c r="L411" s="195">
        <f t="shared" si="155"/>
        <v>20115291</v>
      </c>
      <c r="M411" s="195">
        <f t="shared" si="155"/>
        <v>7357445</v>
      </c>
      <c r="N411" s="195">
        <f t="shared" si="155"/>
        <v>16241764</v>
      </c>
      <c r="O411" s="195">
        <f t="shared" si="155"/>
        <v>5003115</v>
      </c>
      <c r="P411" s="216">
        <f t="shared" si="155"/>
        <v>46883609</v>
      </c>
      <c r="Q411" s="195">
        <f t="shared" si="155"/>
        <v>2979943</v>
      </c>
      <c r="R411" s="195">
        <f t="shared" si="155"/>
        <v>2501270</v>
      </c>
      <c r="S411" s="195">
        <f t="shared" si="155"/>
        <v>3198831</v>
      </c>
      <c r="T411" s="195">
        <f t="shared" si="155"/>
        <v>4471910.023</v>
      </c>
      <c r="U411" s="195">
        <f t="shared" si="155"/>
        <v>2841586</v>
      </c>
      <c r="V411" s="195">
        <f t="shared" si="155"/>
        <v>3007441.8</v>
      </c>
      <c r="W411" s="195">
        <f t="shared" si="155"/>
        <v>2878269</v>
      </c>
      <c r="X411" s="195">
        <f t="shared" si="155"/>
        <v>4373499</v>
      </c>
      <c r="Y411" s="195">
        <f t="shared" si="155"/>
        <v>2380339</v>
      </c>
      <c r="Z411" s="195">
        <f t="shared" si="155"/>
        <v>3171200</v>
      </c>
      <c r="AA411" s="195">
        <f t="shared" si="155"/>
        <v>1843280</v>
      </c>
      <c r="AB411" s="195">
        <f t="shared" si="155"/>
        <v>1952225</v>
      </c>
      <c r="AC411" s="195">
        <f t="shared" si="155"/>
        <v>1659790</v>
      </c>
      <c r="AD411" s="195">
        <f t="shared" si="155"/>
        <v>1093143</v>
      </c>
      <c r="AE411" s="195">
        <f t="shared" si="155"/>
        <v>8530882.1770000011</v>
      </c>
      <c r="AF411" s="216">
        <f t="shared" si="155"/>
        <v>4440531</v>
      </c>
      <c r="AG411" s="195">
        <f t="shared" si="155"/>
        <v>3061650</v>
      </c>
      <c r="AH411" s="195">
        <f t="shared" si="155"/>
        <v>1378881</v>
      </c>
      <c r="AI411" s="197">
        <f>IF(+F411+G411=E411,0,FALSE)</f>
        <v>0</v>
      </c>
    </row>
    <row r="412" spans="4:35">
      <c r="E412" s="195"/>
      <c r="F412" s="195"/>
      <c r="G412" s="195"/>
      <c r="H412" s="195"/>
      <c r="I412" s="195"/>
      <c r="J412" s="195"/>
      <c r="K412" s="195"/>
      <c r="L412" s="195"/>
      <c r="M412" s="195"/>
      <c r="N412" s="195"/>
      <c r="O412" s="195"/>
      <c r="P412" s="195">
        <f>P411+AF411</f>
        <v>51324140</v>
      </c>
      <c r="Q412" s="195"/>
      <c r="R412" s="195"/>
      <c r="S412" s="195"/>
      <c r="T412" s="195"/>
      <c r="U412" s="195"/>
      <c r="V412" s="195"/>
      <c r="W412" s="195"/>
      <c r="X412" s="195"/>
      <c r="Y412" s="195"/>
      <c r="Z412" s="195"/>
      <c r="AA412" s="195"/>
      <c r="AB412" s="195"/>
      <c r="AC412" s="195"/>
      <c r="AD412" s="195"/>
      <c r="AE412" s="195"/>
      <c r="AF412" s="195"/>
      <c r="AG412" s="195"/>
      <c r="AH412" s="195"/>
    </row>
    <row r="413" spans="4:35">
      <c r="E413" s="195"/>
      <c r="F413" s="195"/>
      <c r="G413" s="195"/>
      <c r="H413" s="195"/>
      <c r="I413" s="195"/>
      <c r="J413" s="195"/>
      <c r="K413" s="195"/>
      <c r="L413" s="195"/>
      <c r="M413" s="195"/>
      <c r="N413" s="195"/>
      <c r="O413" s="195"/>
      <c r="P413" s="195"/>
      <c r="Q413" s="195"/>
      <c r="R413" s="195"/>
      <c r="S413" s="195"/>
      <c r="T413" s="195"/>
      <c r="U413" s="195"/>
      <c r="V413" s="195"/>
      <c r="W413" s="195"/>
      <c r="X413" s="195"/>
      <c r="Y413" s="195"/>
      <c r="Z413" s="195"/>
      <c r="AA413" s="195"/>
      <c r="AB413" s="195"/>
      <c r="AC413" s="195"/>
      <c r="AD413" s="195"/>
      <c r="AE413" s="195"/>
      <c r="AF413" s="195"/>
      <c r="AG413" s="195"/>
      <c r="AH413" s="195"/>
    </row>
    <row r="414" spans="4:35">
      <c r="E414" s="195"/>
      <c r="F414" s="195"/>
      <c r="G414" s="195"/>
      <c r="H414" s="195"/>
      <c r="I414" s="195"/>
      <c r="J414" s="195"/>
      <c r="K414" s="195"/>
      <c r="L414" s="195"/>
      <c r="M414" s="195"/>
      <c r="N414" s="195"/>
      <c r="O414" s="195"/>
      <c r="P414" s="195"/>
      <c r="Q414" s="195"/>
      <c r="R414" s="195"/>
      <c r="S414" s="195"/>
      <c r="T414" s="195"/>
      <c r="U414" s="195"/>
      <c r="V414" s="195"/>
      <c r="W414" s="195"/>
      <c r="X414" s="195"/>
      <c r="Y414" s="195"/>
      <c r="Z414" s="195"/>
      <c r="AA414" s="195"/>
      <c r="AB414" s="195"/>
      <c r="AC414" s="195"/>
      <c r="AD414" s="195"/>
      <c r="AE414" s="195"/>
      <c r="AF414" s="195"/>
      <c r="AG414" s="195"/>
      <c r="AH414" s="195"/>
    </row>
  </sheetData>
  <autoFilter ref="A1:AI400" xr:uid="{00000000-0009-0000-0000-000020000000}"/>
  <mergeCells count="7">
    <mergeCell ref="P3:R3"/>
    <mergeCell ref="H3:O3"/>
    <mergeCell ref="AF3:AH3"/>
    <mergeCell ref="A3:A4"/>
    <mergeCell ref="B3:B4"/>
    <mergeCell ref="C3:C4"/>
    <mergeCell ref="D3:D4"/>
  </mergeCells>
  <phoneticPr fontId="19" type="noConversion"/>
  <pageMargins left="0.39370078740157483" right="0.39370078740157483" top="0.43307086614173229" bottom="0.6692913385826772" header="0.19685039370078741" footer="0.43307086614173229"/>
  <pageSetup paperSize="9" scale="67" orientation="landscape" r:id="rId1"/>
  <headerFooter alignWithMargins="0">
    <oddFooter>&amp;L說明：政事別欄位請填列代號：1.一般政務支出，2.國防支出，3.教育科學文化支出，4.經濟發展支出，5.社會福利支出，6.社區發展及環境保護支出，7.退休撫卹支出，8.債務支出，9.一般補助及其他支出。&amp;C&amp;8&amp;N--&amp;P&amp;R&amp;"Times New Roman,標準"&amp;8&amp;F</oddFooter>
  </headerFooter>
  <colBreaks count="1" manualBreakCount="1">
    <brk id="18" max="339"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4">
    <tabColor indexed="22"/>
  </sheetPr>
  <dimension ref="A1:AI16"/>
  <sheetViews>
    <sheetView view="pageBreakPreview" topLeftCell="J1" zoomScale="75" zoomScaleNormal="100" workbookViewId="0">
      <selection activeCell="I132" sqref="I132"/>
    </sheetView>
  </sheetViews>
  <sheetFormatPr defaultColWidth="14.75" defaultRowHeight="12.75"/>
  <cols>
    <col min="1" max="1" width="10.875" style="294" customWidth="1"/>
    <col min="2" max="2" width="15.5" style="294" customWidth="1"/>
    <col min="3" max="3" width="35.75" style="294" customWidth="1"/>
    <col min="4" max="4" width="7.125" style="294" customWidth="1"/>
    <col min="5" max="5" width="10.5" style="294" customWidth="1"/>
    <col min="6" max="6" width="11.5" style="294" customWidth="1"/>
    <col min="7" max="8" width="10.625" style="294" customWidth="1"/>
    <col min="9" max="15" width="8.25" style="294" customWidth="1"/>
    <col min="16" max="16" width="9.875" style="294" customWidth="1"/>
    <col min="17" max="21" width="8.25" style="294" customWidth="1"/>
    <col min="22" max="22" width="8.25" style="336" customWidth="1"/>
    <col min="23" max="23" width="8.25" style="298" customWidth="1"/>
    <col min="24" max="31" width="8.25" style="294" customWidth="1"/>
    <col min="32" max="32" width="8.125" style="294" customWidth="1"/>
    <col min="33" max="34" width="8.25" style="294" customWidth="1"/>
    <col min="35" max="35" width="9.875" style="294" customWidth="1"/>
    <col min="36" max="16384" width="14.75" style="294"/>
  </cols>
  <sheetData>
    <row r="1" spans="1:35" s="290" customFormat="1" ht="42.6" customHeight="1">
      <c r="B1" s="291"/>
      <c r="C1" s="291"/>
      <c r="D1" s="291"/>
      <c r="E1" s="292" t="s">
        <v>774</v>
      </c>
      <c r="I1" s="291"/>
      <c r="J1" s="291"/>
      <c r="L1" s="291"/>
      <c r="M1" s="291"/>
      <c r="N1" s="291"/>
      <c r="O1" s="291"/>
      <c r="Q1" s="291"/>
      <c r="R1" s="291"/>
      <c r="S1" s="1088" t="s">
        <v>819</v>
      </c>
      <c r="T1" s="1088"/>
      <c r="U1" s="1088"/>
      <c r="V1" s="1088"/>
      <c r="W1" s="1088"/>
      <c r="X1" s="1088"/>
      <c r="Y1" s="1088"/>
      <c r="Z1" s="1088"/>
      <c r="AA1" s="1088"/>
      <c r="AB1" s="1088"/>
      <c r="AC1" s="1088"/>
      <c r="AD1" s="1088"/>
      <c r="AE1" s="1088"/>
      <c r="AF1" s="1088"/>
      <c r="AG1" s="1088"/>
      <c r="AH1" s="1088"/>
    </row>
    <row r="2" spans="1:35" ht="28.9" customHeight="1">
      <c r="A2" s="293"/>
      <c r="R2" s="295" t="s">
        <v>157</v>
      </c>
      <c r="U2" s="296"/>
      <c r="V2" s="297"/>
      <c r="AH2" s="295" t="s">
        <v>157</v>
      </c>
    </row>
    <row r="3" spans="1:35" s="304" customFormat="1" ht="35.1" customHeight="1">
      <c r="A3" s="1082" t="s">
        <v>158</v>
      </c>
      <c r="B3" s="1084" t="s">
        <v>159</v>
      </c>
      <c r="C3" s="1082" t="s">
        <v>160</v>
      </c>
      <c r="D3" s="1086" t="s">
        <v>161</v>
      </c>
      <c r="E3" s="300" t="s">
        <v>162</v>
      </c>
      <c r="F3" s="301"/>
      <c r="G3" s="302"/>
      <c r="H3" s="1089" t="s">
        <v>163</v>
      </c>
      <c r="I3" s="1090"/>
      <c r="J3" s="1090"/>
      <c r="K3" s="1090"/>
      <c r="L3" s="1090"/>
      <c r="M3" s="1090"/>
      <c r="N3" s="1090"/>
      <c r="O3" s="1091"/>
      <c r="P3" s="1089" t="s">
        <v>488</v>
      </c>
      <c r="Q3" s="1090"/>
      <c r="R3" s="1091"/>
      <c r="S3" s="303" t="s">
        <v>164</v>
      </c>
      <c r="T3" s="301"/>
      <c r="U3" s="301"/>
      <c r="V3" s="301"/>
      <c r="W3" s="301"/>
      <c r="X3" s="303"/>
      <c r="Y3" s="301"/>
      <c r="Z3" s="301"/>
      <c r="AA3" s="301"/>
      <c r="AB3" s="301"/>
      <c r="AC3" s="301"/>
      <c r="AD3" s="301"/>
      <c r="AE3" s="301"/>
      <c r="AF3" s="1089" t="s">
        <v>165</v>
      </c>
      <c r="AG3" s="1090"/>
      <c r="AH3" s="1091"/>
      <c r="AI3" s="304" t="s">
        <v>378</v>
      </c>
    </row>
    <row r="4" spans="1:35" s="304" customFormat="1" ht="35.1" customHeight="1">
      <c r="A4" s="1083"/>
      <c r="B4" s="1085"/>
      <c r="C4" s="1083"/>
      <c r="D4" s="1087"/>
      <c r="E4" s="305"/>
      <c r="F4" s="306" t="s">
        <v>166</v>
      </c>
      <c r="G4" s="306" t="s">
        <v>167</v>
      </c>
      <c r="H4" s="307"/>
      <c r="I4" s="141" t="s">
        <v>463</v>
      </c>
      <c r="J4" s="141" t="s">
        <v>169</v>
      </c>
      <c r="K4" s="308" t="s">
        <v>491</v>
      </c>
      <c r="L4" s="299" t="s">
        <v>170</v>
      </c>
      <c r="M4" s="299" t="s">
        <v>464</v>
      </c>
      <c r="N4" s="299" t="s">
        <v>172</v>
      </c>
      <c r="O4" s="306" t="s">
        <v>173</v>
      </c>
      <c r="P4" s="305"/>
      <c r="Q4" s="308" t="s">
        <v>174</v>
      </c>
      <c r="R4" s="299" t="s">
        <v>56</v>
      </c>
      <c r="S4" s="309" t="s">
        <v>57</v>
      </c>
      <c r="T4" s="309" t="s">
        <v>58</v>
      </c>
      <c r="U4" s="309" t="s">
        <v>59</v>
      </c>
      <c r="V4" s="309" t="s">
        <v>60</v>
      </c>
      <c r="W4" s="309" t="s">
        <v>61</v>
      </c>
      <c r="X4" s="309" t="s">
        <v>62</v>
      </c>
      <c r="Y4" s="309" t="s">
        <v>465</v>
      </c>
      <c r="Z4" s="309" t="s">
        <v>64</v>
      </c>
      <c r="AA4" s="309" t="s">
        <v>65</v>
      </c>
      <c r="AB4" s="309" t="s">
        <v>66</v>
      </c>
      <c r="AC4" s="309" t="s">
        <v>67</v>
      </c>
      <c r="AD4" s="309" t="s">
        <v>68</v>
      </c>
      <c r="AE4" s="307" t="s">
        <v>173</v>
      </c>
      <c r="AF4" s="310"/>
      <c r="AG4" s="299" t="s">
        <v>175</v>
      </c>
      <c r="AH4" s="299" t="s">
        <v>176</v>
      </c>
    </row>
    <row r="5" spans="1:35" s="313" customFormat="1" ht="26.1" customHeight="1">
      <c r="A5" s="90" t="s">
        <v>177</v>
      </c>
      <c r="B5" s="91"/>
      <c r="C5" s="92"/>
      <c r="D5" s="84"/>
      <c r="E5" s="311">
        <f t="shared" ref="E5:AH5" si="0">SUM(E6:E8)</f>
        <v>4510000</v>
      </c>
      <c r="F5" s="311">
        <f t="shared" si="0"/>
        <v>45000</v>
      </c>
      <c r="G5" s="311">
        <f t="shared" si="0"/>
        <v>4465000</v>
      </c>
      <c r="H5" s="311">
        <f t="shared" si="0"/>
        <v>1842050</v>
      </c>
      <c r="I5" s="311">
        <f t="shared" si="0"/>
        <v>17000</v>
      </c>
      <c r="J5" s="311">
        <f t="shared" si="0"/>
        <v>96700</v>
      </c>
      <c r="K5" s="311">
        <f t="shared" si="0"/>
        <v>272000</v>
      </c>
      <c r="L5" s="311">
        <f t="shared" si="0"/>
        <v>227500</v>
      </c>
      <c r="M5" s="311">
        <f t="shared" si="0"/>
        <v>741090</v>
      </c>
      <c r="N5" s="311">
        <f t="shared" si="0"/>
        <v>487760</v>
      </c>
      <c r="O5" s="311">
        <f t="shared" si="0"/>
        <v>0</v>
      </c>
      <c r="P5" s="311">
        <f t="shared" si="0"/>
        <v>2660050</v>
      </c>
      <c r="Q5" s="311">
        <f t="shared" si="0"/>
        <v>180910</v>
      </c>
      <c r="R5" s="311">
        <f t="shared" si="0"/>
        <v>76100</v>
      </c>
      <c r="S5" s="311">
        <f t="shared" si="0"/>
        <v>116300</v>
      </c>
      <c r="T5" s="311">
        <f t="shared" si="0"/>
        <v>644300</v>
      </c>
      <c r="U5" s="311">
        <f t="shared" si="0"/>
        <v>56800</v>
      </c>
      <c r="V5" s="311">
        <f t="shared" si="0"/>
        <v>574040</v>
      </c>
      <c r="W5" s="311">
        <f t="shared" si="0"/>
        <v>453260</v>
      </c>
      <c r="X5" s="311">
        <f t="shared" si="0"/>
        <v>385840</v>
      </c>
      <c r="Y5" s="311">
        <f t="shared" si="0"/>
        <v>63300</v>
      </c>
      <c r="Z5" s="311">
        <f t="shared" si="0"/>
        <v>33600</v>
      </c>
      <c r="AA5" s="311">
        <f t="shared" si="0"/>
        <v>4400</v>
      </c>
      <c r="AB5" s="311">
        <f t="shared" si="0"/>
        <v>25400</v>
      </c>
      <c r="AC5" s="311">
        <f t="shared" si="0"/>
        <v>31900</v>
      </c>
      <c r="AD5" s="311">
        <f t="shared" si="0"/>
        <v>13900</v>
      </c>
      <c r="AE5" s="311">
        <f t="shared" si="0"/>
        <v>0</v>
      </c>
      <c r="AF5" s="311">
        <f t="shared" si="0"/>
        <v>7900</v>
      </c>
      <c r="AG5" s="311">
        <f t="shared" si="0"/>
        <v>5400</v>
      </c>
      <c r="AH5" s="311">
        <f t="shared" si="0"/>
        <v>2500</v>
      </c>
      <c r="AI5" s="312">
        <f t="shared" ref="AI5:AI11" si="1">IF(+F5+G5=E5,0,FALSE)</f>
        <v>0</v>
      </c>
    </row>
    <row r="6" spans="1:35" s="313" customFormat="1" ht="26.1" customHeight="1">
      <c r="A6" s="314" t="s">
        <v>381</v>
      </c>
      <c r="B6" s="315" t="s">
        <v>507</v>
      </c>
      <c r="C6" s="316" t="s">
        <v>500</v>
      </c>
      <c r="D6" s="317">
        <v>6</v>
      </c>
      <c r="E6" s="311">
        <f>SUM(H6,P6,AF6)</f>
        <v>540000</v>
      </c>
      <c r="F6" s="318">
        <v>0</v>
      </c>
      <c r="G6" s="318">
        <v>540000</v>
      </c>
      <c r="H6" s="311">
        <f>SUM(I6:O6)</f>
        <v>229300</v>
      </c>
      <c r="I6" s="318">
        <v>17000</v>
      </c>
      <c r="J6" s="318">
        <v>47700</v>
      </c>
      <c r="K6" s="318">
        <v>32500</v>
      </c>
      <c r="L6" s="318">
        <v>23500</v>
      </c>
      <c r="M6" s="318">
        <v>72400</v>
      </c>
      <c r="N6" s="318">
        <v>36200</v>
      </c>
      <c r="O6" s="319">
        <v>0</v>
      </c>
      <c r="P6" s="320">
        <f>SUM(Q6:AE6)</f>
        <v>306800</v>
      </c>
      <c r="Q6" s="318">
        <v>36200</v>
      </c>
      <c r="R6" s="318">
        <v>52100</v>
      </c>
      <c r="S6" s="318">
        <v>20300</v>
      </c>
      <c r="T6" s="318">
        <v>58300</v>
      </c>
      <c r="U6" s="318">
        <v>7800</v>
      </c>
      <c r="V6" s="318">
        <v>24300</v>
      </c>
      <c r="W6" s="318">
        <v>26300</v>
      </c>
      <c r="X6" s="318">
        <v>21000</v>
      </c>
      <c r="Y6" s="318">
        <v>4300</v>
      </c>
      <c r="Z6" s="318">
        <v>5600</v>
      </c>
      <c r="AA6" s="318">
        <v>400</v>
      </c>
      <c r="AB6" s="318">
        <v>21400</v>
      </c>
      <c r="AC6" s="318">
        <v>26900</v>
      </c>
      <c r="AD6" s="318">
        <v>1900</v>
      </c>
      <c r="AE6" s="318">
        <v>0</v>
      </c>
      <c r="AF6" s="321">
        <f>SUM(AG6:AH6)</f>
        <v>3900</v>
      </c>
      <c r="AG6" s="318">
        <v>1400</v>
      </c>
      <c r="AH6" s="318">
        <v>2500</v>
      </c>
      <c r="AI6" s="312">
        <f t="shared" si="1"/>
        <v>0</v>
      </c>
    </row>
    <row r="7" spans="1:35" s="313" customFormat="1" ht="26.1" customHeight="1">
      <c r="A7" s="314" t="s">
        <v>499</v>
      </c>
      <c r="B7" s="315" t="s">
        <v>202</v>
      </c>
      <c r="C7" s="316" t="s">
        <v>818</v>
      </c>
      <c r="D7" s="317">
        <v>4</v>
      </c>
      <c r="E7" s="311">
        <f>SUM(H7,P7,AF7)</f>
        <v>3731000</v>
      </c>
      <c r="F7" s="340">
        <v>21000</v>
      </c>
      <c r="G7" s="340">
        <v>3710000</v>
      </c>
      <c r="H7" s="311">
        <f>SUM(I7:O7)</f>
        <v>1498000</v>
      </c>
      <c r="I7" s="318">
        <v>0</v>
      </c>
      <c r="J7" s="318">
        <v>49000</v>
      </c>
      <c r="K7" s="318">
        <v>231000</v>
      </c>
      <c r="L7" s="318">
        <v>204000</v>
      </c>
      <c r="M7" s="318">
        <v>581000</v>
      </c>
      <c r="N7" s="318">
        <v>433000</v>
      </c>
      <c r="O7" s="319">
        <v>0</v>
      </c>
      <c r="P7" s="320">
        <f>SUM(Q7:AE7)</f>
        <v>2229000</v>
      </c>
      <c r="Q7" s="318">
        <v>119000</v>
      </c>
      <c r="R7" s="318">
        <v>24000</v>
      </c>
      <c r="S7" s="318">
        <v>96000</v>
      </c>
      <c r="T7" s="318">
        <v>554000</v>
      </c>
      <c r="U7" s="318">
        <v>49000</v>
      </c>
      <c r="V7" s="318">
        <v>527000</v>
      </c>
      <c r="W7" s="318">
        <v>404000</v>
      </c>
      <c r="X7" s="318">
        <v>344000</v>
      </c>
      <c r="Y7" s="318">
        <v>59000</v>
      </c>
      <c r="Z7" s="318">
        <v>28000</v>
      </c>
      <c r="AA7" s="318">
        <v>4000</v>
      </c>
      <c r="AB7" s="318">
        <v>4000</v>
      </c>
      <c r="AC7" s="318">
        <v>5000</v>
      </c>
      <c r="AD7" s="318">
        <v>12000</v>
      </c>
      <c r="AE7" s="318">
        <v>0</v>
      </c>
      <c r="AF7" s="321">
        <f>SUM(AG7:AH7)</f>
        <v>4000</v>
      </c>
      <c r="AG7" s="318">
        <v>4000</v>
      </c>
      <c r="AH7" s="318">
        <v>0</v>
      </c>
      <c r="AI7" s="312">
        <f t="shared" si="1"/>
        <v>0</v>
      </c>
    </row>
    <row r="8" spans="1:35" s="313" customFormat="1" ht="26.1" customHeight="1">
      <c r="A8" s="322"/>
      <c r="B8" s="323"/>
      <c r="C8" s="316"/>
      <c r="D8" s="317"/>
      <c r="E8" s="311">
        <f t="shared" ref="E8:AH8" si="2">SUM(E9:E11)</f>
        <v>239000</v>
      </c>
      <c r="F8" s="318">
        <f t="shared" si="2"/>
        <v>24000</v>
      </c>
      <c r="G8" s="318">
        <f t="shared" si="2"/>
        <v>215000</v>
      </c>
      <c r="H8" s="311">
        <f t="shared" si="2"/>
        <v>114750</v>
      </c>
      <c r="I8" s="318">
        <f t="shared" si="2"/>
        <v>0</v>
      </c>
      <c r="J8" s="318">
        <f t="shared" si="2"/>
        <v>0</v>
      </c>
      <c r="K8" s="318">
        <f t="shared" si="2"/>
        <v>8500</v>
      </c>
      <c r="L8" s="318">
        <f t="shared" si="2"/>
        <v>0</v>
      </c>
      <c r="M8" s="318">
        <f t="shared" si="2"/>
        <v>87690</v>
      </c>
      <c r="N8" s="318">
        <f t="shared" si="2"/>
        <v>18560</v>
      </c>
      <c r="O8" s="319">
        <f t="shared" si="2"/>
        <v>0</v>
      </c>
      <c r="P8" s="320">
        <f t="shared" si="2"/>
        <v>124250</v>
      </c>
      <c r="Q8" s="318">
        <f t="shared" si="2"/>
        <v>25710</v>
      </c>
      <c r="R8" s="318">
        <f t="shared" si="2"/>
        <v>0</v>
      </c>
      <c r="S8" s="318">
        <f t="shared" si="2"/>
        <v>0</v>
      </c>
      <c r="T8" s="318">
        <f t="shared" si="2"/>
        <v>32000</v>
      </c>
      <c r="U8" s="318">
        <f t="shared" si="2"/>
        <v>0</v>
      </c>
      <c r="V8" s="318">
        <f t="shared" si="2"/>
        <v>22740</v>
      </c>
      <c r="W8" s="318">
        <f t="shared" si="2"/>
        <v>22960</v>
      </c>
      <c r="X8" s="318">
        <f t="shared" si="2"/>
        <v>20840</v>
      </c>
      <c r="Y8" s="318">
        <f t="shared" si="2"/>
        <v>0</v>
      </c>
      <c r="Z8" s="318">
        <f t="shared" si="2"/>
        <v>0</v>
      </c>
      <c r="AA8" s="318">
        <f t="shared" si="2"/>
        <v>0</v>
      </c>
      <c r="AB8" s="318">
        <f t="shared" si="2"/>
        <v>0</v>
      </c>
      <c r="AC8" s="318">
        <f t="shared" si="2"/>
        <v>0</v>
      </c>
      <c r="AD8" s="318">
        <f t="shared" si="2"/>
        <v>0</v>
      </c>
      <c r="AE8" s="318">
        <f t="shared" si="2"/>
        <v>0</v>
      </c>
      <c r="AF8" s="321">
        <f t="shared" si="2"/>
        <v>0</v>
      </c>
      <c r="AG8" s="318">
        <f t="shared" si="2"/>
        <v>0</v>
      </c>
      <c r="AH8" s="318">
        <f t="shared" si="2"/>
        <v>0</v>
      </c>
      <c r="AI8" s="312">
        <f t="shared" si="1"/>
        <v>0</v>
      </c>
    </row>
    <row r="9" spans="1:35" s="313" customFormat="1" ht="26.1" customHeight="1">
      <c r="A9" s="323" t="s">
        <v>472</v>
      </c>
      <c r="B9" s="323" t="s">
        <v>472</v>
      </c>
      <c r="C9" s="316" t="s">
        <v>509</v>
      </c>
      <c r="D9" s="317">
        <v>4</v>
      </c>
      <c r="E9" s="318">
        <f>SUM(H9,P9,AF9)</f>
        <v>0</v>
      </c>
      <c r="F9" s="318">
        <v>0</v>
      </c>
      <c r="G9" s="318">
        <v>0</v>
      </c>
      <c r="H9" s="311">
        <f>SUM(I9:O9)</f>
        <v>0</v>
      </c>
      <c r="I9" s="311">
        <v>0</v>
      </c>
      <c r="J9" s="311">
        <v>0</v>
      </c>
      <c r="K9" s="311">
        <v>0</v>
      </c>
      <c r="L9" s="311">
        <v>0</v>
      </c>
      <c r="M9" s="311">
        <v>0</v>
      </c>
      <c r="N9" s="311">
        <v>0</v>
      </c>
      <c r="O9" s="324">
        <v>0</v>
      </c>
      <c r="P9" s="320">
        <f>SUM(Q9:AE9)</f>
        <v>0</v>
      </c>
      <c r="Q9" s="311">
        <v>0</v>
      </c>
      <c r="R9" s="311">
        <v>0</v>
      </c>
      <c r="S9" s="311">
        <v>0</v>
      </c>
      <c r="T9" s="311">
        <v>0</v>
      </c>
      <c r="U9" s="311">
        <v>0</v>
      </c>
      <c r="V9" s="311">
        <v>0</v>
      </c>
      <c r="W9" s="311">
        <v>0</v>
      </c>
      <c r="X9" s="311">
        <v>0</v>
      </c>
      <c r="Y9" s="311">
        <v>0</v>
      </c>
      <c r="Z9" s="311">
        <v>0</v>
      </c>
      <c r="AA9" s="311">
        <v>0</v>
      </c>
      <c r="AB9" s="311">
        <v>0</v>
      </c>
      <c r="AC9" s="311">
        <v>0</v>
      </c>
      <c r="AD9" s="311">
        <v>0</v>
      </c>
      <c r="AE9" s="311">
        <v>0</v>
      </c>
      <c r="AF9" s="321">
        <f>SUM(AG9:AH9)</f>
        <v>0</v>
      </c>
      <c r="AG9" s="311"/>
      <c r="AH9" s="311"/>
      <c r="AI9" s="312">
        <f t="shared" si="1"/>
        <v>0</v>
      </c>
    </row>
    <row r="10" spans="1:35" s="313" customFormat="1" ht="26.1" customHeight="1">
      <c r="A10" s="323" t="s">
        <v>472</v>
      </c>
      <c r="B10" s="323" t="s">
        <v>407</v>
      </c>
      <c r="C10" s="316" t="s">
        <v>510</v>
      </c>
      <c r="D10" s="317">
        <v>4</v>
      </c>
      <c r="E10" s="318">
        <f>SUM(H10,P10,AF10)</f>
        <v>155000</v>
      </c>
      <c r="F10" s="318">
        <v>0</v>
      </c>
      <c r="G10" s="318">
        <v>155000</v>
      </c>
      <c r="H10" s="311">
        <f>SUM(I10:O10)</f>
        <v>86250</v>
      </c>
      <c r="I10" s="318">
        <v>0</v>
      </c>
      <c r="J10" s="318">
        <v>0</v>
      </c>
      <c r="K10" s="318">
        <v>0</v>
      </c>
      <c r="L10" s="318">
        <v>0</v>
      </c>
      <c r="M10" s="318">
        <v>77690</v>
      </c>
      <c r="N10" s="318">
        <v>8560</v>
      </c>
      <c r="O10" s="319">
        <v>0</v>
      </c>
      <c r="P10" s="320">
        <f>SUM(Q10:AE10)</f>
        <v>68750</v>
      </c>
      <c r="Q10" s="318">
        <v>15710</v>
      </c>
      <c r="R10" s="318">
        <v>0</v>
      </c>
      <c r="S10" s="318">
        <v>0</v>
      </c>
      <c r="T10" s="318">
        <v>18000</v>
      </c>
      <c r="U10" s="318">
        <v>0</v>
      </c>
      <c r="V10" s="318">
        <v>6240</v>
      </c>
      <c r="W10" s="318">
        <v>12960</v>
      </c>
      <c r="X10" s="318">
        <v>15840</v>
      </c>
      <c r="Y10" s="318">
        <v>0</v>
      </c>
      <c r="Z10" s="318">
        <v>0</v>
      </c>
      <c r="AA10" s="318">
        <v>0</v>
      </c>
      <c r="AB10" s="318">
        <v>0</v>
      </c>
      <c r="AC10" s="318">
        <v>0</v>
      </c>
      <c r="AD10" s="318">
        <v>0</v>
      </c>
      <c r="AE10" s="318">
        <v>0</v>
      </c>
      <c r="AF10" s="321">
        <f>SUM(AG10:AH10)</f>
        <v>0</v>
      </c>
      <c r="AG10" s="318"/>
      <c r="AH10" s="318"/>
      <c r="AI10" s="312">
        <f t="shared" si="1"/>
        <v>0</v>
      </c>
    </row>
    <row r="11" spans="1:35" s="313" customFormat="1" ht="26.1" customHeight="1">
      <c r="A11" s="323" t="s">
        <v>472</v>
      </c>
      <c r="B11" s="323" t="s">
        <v>9</v>
      </c>
      <c r="C11" s="323" t="s">
        <v>511</v>
      </c>
      <c r="D11" s="325">
        <v>4</v>
      </c>
      <c r="E11" s="318">
        <f>SUM(H11,P11,AF11)</f>
        <v>84000</v>
      </c>
      <c r="F11" s="318">
        <v>24000</v>
      </c>
      <c r="G11" s="318">
        <v>60000</v>
      </c>
      <c r="H11" s="311">
        <f>SUM(I11:O11)</f>
        <v>28500</v>
      </c>
      <c r="I11" s="311">
        <v>0</v>
      </c>
      <c r="J11" s="311">
        <v>0</v>
      </c>
      <c r="K11" s="311">
        <v>8500</v>
      </c>
      <c r="L11" s="311">
        <v>0</v>
      </c>
      <c r="M11" s="311">
        <v>10000</v>
      </c>
      <c r="N11" s="311">
        <v>10000</v>
      </c>
      <c r="O11" s="324">
        <v>0</v>
      </c>
      <c r="P11" s="320">
        <f>SUM(Q11:AE11)</f>
        <v>55500</v>
      </c>
      <c r="Q11" s="311">
        <v>10000</v>
      </c>
      <c r="R11" s="311">
        <v>0</v>
      </c>
      <c r="S11" s="311">
        <v>0</v>
      </c>
      <c r="T11" s="311">
        <v>14000</v>
      </c>
      <c r="U11" s="311">
        <v>0</v>
      </c>
      <c r="V11" s="311">
        <v>16500</v>
      </c>
      <c r="W11" s="311">
        <v>10000</v>
      </c>
      <c r="X11" s="311">
        <v>5000</v>
      </c>
      <c r="Y11" s="311">
        <v>0</v>
      </c>
      <c r="Z11" s="311">
        <v>0</v>
      </c>
      <c r="AA11" s="311">
        <v>0</v>
      </c>
      <c r="AB11" s="311">
        <v>0</v>
      </c>
      <c r="AC11" s="311">
        <v>0</v>
      </c>
      <c r="AD11" s="311">
        <v>0</v>
      </c>
      <c r="AE11" s="311">
        <v>0</v>
      </c>
      <c r="AF11" s="321">
        <f>SUM(AG11:AH11)</f>
        <v>0</v>
      </c>
      <c r="AG11" s="311">
        <v>0</v>
      </c>
      <c r="AH11" s="311">
        <v>0</v>
      </c>
      <c r="AI11" s="312">
        <f t="shared" si="1"/>
        <v>0</v>
      </c>
    </row>
    <row r="12" spans="1:35" s="334" customFormat="1" ht="26.1" customHeight="1">
      <c r="A12" s="326" t="s">
        <v>490</v>
      </c>
      <c r="B12" s="327"/>
      <c r="C12" s="328"/>
      <c r="D12" s="328"/>
      <c r="E12" s="329"/>
      <c r="F12" s="329"/>
      <c r="G12" s="329"/>
      <c r="H12" s="329"/>
      <c r="I12" s="329"/>
      <c r="J12" s="329"/>
      <c r="K12" s="329"/>
      <c r="L12" s="329"/>
      <c r="M12" s="329"/>
      <c r="N12" s="329"/>
      <c r="O12" s="330"/>
      <c r="P12" s="331"/>
      <c r="Q12" s="329"/>
      <c r="R12" s="329"/>
      <c r="S12" s="329"/>
      <c r="T12" s="329"/>
      <c r="U12" s="329"/>
      <c r="V12" s="329"/>
      <c r="W12" s="329"/>
      <c r="X12" s="329"/>
      <c r="Y12" s="329"/>
      <c r="Z12" s="329"/>
      <c r="AA12" s="329"/>
      <c r="AB12" s="329"/>
      <c r="AC12" s="329"/>
      <c r="AD12" s="329"/>
      <c r="AE12" s="329"/>
      <c r="AF12" s="332"/>
      <c r="AG12" s="329"/>
      <c r="AH12" s="329"/>
      <c r="AI12" s="333"/>
    </row>
    <row r="13" spans="1:35">
      <c r="H13" s="335"/>
    </row>
    <row r="14" spans="1:35">
      <c r="D14" s="294">
        <v>4</v>
      </c>
      <c r="E14" s="335">
        <f>SUM(E7:E8)</f>
        <v>3970000</v>
      </c>
    </row>
    <row r="15" spans="1:35">
      <c r="D15" s="294">
        <v>6</v>
      </c>
      <c r="E15" s="335">
        <f>E6</f>
        <v>540000</v>
      </c>
    </row>
    <row r="16" spans="1:35">
      <c r="E16" s="335">
        <f>E14+E15</f>
        <v>4510000</v>
      </c>
    </row>
  </sheetData>
  <mergeCells count="8">
    <mergeCell ref="A3:A4"/>
    <mergeCell ref="B3:B4"/>
    <mergeCell ref="C3:C4"/>
    <mergeCell ref="D3:D4"/>
    <mergeCell ref="S1:AH1"/>
    <mergeCell ref="P3:R3"/>
    <mergeCell ref="H3:O3"/>
    <mergeCell ref="AF3:AH3"/>
  </mergeCells>
  <phoneticPr fontId="19" type="noConversion"/>
  <pageMargins left="0.39370078740157483" right="0.39370078740157483" top="0.43307086614173229" bottom="0.6692913385826772" header="0.19685039370078741" footer="0.43307086614173229"/>
  <pageSetup paperSize="9" scale="70" orientation="landscape" r:id="rId1"/>
  <headerFooter alignWithMargins="0">
    <oddFooter>&amp;L說明：政事別欄位請填列代號：1.一般政務支出，2.國防支出，3.教育科學文化支出，4.經濟發展支出，5.社會福利支出，6.社區發展及環境保護支出，7.退休撫卹支出，8.債務支出，9.一般補助及其他支出。&amp;C&amp;8&amp;N--&amp;P&amp;R&amp;"Times New Roman,標準"&amp;8&amp;F</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
    <tabColor indexed="22"/>
    <pageSetUpPr fitToPage="1"/>
  </sheetPr>
  <dimension ref="A1:K57"/>
  <sheetViews>
    <sheetView topLeftCell="A16" zoomScale="75" zoomScaleNormal="100" workbookViewId="0">
      <selection activeCell="I132" sqref="I132"/>
    </sheetView>
  </sheetViews>
  <sheetFormatPr defaultColWidth="9.75" defaultRowHeight="32.1" customHeight="1"/>
  <cols>
    <col min="1" max="1" width="30.375" style="4" customWidth="1"/>
    <col min="2" max="2" width="12.25" style="4" customWidth="1"/>
    <col min="3" max="3" width="18.125" style="45" customWidth="1"/>
    <col min="4" max="5" width="12.125" style="44" customWidth="1"/>
    <col min="6" max="6" width="17.125" style="44" customWidth="1"/>
    <col min="7" max="8" width="12.125" style="44" customWidth="1"/>
    <col min="9" max="10" width="9.75" style="4" hidden="1" customWidth="1"/>
    <col min="11" max="11" width="13.875" style="4" hidden="1" customWidth="1"/>
    <col min="12" max="16384" width="9.75" style="4"/>
  </cols>
  <sheetData>
    <row r="1" spans="1:11" ht="32.1" customHeight="1">
      <c r="A1" s="1" t="s">
        <v>775</v>
      </c>
      <c r="B1" s="1"/>
      <c r="C1" s="43"/>
      <c r="G1" s="52" t="s">
        <v>14</v>
      </c>
      <c r="H1" s="52"/>
    </row>
    <row r="2" spans="1:11" ht="27" customHeight="1">
      <c r="C2" s="56" t="s">
        <v>76</v>
      </c>
      <c r="D2" s="211" t="s">
        <v>53</v>
      </c>
      <c r="E2" s="179" t="s">
        <v>53</v>
      </c>
      <c r="F2" s="56" t="s">
        <v>76</v>
      </c>
      <c r="G2" s="44" t="s">
        <v>77</v>
      </c>
      <c r="H2" s="211" t="s">
        <v>53</v>
      </c>
    </row>
    <row r="3" spans="1:11" ht="59.45" customHeight="1">
      <c r="A3" s="7" t="s">
        <v>12</v>
      </c>
      <c r="B3" s="13" t="s">
        <v>21</v>
      </c>
      <c r="C3" s="193" t="s">
        <v>13</v>
      </c>
      <c r="D3" s="168" t="s">
        <v>524</v>
      </c>
      <c r="E3" s="177" t="s">
        <v>74</v>
      </c>
      <c r="F3" s="46" t="s">
        <v>75</v>
      </c>
      <c r="G3" s="46" t="s">
        <v>82</v>
      </c>
      <c r="H3" s="168" t="s">
        <v>525</v>
      </c>
      <c r="J3" s="196" t="s">
        <v>483</v>
      </c>
    </row>
    <row r="4" spans="1:11" ht="22.9" customHeight="1">
      <c r="A4" s="8" t="s">
        <v>25</v>
      </c>
      <c r="B4" s="122">
        <f t="shared" ref="B4:H4" si="0">SUM(B5:B9)</f>
        <v>1776703</v>
      </c>
      <c r="C4" s="123">
        <f t="shared" si="0"/>
        <v>1776703</v>
      </c>
      <c r="D4" s="123">
        <f t="shared" si="0"/>
        <v>0</v>
      </c>
      <c r="E4" s="123">
        <f t="shared" si="0"/>
        <v>0</v>
      </c>
      <c r="F4" s="123">
        <f t="shared" si="0"/>
        <v>0</v>
      </c>
      <c r="G4" s="123">
        <f t="shared" si="0"/>
        <v>0</v>
      </c>
      <c r="H4" s="123">
        <f t="shared" si="0"/>
        <v>0</v>
      </c>
    </row>
    <row r="5" spans="1:11" ht="22.9" customHeight="1">
      <c r="A5" s="10" t="s">
        <v>26</v>
      </c>
      <c r="B5" s="32">
        <f>SUM(C5:H5)</f>
        <v>1319405</v>
      </c>
      <c r="C5" s="338">
        <v>1319405</v>
      </c>
      <c r="D5" s="48"/>
      <c r="E5" s="48"/>
      <c r="F5" s="48"/>
      <c r="G5" s="48"/>
      <c r="H5" s="48"/>
    </row>
    <row r="6" spans="1:11" ht="22.9" customHeight="1">
      <c r="A6" s="9" t="s">
        <v>27</v>
      </c>
      <c r="B6" s="32">
        <f>SUM(C6:H6)</f>
        <v>255005</v>
      </c>
      <c r="C6" s="338">
        <v>255005</v>
      </c>
      <c r="D6" s="48"/>
      <c r="E6" s="48"/>
      <c r="F6" s="48"/>
      <c r="G6" s="48"/>
      <c r="H6" s="48"/>
    </row>
    <row r="7" spans="1:11" ht="22.9" customHeight="1">
      <c r="A7" s="10" t="s">
        <v>15</v>
      </c>
      <c r="B7" s="32">
        <f>SUM(C7:H7)</f>
        <v>105674</v>
      </c>
      <c r="C7" s="338">
        <v>105674</v>
      </c>
      <c r="D7" s="48"/>
      <c r="E7" s="48"/>
      <c r="F7" s="48"/>
      <c r="G7" s="48"/>
      <c r="H7" s="48"/>
    </row>
    <row r="8" spans="1:11" ht="22.9" customHeight="1">
      <c r="A8" s="10" t="s">
        <v>18</v>
      </c>
      <c r="B8" s="32">
        <f>SUM(C8:H8)</f>
        <v>86768</v>
      </c>
      <c r="C8" s="338">
        <v>86768</v>
      </c>
      <c r="D8" s="48"/>
      <c r="E8" s="48"/>
      <c r="F8" s="48"/>
      <c r="G8" s="48"/>
      <c r="H8" s="48"/>
    </row>
    <row r="9" spans="1:11" ht="22.9" customHeight="1">
      <c r="A9" s="9" t="s">
        <v>16</v>
      </c>
      <c r="B9" s="32">
        <f>SUM(C9:H9)</f>
        <v>9851</v>
      </c>
      <c r="C9" s="338">
        <v>9851</v>
      </c>
      <c r="D9" s="48"/>
      <c r="E9" s="48"/>
      <c r="F9" s="48"/>
      <c r="G9" s="48"/>
      <c r="H9" s="48"/>
    </row>
    <row r="10" spans="1:11" ht="22.9" customHeight="1">
      <c r="A10" s="8" t="s">
        <v>19</v>
      </c>
      <c r="B10" s="122">
        <f>SUM(B11:B19)</f>
        <v>1639026</v>
      </c>
      <c r="C10" s="123">
        <f>SUM(C11:C19)</f>
        <v>1934635</v>
      </c>
      <c r="D10" s="123">
        <f>SUM(D11:D19)</f>
        <v>9326</v>
      </c>
      <c r="E10" s="124">
        <f>SUM(E11:E19)</f>
        <v>-174152</v>
      </c>
      <c r="F10" s="124">
        <f>SUM(F11:F19)</f>
        <v>-133841</v>
      </c>
      <c r="G10" s="124"/>
      <c r="H10" s="124">
        <f>SUM(H11:H19)</f>
        <v>-4492</v>
      </c>
      <c r="I10" s="47">
        <f t="shared" ref="I10:I19" si="1">SUM(E10:H10)</f>
        <v>-312485</v>
      </c>
      <c r="J10" s="48"/>
      <c r="K10" s="184">
        <f>C10-C18</f>
        <v>1807882</v>
      </c>
    </row>
    <row r="11" spans="1:11" ht="22.9" customHeight="1">
      <c r="A11" s="11" t="s">
        <v>28</v>
      </c>
      <c r="B11" s="32">
        <f t="shared" ref="B11:B18" si="2">SUM(C11:H11)</f>
        <v>175368</v>
      </c>
      <c r="C11" s="338">
        <v>179408</v>
      </c>
      <c r="D11" s="279"/>
      <c r="E11" s="279"/>
      <c r="F11" s="279">
        <v>-4040</v>
      </c>
      <c r="G11" s="48"/>
      <c r="H11" s="279"/>
      <c r="I11" s="47">
        <f>SUM(E11:H11)</f>
        <v>-4040</v>
      </c>
      <c r="J11" s="48"/>
      <c r="K11" s="114">
        <f>K10+'直轄市104(法)'!K10+'縣市104(法)'!J10</f>
        <v>1806860</v>
      </c>
    </row>
    <row r="12" spans="1:11" ht="22.9" customHeight="1">
      <c r="A12" s="12" t="s">
        <v>22</v>
      </c>
      <c r="B12" s="32">
        <f t="shared" si="2"/>
        <v>305969</v>
      </c>
      <c r="C12" s="338">
        <v>305969</v>
      </c>
      <c r="D12" s="279"/>
      <c r="E12" s="279"/>
      <c r="F12" s="279"/>
      <c r="G12" s="48"/>
      <c r="H12" s="279"/>
      <c r="I12" s="47">
        <f t="shared" si="1"/>
        <v>0</v>
      </c>
      <c r="J12" s="48"/>
    </row>
    <row r="13" spans="1:11" ht="22.9" customHeight="1">
      <c r="A13" s="12" t="s">
        <v>29</v>
      </c>
      <c r="B13" s="32">
        <f>SUM(C13:H13)+J13</f>
        <v>291438</v>
      </c>
      <c r="C13" s="338">
        <v>382863</v>
      </c>
      <c r="D13" s="279"/>
      <c r="E13" s="279">
        <v>-51005</v>
      </c>
      <c r="F13" s="279">
        <v>-43420</v>
      </c>
      <c r="G13" s="48"/>
      <c r="H13" s="279"/>
      <c r="I13" s="47">
        <f>SUM(E13:H13)</f>
        <v>-94425</v>
      </c>
      <c r="J13" s="48">
        <v>3000</v>
      </c>
    </row>
    <row r="14" spans="1:11" ht="22.9" customHeight="1">
      <c r="A14" s="125" t="s">
        <v>96</v>
      </c>
      <c r="B14" s="32">
        <f>SUM(C14:H14)+J14</f>
        <v>191060</v>
      </c>
      <c r="C14" s="338">
        <v>259782</v>
      </c>
      <c r="D14" s="279">
        <v>7732</v>
      </c>
      <c r="E14" s="279">
        <v>-36000</v>
      </c>
      <c r="F14" s="279">
        <v>-43250</v>
      </c>
      <c r="G14" s="48"/>
      <c r="H14" s="279">
        <v>-3204</v>
      </c>
      <c r="I14" s="47">
        <f t="shared" si="1"/>
        <v>-82454</v>
      </c>
      <c r="J14" s="48">
        <v>6000</v>
      </c>
    </row>
    <row r="15" spans="1:11" ht="22.9" customHeight="1">
      <c r="A15" s="12" t="s">
        <v>24</v>
      </c>
      <c r="B15" s="32">
        <f>SUM(C15:H15)+J15</f>
        <v>389947</v>
      </c>
      <c r="C15" s="338">
        <v>441199</v>
      </c>
      <c r="D15" s="279"/>
      <c r="E15" s="279">
        <v>-33978</v>
      </c>
      <c r="F15" s="279">
        <v>-15744</v>
      </c>
      <c r="G15" s="48"/>
      <c r="H15" s="279"/>
      <c r="I15" s="47">
        <f t="shared" si="1"/>
        <v>-49722</v>
      </c>
      <c r="J15" s="48">
        <v>-1530</v>
      </c>
    </row>
    <row r="16" spans="1:11" ht="22.9" customHeight="1">
      <c r="A16" s="125" t="s">
        <v>97</v>
      </c>
      <c r="B16" s="32">
        <f>SUM(C16:H16)+J16</f>
        <v>4669</v>
      </c>
      <c r="C16" s="338">
        <v>16517</v>
      </c>
      <c r="D16" s="279">
        <v>1594</v>
      </c>
      <c r="E16" s="279"/>
      <c r="F16" s="279">
        <v>-13154</v>
      </c>
      <c r="G16" s="48"/>
      <c r="H16" s="279">
        <v>-1288</v>
      </c>
      <c r="I16" s="47">
        <f t="shared" si="1"/>
        <v>-14442</v>
      </c>
      <c r="J16" s="48">
        <v>1000</v>
      </c>
    </row>
    <row r="17" spans="1:10" ht="22.9" customHeight="1">
      <c r="A17" s="12" t="s">
        <v>31</v>
      </c>
      <c r="B17" s="32">
        <f t="shared" si="2"/>
        <v>141607</v>
      </c>
      <c r="C17" s="338">
        <v>141607</v>
      </c>
      <c r="D17" s="279"/>
      <c r="E17" s="279"/>
      <c r="F17" s="279"/>
      <c r="G17" s="48"/>
      <c r="H17" s="279"/>
      <c r="I17" s="47">
        <f t="shared" si="1"/>
        <v>0</v>
      </c>
      <c r="J17" s="48"/>
    </row>
    <row r="18" spans="1:10" ht="22.9" customHeight="1">
      <c r="A18" s="12" t="s">
        <v>20</v>
      </c>
      <c r="B18" s="32">
        <f t="shared" si="2"/>
        <v>126753</v>
      </c>
      <c r="C18" s="338">
        <v>126753</v>
      </c>
      <c r="D18" s="279"/>
      <c r="E18" s="279"/>
      <c r="F18" s="279"/>
      <c r="G18" s="48"/>
      <c r="H18" s="279"/>
      <c r="I18" s="47">
        <f t="shared" si="1"/>
        <v>0</v>
      </c>
      <c r="J18" s="48"/>
    </row>
    <row r="19" spans="1:10" ht="22.9" customHeight="1">
      <c r="A19" s="12" t="s">
        <v>32</v>
      </c>
      <c r="B19" s="32">
        <f>SUM(C19:H19)+J19</f>
        <v>12215</v>
      </c>
      <c r="C19" s="338">
        <v>80537</v>
      </c>
      <c r="D19" s="279"/>
      <c r="E19" s="279">
        <v>-53169</v>
      </c>
      <c r="F19" s="279">
        <v>-14233</v>
      </c>
      <c r="G19" s="48"/>
      <c r="H19" s="279"/>
      <c r="I19" s="47">
        <f t="shared" si="1"/>
        <v>-67402</v>
      </c>
      <c r="J19" s="48">
        <v>-920</v>
      </c>
    </row>
    <row r="20" spans="1:10" ht="22.9" customHeight="1">
      <c r="A20" s="3" t="s">
        <v>17</v>
      </c>
      <c r="B20" s="32">
        <f t="shared" ref="B20:H20" si="3">B4-B10</f>
        <v>137677</v>
      </c>
      <c r="C20" s="338">
        <f t="shared" si="3"/>
        <v>-157932</v>
      </c>
      <c r="D20" s="47">
        <f t="shared" si="3"/>
        <v>-9326</v>
      </c>
      <c r="E20" s="47">
        <f t="shared" si="3"/>
        <v>174152</v>
      </c>
      <c r="F20" s="47">
        <f t="shared" si="3"/>
        <v>133841</v>
      </c>
      <c r="G20" s="47">
        <f t="shared" si="3"/>
        <v>0</v>
      </c>
      <c r="H20" s="47">
        <f t="shared" si="3"/>
        <v>4492</v>
      </c>
    </row>
    <row r="21" spans="1:10" ht="22.9" customHeight="1"/>
    <row r="22" spans="1:10" ht="22.9" customHeight="1">
      <c r="A22" s="4" t="s">
        <v>99</v>
      </c>
      <c r="B22" s="97">
        <f>+B11-'中央105(案)'!B11</f>
        <v>-11735</v>
      </c>
      <c r="C22" s="4" t="s">
        <v>26</v>
      </c>
      <c r="E22" s="128">
        <f>B5-'中央105(案)'!B5</f>
        <v>-124733</v>
      </c>
      <c r="F22" s="181">
        <f>E22/'中央105(案)'!C5*100</f>
        <v>-8.6619597516404419</v>
      </c>
      <c r="H22" s="182">
        <f>B22/'中央105(案)'!B11*100</f>
        <v>-6.2719464679882204</v>
      </c>
    </row>
    <row r="23" spans="1:10" ht="22.9" customHeight="1">
      <c r="A23" s="4" t="s">
        <v>100</v>
      </c>
      <c r="B23" s="97">
        <f>+B12-'中央105(案)'!B12</f>
        <v>-5198</v>
      </c>
      <c r="C23" s="4" t="s">
        <v>27</v>
      </c>
      <c r="E23" s="128">
        <f>B6-'中央105(案)'!B6</f>
        <v>16735</v>
      </c>
      <c r="F23" s="181">
        <f>E23/'中央105(案)'!C6*100</f>
        <v>7.0235447181768578</v>
      </c>
      <c r="H23" s="182">
        <f>B23/'中央105(案)'!B12*100</f>
        <v>-1.670485623475497</v>
      </c>
    </row>
    <row r="24" spans="1:10" ht="22.9" customHeight="1">
      <c r="A24" s="4" t="s">
        <v>101</v>
      </c>
      <c r="B24" s="97">
        <f>+B13-'中央105(案)'!B13</f>
        <v>-6498</v>
      </c>
      <c r="C24" s="4" t="s">
        <v>15</v>
      </c>
      <c r="E24" s="128">
        <f>B7-'中央105(案)'!B7</f>
        <v>27133</v>
      </c>
      <c r="F24" s="181">
        <f>E24/'中央105(案)'!C7*100</f>
        <v>34.546287926051363</v>
      </c>
      <c r="H24" s="182">
        <f>B24/'中央105(案)'!B13*100</f>
        <v>-2.181005316578057</v>
      </c>
    </row>
    <row r="25" spans="1:10" ht="22.9" customHeight="1">
      <c r="A25" s="4" t="s">
        <v>102</v>
      </c>
      <c r="B25" s="97">
        <f>+B14-'中央105(案)'!B14</f>
        <v>-11623</v>
      </c>
      <c r="C25" s="4" t="s">
        <v>18</v>
      </c>
      <c r="E25" s="128">
        <f>B8-'中央105(案)'!B8</f>
        <v>12133</v>
      </c>
      <c r="F25" s="181">
        <f>E25/'中央105(案)'!C8*100</f>
        <v>16.256448047162859</v>
      </c>
      <c r="H25" s="182">
        <f>B25/'中央105(案)'!B14*100</f>
        <v>-5.7345707336086393</v>
      </c>
    </row>
    <row r="26" spans="1:10" ht="22.9" customHeight="1">
      <c r="A26" s="4" t="s">
        <v>103</v>
      </c>
      <c r="B26" s="97">
        <f>+B15-'中央105(案)'!B15</f>
        <v>-26691</v>
      </c>
      <c r="C26" s="4" t="s">
        <v>16</v>
      </c>
      <c r="E26" s="128">
        <f>B9-'中央105(案)'!B9</f>
        <v>-3318</v>
      </c>
      <c r="F26" s="181">
        <f>E26/'中央105(案)'!C9*100</f>
        <v>-25.195534968486598</v>
      </c>
      <c r="H26" s="182">
        <f>B26/'中央105(案)'!B15*100</f>
        <v>-6.4062807521157445</v>
      </c>
    </row>
    <row r="27" spans="1:10" ht="22.9" customHeight="1">
      <c r="A27" s="4" t="s">
        <v>104</v>
      </c>
      <c r="B27" s="97">
        <f>+B16-'中央105(案)'!B16</f>
        <v>318</v>
      </c>
      <c r="H27" s="182">
        <f>B27/'中央105(案)'!B16*100</f>
        <v>7.3086646747874049</v>
      </c>
    </row>
    <row r="28" spans="1:10" ht="22.9" customHeight="1">
      <c r="A28" s="4" t="s">
        <v>105</v>
      </c>
      <c r="B28" s="97">
        <f>+B17-'中央105(案)'!B17</f>
        <v>-5605</v>
      </c>
      <c r="H28" s="182">
        <f>B28/'中央105(案)'!B17*100</f>
        <v>-3.8074341765616935</v>
      </c>
    </row>
    <row r="29" spans="1:10" ht="22.9" customHeight="1">
      <c r="A29" s="4" t="s">
        <v>106</v>
      </c>
      <c r="B29" s="97">
        <f>+B18-'中央105(案)'!B18</f>
        <v>3242</v>
      </c>
      <c r="H29" s="182">
        <f>B29/'中央105(案)'!B18*100</f>
        <v>2.6248674207155638</v>
      </c>
    </row>
    <row r="30" spans="1:10" ht="22.9" customHeight="1">
      <c r="A30" s="4" t="s">
        <v>107</v>
      </c>
      <c r="B30" s="97">
        <f>+B19-'中央105(案)'!B19</f>
        <v>-763</v>
      </c>
      <c r="H30" s="182">
        <f>B30/'中央105(案)'!B19*100</f>
        <v>-5.8791801510248112</v>
      </c>
    </row>
    <row r="31" spans="1:10" ht="22.9" customHeight="1">
      <c r="B31" s="97"/>
    </row>
    <row r="32" spans="1:10" ht="22.9" customHeight="1"/>
    <row r="33" ht="22.9" customHeight="1"/>
    <row r="34" ht="22.9" customHeight="1"/>
    <row r="35" ht="22.9" customHeight="1"/>
    <row r="36" ht="22.9" customHeight="1"/>
    <row r="37" ht="22.9" customHeight="1"/>
    <row r="38" ht="22.9" customHeight="1"/>
    <row r="39" ht="22.9" customHeight="1"/>
    <row r="40" ht="22.9" customHeight="1"/>
    <row r="41" ht="22.9" customHeight="1"/>
    <row r="42" ht="22.9" customHeight="1"/>
    <row r="43" ht="22.9" customHeight="1"/>
    <row r="44" ht="22.9" customHeight="1"/>
    <row r="45" ht="22.9" customHeight="1"/>
    <row r="46" ht="22.9" customHeight="1"/>
    <row r="47" ht="22.9" customHeight="1"/>
    <row r="48" ht="22.9" customHeight="1"/>
    <row r="49" ht="22.9" customHeight="1"/>
    <row r="50" ht="22.9" customHeight="1"/>
    <row r="51" ht="22.9" customHeight="1"/>
    <row r="52" ht="22.9" customHeight="1"/>
    <row r="53" ht="22.9" customHeight="1"/>
    <row r="54" ht="22.9" customHeight="1"/>
    <row r="55" ht="22.9" customHeight="1"/>
    <row r="56" ht="22.9" customHeight="1"/>
    <row r="57" ht="22.9" customHeight="1"/>
  </sheetData>
  <phoneticPr fontId="5" type="noConversion"/>
  <pageMargins left="0.91" right="0.31496062992125984" top="0.59" bottom="0.49" header="0.43307086614173229" footer="0.19685039370078741"/>
  <pageSetup paperSize="9" scale="71" orientation="portrait" r:id="rId1"/>
  <headerFooter alignWithMargins="0"/>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7">
    <tabColor indexed="22"/>
    <pageSetUpPr fitToPage="1"/>
  </sheetPr>
  <dimension ref="A1:K20"/>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3" width="14.375" style="45" customWidth="1"/>
    <col min="4" max="4" width="11.875" style="45" customWidth="1"/>
    <col min="5" max="5" width="10.75" style="45" customWidth="1"/>
    <col min="6" max="6" width="13.375" style="44" customWidth="1"/>
    <col min="7" max="8" width="8.75" style="44" customWidth="1"/>
    <col min="9" max="9" width="11.5" style="4" hidden="1" customWidth="1"/>
    <col min="10" max="10" width="9.75" style="4" hidden="1" customWidth="1"/>
    <col min="11" max="11" width="11.375" style="4" bestFit="1" customWidth="1"/>
    <col min="12" max="16384" width="9.75" style="4"/>
  </cols>
  <sheetData>
    <row r="1" spans="1:11" ht="32.1" customHeight="1">
      <c r="A1" s="1" t="s">
        <v>523</v>
      </c>
      <c r="B1" s="1"/>
      <c r="C1" s="43"/>
      <c r="D1" s="43"/>
      <c r="E1" s="43"/>
      <c r="G1" s="180"/>
    </row>
    <row r="2" spans="1:11" ht="27" customHeight="1">
      <c r="C2" s="210" t="s">
        <v>779</v>
      </c>
      <c r="D2" s="51"/>
      <c r="E2" s="218" t="s">
        <v>53</v>
      </c>
      <c r="F2" s="44" t="s">
        <v>77</v>
      </c>
      <c r="G2" s="45" t="s">
        <v>76</v>
      </c>
      <c r="H2" s="210" t="s">
        <v>776</v>
      </c>
    </row>
    <row r="3" spans="1:11" ht="32.450000000000003" customHeight="1">
      <c r="A3" s="7" t="s">
        <v>12</v>
      </c>
      <c r="B3" s="7" t="s">
        <v>21</v>
      </c>
      <c r="C3" s="49" t="s">
        <v>13</v>
      </c>
      <c r="D3" s="49" t="s">
        <v>33</v>
      </c>
      <c r="E3" s="193" t="s">
        <v>72</v>
      </c>
      <c r="F3" s="46" t="s">
        <v>73</v>
      </c>
      <c r="G3" s="66" t="s">
        <v>98</v>
      </c>
      <c r="H3" s="177" t="s">
        <v>526</v>
      </c>
    </row>
    <row r="4" spans="1:11" ht="30" customHeight="1">
      <c r="A4" s="8" t="s">
        <v>25</v>
      </c>
      <c r="B4" s="121">
        <f t="shared" ref="B4:H4" si="0">SUM(B5:B9)</f>
        <v>517375</v>
      </c>
      <c r="C4" s="121">
        <f t="shared" si="0"/>
        <v>672583</v>
      </c>
      <c r="D4" s="121">
        <f t="shared" si="0"/>
        <v>0</v>
      </c>
      <c r="E4" s="121">
        <f t="shared" si="0"/>
        <v>-71682</v>
      </c>
      <c r="F4" s="121">
        <f t="shared" si="0"/>
        <v>0</v>
      </c>
      <c r="G4" s="121">
        <f t="shared" si="0"/>
        <v>-82049</v>
      </c>
      <c r="H4" s="121">
        <f t="shared" si="0"/>
        <v>-1477</v>
      </c>
      <c r="J4" s="183">
        <f>B4-'直轄市105(案)'!B4</f>
        <v>-9118</v>
      </c>
    </row>
    <row r="5" spans="1:11" ht="30" customHeight="1">
      <c r="A5" s="10" t="s">
        <v>26</v>
      </c>
      <c r="B5" s="194">
        <f>SUM(C5:H5)</f>
        <v>414762</v>
      </c>
      <c r="C5" s="170">
        <v>414762</v>
      </c>
      <c r="D5" s="282"/>
      <c r="E5" s="170">
        <v>0</v>
      </c>
      <c r="F5" s="170"/>
      <c r="G5" s="170"/>
      <c r="H5" s="284"/>
      <c r="J5" s="114">
        <f>B5-'直轄市105(案)'!B5</f>
        <v>-14087</v>
      </c>
    </row>
    <row r="6" spans="1:11" ht="30" customHeight="1">
      <c r="A6" s="9" t="s">
        <v>27</v>
      </c>
      <c r="B6" s="121">
        <f>SUM(C6:H6)</f>
        <v>16904</v>
      </c>
      <c r="C6" s="170">
        <v>16904</v>
      </c>
      <c r="D6" s="282"/>
      <c r="E6" s="170">
        <v>0</v>
      </c>
      <c r="F6" s="170"/>
      <c r="G6" s="170"/>
      <c r="H6" s="284"/>
      <c r="J6" s="114">
        <f>B6-'直轄市105(案)'!B6</f>
        <v>-3082</v>
      </c>
    </row>
    <row r="7" spans="1:11" ht="30" customHeight="1">
      <c r="A7" s="10" t="s">
        <v>15</v>
      </c>
      <c r="B7" s="121">
        <f>SUM(C7:H7)</f>
        <v>39370</v>
      </c>
      <c r="C7" s="170">
        <v>39370</v>
      </c>
      <c r="D7" s="282"/>
      <c r="E7" s="170">
        <v>0</v>
      </c>
      <c r="F7" s="170"/>
      <c r="G7" s="170"/>
      <c r="H7" s="284"/>
      <c r="J7" s="114">
        <f>B7-'直轄市105(案)'!B7</f>
        <v>2756</v>
      </c>
    </row>
    <row r="8" spans="1:11" ht="30" customHeight="1">
      <c r="A8" s="10" t="s">
        <v>18</v>
      </c>
      <c r="B8" s="121">
        <f>SUM(C8:H8)</f>
        <v>34184</v>
      </c>
      <c r="C8" s="170">
        <v>34184</v>
      </c>
      <c r="D8" s="282"/>
      <c r="E8" s="170">
        <v>0</v>
      </c>
      <c r="F8" s="170"/>
      <c r="G8" s="170"/>
      <c r="H8" s="284"/>
      <c r="J8" s="114">
        <f>B8-'直轄市105(案)'!B8</f>
        <v>5262</v>
      </c>
    </row>
    <row r="9" spans="1:11" ht="30" customHeight="1">
      <c r="A9" s="9" t="s">
        <v>16</v>
      </c>
      <c r="B9" s="121">
        <f>SUM(C9:H9)</f>
        <v>12155</v>
      </c>
      <c r="C9" s="170">
        <v>167363</v>
      </c>
      <c r="D9" s="281"/>
      <c r="E9" s="170">
        <v>-71682</v>
      </c>
      <c r="F9" s="170"/>
      <c r="G9" s="170">
        <v>-82049</v>
      </c>
      <c r="H9" s="284">
        <v>-1477</v>
      </c>
      <c r="I9" s="114">
        <f>SUM(E9:H9)</f>
        <v>-155208</v>
      </c>
      <c r="J9" s="114">
        <f>B9-'直轄市105(案)'!B9</f>
        <v>33</v>
      </c>
    </row>
    <row r="10" spans="1:11" ht="30" customHeight="1">
      <c r="A10" s="8" t="s">
        <v>19</v>
      </c>
      <c r="B10" s="121">
        <f t="shared" ref="B10:G10" si="1">SUM(B11:B19)</f>
        <v>740944</v>
      </c>
      <c r="C10" s="121">
        <f t="shared" si="1"/>
        <v>740944</v>
      </c>
      <c r="D10" s="121">
        <f t="shared" si="1"/>
        <v>0</v>
      </c>
      <c r="E10" s="121">
        <f t="shared" si="1"/>
        <v>0</v>
      </c>
      <c r="F10" s="121">
        <f t="shared" si="1"/>
        <v>0</v>
      </c>
      <c r="G10" s="121">
        <f t="shared" si="1"/>
        <v>0</v>
      </c>
      <c r="H10" s="121"/>
      <c r="J10" s="183">
        <f>B10-'直轄市105(案)'!B10</f>
        <v>-5761</v>
      </c>
      <c r="K10" s="183"/>
    </row>
    <row r="11" spans="1:11" ht="30" customHeight="1">
      <c r="A11" s="11" t="s">
        <v>28</v>
      </c>
      <c r="B11" s="121">
        <f t="shared" ref="B11:B19" si="2">SUM(C11:H11)</f>
        <v>136550</v>
      </c>
      <c r="C11" s="170">
        <v>136550</v>
      </c>
      <c r="D11" s="282"/>
      <c r="E11" s="50"/>
      <c r="F11" s="50"/>
      <c r="G11" s="50"/>
      <c r="H11" s="50"/>
      <c r="J11" s="114">
        <f>B11-'直轄市105(案)'!B11</f>
        <v>1855</v>
      </c>
    </row>
    <row r="12" spans="1:11" ht="30" customHeight="1">
      <c r="A12" s="12" t="s">
        <v>22</v>
      </c>
      <c r="B12" s="121">
        <f t="shared" si="2"/>
        <v>0</v>
      </c>
      <c r="C12" s="170">
        <v>0</v>
      </c>
      <c r="D12" s="282"/>
      <c r="E12" s="50"/>
      <c r="F12" s="50"/>
      <c r="G12" s="50"/>
      <c r="H12" s="50"/>
      <c r="J12" s="114">
        <f>B12-'直轄市105(案)'!B12</f>
        <v>0</v>
      </c>
    </row>
    <row r="13" spans="1:11" ht="30" customHeight="1">
      <c r="A13" s="12" t="s">
        <v>29</v>
      </c>
      <c r="B13" s="121">
        <f t="shared" si="2"/>
        <v>252996</v>
      </c>
      <c r="C13" s="170">
        <v>252996</v>
      </c>
      <c r="D13" s="282"/>
      <c r="E13" s="50"/>
      <c r="F13" s="50"/>
      <c r="G13" s="50"/>
      <c r="H13" s="50"/>
      <c r="J13" s="114">
        <f>B13-'直轄市105(案)'!B13</f>
        <v>-3862</v>
      </c>
    </row>
    <row r="14" spans="1:11" ht="30" customHeight="1">
      <c r="A14" s="12" t="s">
        <v>23</v>
      </c>
      <c r="B14" s="121">
        <f t="shared" si="2"/>
        <v>124478</v>
      </c>
      <c r="C14" s="170">
        <v>124478</v>
      </c>
      <c r="D14" s="282"/>
      <c r="E14" s="50"/>
      <c r="F14" s="50"/>
      <c r="G14" s="50"/>
      <c r="H14" s="50"/>
      <c r="J14" s="114">
        <f>B14-'直轄市105(案)'!B14</f>
        <v>-3861</v>
      </c>
    </row>
    <row r="15" spans="1:11" ht="30" customHeight="1">
      <c r="A15" s="12" t="s">
        <v>24</v>
      </c>
      <c r="B15" s="121">
        <f t="shared" si="2"/>
        <v>109870</v>
      </c>
      <c r="C15" s="170">
        <v>109870</v>
      </c>
      <c r="D15" s="282"/>
      <c r="E15" s="50"/>
      <c r="F15" s="50"/>
      <c r="G15" s="50"/>
      <c r="H15" s="50"/>
      <c r="J15" s="114">
        <f>B15-'直轄市105(案)'!B15</f>
        <v>-2071</v>
      </c>
    </row>
    <row r="16" spans="1:11" ht="30" customHeight="1">
      <c r="A16" s="12" t="s">
        <v>30</v>
      </c>
      <c r="B16" s="121">
        <f t="shared" si="2"/>
        <v>50893</v>
      </c>
      <c r="C16" s="170">
        <v>50893</v>
      </c>
      <c r="D16" s="282"/>
      <c r="E16" s="50"/>
      <c r="F16" s="50"/>
      <c r="G16" s="50"/>
      <c r="H16" s="50"/>
      <c r="J16" s="114">
        <f>B16-'直轄市105(案)'!B16</f>
        <v>-4259</v>
      </c>
    </row>
    <row r="17" spans="1:10" ht="30" customHeight="1">
      <c r="A17" s="12" t="s">
        <v>31</v>
      </c>
      <c r="B17" s="121">
        <f t="shared" si="2"/>
        <v>43797</v>
      </c>
      <c r="C17" s="170">
        <v>43797</v>
      </c>
      <c r="D17" s="282"/>
      <c r="E17" s="50"/>
      <c r="F17" s="50"/>
      <c r="G17" s="50"/>
      <c r="H17" s="50"/>
      <c r="J17" s="114">
        <f>B17-'直轄市105(案)'!B17</f>
        <v>6542</v>
      </c>
    </row>
    <row r="18" spans="1:10" ht="30" customHeight="1">
      <c r="A18" s="12" t="s">
        <v>20</v>
      </c>
      <c r="B18" s="121">
        <f t="shared" si="2"/>
        <v>7553</v>
      </c>
      <c r="C18" s="170">
        <v>7553</v>
      </c>
      <c r="D18" s="282"/>
      <c r="E18" s="50"/>
      <c r="F18" s="50"/>
      <c r="G18" s="50"/>
      <c r="H18" s="50"/>
      <c r="J18" s="114">
        <f>B18-'直轄市105(案)'!B18</f>
        <v>-493</v>
      </c>
    </row>
    <row r="19" spans="1:10" ht="30" customHeight="1">
      <c r="A19" s="12" t="s">
        <v>32</v>
      </c>
      <c r="B19" s="121">
        <f t="shared" si="2"/>
        <v>14807</v>
      </c>
      <c r="C19" s="170">
        <v>14807</v>
      </c>
      <c r="D19" s="283"/>
      <c r="E19" s="50"/>
      <c r="F19" s="50"/>
      <c r="G19" s="50"/>
      <c r="H19" s="50"/>
      <c r="J19" s="114">
        <f>B19-'直轄市105(案)'!B19</f>
        <v>388</v>
      </c>
    </row>
    <row r="20" spans="1:10" ht="30" customHeight="1">
      <c r="A20" s="3" t="s">
        <v>17</v>
      </c>
      <c r="B20" s="121">
        <f t="shared" ref="B20:G20" si="3">B4-B10</f>
        <v>-223569</v>
      </c>
      <c r="C20" s="121">
        <f t="shared" si="3"/>
        <v>-68361</v>
      </c>
      <c r="D20" s="121">
        <f t="shared" si="3"/>
        <v>0</v>
      </c>
      <c r="E20" s="121">
        <f t="shared" si="3"/>
        <v>-71682</v>
      </c>
      <c r="F20" s="121">
        <f t="shared" si="3"/>
        <v>0</v>
      </c>
      <c r="G20" s="121">
        <f t="shared" si="3"/>
        <v>-82049</v>
      </c>
      <c r="H20" s="121"/>
    </row>
  </sheetData>
  <phoneticPr fontId="5" type="noConversion"/>
  <pageMargins left="0.91" right="0.31496062992125984" top="0.8" bottom="0.93" header="0.43307086614173229" footer="0.19685039370078741"/>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8">
    <tabColor indexed="22"/>
    <pageSetUpPr fitToPage="1"/>
  </sheetPr>
  <dimension ref="A1:J20"/>
  <sheetViews>
    <sheetView zoomScale="85" zoomScaleNormal="100" workbookViewId="0">
      <selection activeCell="I132" sqref="I132"/>
    </sheetView>
  </sheetViews>
  <sheetFormatPr defaultColWidth="9.75" defaultRowHeight="32.1" customHeight="1"/>
  <cols>
    <col min="1" max="1" width="30.375" style="4" customWidth="1"/>
    <col min="2" max="2" width="12.25" style="4" customWidth="1"/>
    <col min="3" max="4" width="14.375" style="5" customWidth="1"/>
    <col min="5" max="5" width="8.75" style="45" customWidth="1"/>
    <col min="6" max="8" width="9.75" style="44" customWidth="1"/>
    <col min="9" max="9" width="11.5" style="4" hidden="1" customWidth="1"/>
    <col min="10" max="10" width="11.375" style="4" hidden="1" customWidth="1"/>
    <col min="11" max="16384" width="9.75" style="4"/>
  </cols>
  <sheetData>
    <row r="1" spans="1:10" ht="32.1" customHeight="1">
      <c r="A1" s="118" t="s">
        <v>777</v>
      </c>
      <c r="B1" s="1"/>
      <c r="C1" s="2"/>
      <c r="D1" s="2"/>
      <c r="E1" s="179"/>
      <c r="H1" s="51" t="s">
        <v>118</v>
      </c>
    </row>
    <row r="2" spans="1:10" ht="27" customHeight="1">
      <c r="C2" s="212" t="s">
        <v>779</v>
      </c>
      <c r="D2" s="6"/>
      <c r="E2" s="45" t="s">
        <v>119</v>
      </c>
      <c r="F2" s="179" t="s">
        <v>776</v>
      </c>
      <c r="G2" s="44" t="s">
        <v>120</v>
      </c>
      <c r="H2" s="210" t="s">
        <v>778</v>
      </c>
    </row>
    <row r="3" spans="1:10" ht="54" customHeight="1">
      <c r="A3" s="7" t="s">
        <v>121</v>
      </c>
      <c r="B3" s="7" t="s">
        <v>122</v>
      </c>
      <c r="C3" s="7" t="s">
        <v>123</v>
      </c>
      <c r="D3" s="49" t="s">
        <v>124</v>
      </c>
      <c r="E3" s="49" t="s">
        <v>125</v>
      </c>
      <c r="F3" s="46" t="s">
        <v>126</v>
      </c>
      <c r="G3" s="46" t="s">
        <v>127</v>
      </c>
      <c r="H3" s="177" t="s">
        <v>526</v>
      </c>
    </row>
    <row r="4" spans="1:10" ht="30" customHeight="1">
      <c r="A4" s="8" t="s">
        <v>128</v>
      </c>
      <c r="B4" s="121">
        <f t="shared" ref="B4:H4" si="0">SUM(B5:B9)</f>
        <v>208122</v>
      </c>
      <c r="C4" s="121">
        <f t="shared" si="0"/>
        <v>365399</v>
      </c>
      <c r="D4" s="121">
        <f t="shared" si="0"/>
        <v>0</v>
      </c>
      <c r="E4" s="121">
        <f t="shared" si="0"/>
        <v>-51792</v>
      </c>
      <c r="F4" s="121">
        <f t="shared" si="0"/>
        <v>-102470</v>
      </c>
      <c r="G4" s="121">
        <f t="shared" si="0"/>
        <v>0</v>
      </c>
      <c r="H4" s="121">
        <f t="shared" si="0"/>
        <v>-3015</v>
      </c>
      <c r="J4" s="183">
        <f>B4-'縣市105(案)'!$B4</f>
        <v>-400</v>
      </c>
    </row>
    <row r="5" spans="1:10" ht="30" customHeight="1">
      <c r="A5" s="10" t="s">
        <v>129</v>
      </c>
      <c r="B5" s="121">
        <f>SUM(C5:H5)</f>
        <v>151492</v>
      </c>
      <c r="C5" s="220">
        <v>151492</v>
      </c>
      <c r="D5" s="282"/>
      <c r="E5" s="50">
        <v>0</v>
      </c>
      <c r="F5" s="50"/>
      <c r="G5" s="50"/>
      <c r="H5" s="50"/>
      <c r="J5" s="114">
        <f>B5-'縣市105(案)'!$B5</f>
        <v>-5722</v>
      </c>
    </row>
    <row r="6" spans="1:10" ht="30" customHeight="1">
      <c r="A6" s="9" t="s">
        <v>130</v>
      </c>
      <c r="B6" s="121">
        <f>SUM(C6:H6)</f>
        <v>9537</v>
      </c>
      <c r="C6" s="220">
        <v>9537</v>
      </c>
      <c r="D6" s="282"/>
      <c r="E6" s="50">
        <v>0</v>
      </c>
      <c r="F6" s="50"/>
      <c r="G6" s="50"/>
      <c r="H6" s="50"/>
      <c r="J6" s="114">
        <f>B6-'縣市105(案)'!$B6</f>
        <v>669</v>
      </c>
    </row>
    <row r="7" spans="1:10" ht="30" customHeight="1">
      <c r="A7" s="10" t="s">
        <v>131</v>
      </c>
      <c r="B7" s="121">
        <f>SUM(C7:H7)</f>
        <v>11651</v>
      </c>
      <c r="C7" s="220">
        <v>11651</v>
      </c>
      <c r="D7" s="282"/>
      <c r="E7" s="50">
        <v>0</v>
      </c>
      <c r="F7" s="50"/>
      <c r="G7" s="50"/>
      <c r="H7" s="50"/>
      <c r="J7" s="114">
        <f>B7-'縣市105(案)'!$B7</f>
        <v>197</v>
      </c>
    </row>
    <row r="8" spans="1:10" ht="30" customHeight="1">
      <c r="A8" s="10" t="s">
        <v>132</v>
      </c>
      <c r="B8" s="121">
        <f>SUM(C8:H8)</f>
        <v>8844</v>
      </c>
      <c r="C8" s="220">
        <v>8844</v>
      </c>
      <c r="D8" s="282"/>
      <c r="E8" s="50">
        <v>0</v>
      </c>
      <c r="F8" s="50"/>
      <c r="G8" s="50"/>
      <c r="H8" s="50"/>
      <c r="J8" s="114">
        <f>B8-'縣市105(案)'!$B8</f>
        <v>1591</v>
      </c>
    </row>
    <row r="9" spans="1:10" ht="30" customHeight="1">
      <c r="A9" s="9" t="s">
        <v>133</v>
      </c>
      <c r="B9" s="121">
        <f>SUM(C9:H9)</f>
        <v>26598</v>
      </c>
      <c r="C9" s="220">
        <v>183875</v>
      </c>
      <c r="D9" s="281"/>
      <c r="E9" s="280">
        <v>-51792</v>
      </c>
      <c r="F9" s="280">
        <v>-102470</v>
      </c>
      <c r="G9" s="50"/>
      <c r="H9" s="280">
        <v>-3015</v>
      </c>
      <c r="I9" s="114">
        <f>SUM(E9:H9)</f>
        <v>-157277</v>
      </c>
      <c r="J9" s="114">
        <f>B9-'縣市105(案)'!$B9</f>
        <v>2865</v>
      </c>
    </row>
    <row r="10" spans="1:10" ht="30" customHeight="1">
      <c r="A10" s="8" t="s">
        <v>134</v>
      </c>
      <c r="B10" s="121">
        <f t="shared" ref="B10:H10" si="1">SUM(B11:B19)</f>
        <v>380808</v>
      </c>
      <c r="C10" s="121">
        <f t="shared" si="1"/>
        <v>380808</v>
      </c>
      <c r="D10" s="121">
        <f t="shared" si="1"/>
        <v>0</v>
      </c>
      <c r="E10" s="121">
        <f t="shared" si="1"/>
        <v>0</v>
      </c>
      <c r="F10" s="121">
        <f t="shared" si="1"/>
        <v>0</v>
      </c>
      <c r="G10" s="121">
        <f t="shared" si="1"/>
        <v>0</v>
      </c>
      <c r="H10" s="121">
        <f t="shared" si="1"/>
        <v>0</v>
      </c>
      <c r="J10" s="183">
        <f>B10-'縣市105(案)'!B10</f>
        <v>-1022</v>
      </c>
    </row>
    <row r="11" spans="1:10" ht="30" customHeight="1">
      <c r="A11" s="11" t="s">
        <v>135</v>
      </c>
      <c r="B11" s="121">
        <f t="shared" ref="B11:B19" si="2">SUM(C11:H11)</f>
        <v>86394</v>
      </c>
      <c r="C11" s="220">
        <v>86394</v>
      </c>
      <c r="D11" s="282"/>
      <c r="E11" s="50"/>
      <c r="F11" s="50"/>
      <c r="G11" s="50"/>
      <c r="H11" s="50"/>
      <c r="J11" s="114">
        <f>B11-'縣市105(案)'!B11</f>
        <v>1059</v>
      </c>
    </row>
    <row r="12" spans="1:10" ht="30" customHeight="1">
      <c r="A12" s="12" t="s">
        <v>136</v>
      </c>
      <c r="B12" s="121">
        <f t="shared" si="2"/>
        <v>0</v>
      </c>
      <c r="C12" s="220">
        <v>0</v>
      </c>
      <c r="D12" s="282"/>
      <c r="E12" s="50"/>
      <c r="F12" s="50"/>
      <c r="G12" s="50"/>
      <c r="H12" s="50"/>
      <c r="J12" s="114">
        <f>B12-'縣市105(案)'!B12</f>
        <v>0</v>
      </c>
    </row>
    <row r="13" spans="1:10" ht="30" customHeight="1">
      <c r="A13" s="12" t="s">
        <v>137</v>
      </c>
      <c r="B13" s="121">
        <f t="shared" si="2"/>
        <v>108995</v>
      </c>
      <c r="C13" s="220">
        <v>108995</v>
      </c>
      <c r="D13" s="282"/>
      <c r="E13" s="50"/>
      <c r="F13" s="50"/>
      <c r="G13" s="50"/>
      <c r="H13" s="50"/>
      <c r="J13" s="114">
        <f>B13-'縣市105(案)'!B13</f>
        <v>-964</v>
      </c>
    </row>
    <row r="14" spans="1:10" ht="30" customHeight="1">
      <c r="A14" s="12" t="s">
        <v>138</v>
      </c>
      <c r="B14" s="121">
        <f t="shared" si="2"/>
        <v>65242</v>
      </c>
      <c r="C14" s="220">
        <v>65242</v>
      </c>
      <c r="D14" s="282"/>
      <c r="E14" s="50"/>
      <c r="F14" s="50"/>
      <c r="G14" s="50"/>
      <c r="H14" s="50"/>
      <c r="J14" s="114">
        <f>B14-'縣市105(案)'!B14</f>
        <v>-520</v>
      </c>
    </row>
    <row r="15" spans="1:10" ht="30" customHeight="1">
      <c r="A15" s="12" t="s">
        <v>139</v>
      </c>
      <c r="B15" s="121">
        <f>SUM(C15:H15)</f>
        <v>45703</v>
      </c>
      <c r="C15" s="220">
        <v>45703</v>
      </c>
      <c r="D15" s="282"/>
      <c r="E15" s="50"/>
      <c r="F15" s="50"/>
      <c r="G15" s="50"/>
      <c r="H15" s="50"/>
      <c r="J15" s="114">
        <f>B15-'縣市105(案)'!B15</f>
        <v>-1371</v>
      </c>
    </row>
    <row r="16" spans="1:10" ht="30" customHeight="1">
      <c r="A16" s="12" t="s">
        <v>140</v>
      </c>
      <c r="B16" s="121">
        <f t="shared" si="2"/>
        <v>17415</v>
      </c>
      <c r="C16" s="220">
        <v>17415</v>
      </c>
      <c r="D16" s="282"/>
      <c r="E16" s="50"/>
      <c r="F16" s="50"/>
      <c r="G16" s="50"/>
      <c r="H16" s="50"/>
      <c r="J16" s="114">
        <f>B16-'縣市105(案)'!B16</f>
        <v>1145</v>
      </c>
    </row>
    <row r="17" spans="1:10" ht="30" customHeight="1">
      <c r="A17" s="12" t="s">
        <v>141</v>
      </c>
      <c r="B17" s="121">
        <f t="shared" si="2"/>
        <v>41612</v>
      </c>
      <c r="C17" s="220">
        <v>41612</v>
      </c>
      <c r="D17" s="282"/>
      <c r="E17" s="50"/>
      <c r="F17" s="50">
        <v>0</v>
      </c>
      <c r="G17" s="50"/>
      <c r="H17" s="50"/>
      <c r="J17" s="114">
        <f>B17-'縣市105(案)'!B17</f>
        <v>30</v>
      </c>
    </row>
    <row r="18" spans="1:10" ht="30" customHeight="1">
      <c r="A18" s="12" t="s">
        <v>142</v>
      </c>
      <c r="B18" s="121">
        <f t="shared" si="2"/>
        <v>4572</v>
      </c>
      <c r="C18" s="220">
        <v>4572</v>
      </c>
      <c r="D18" s="282"/>
      <c r="E18" s="50"/>
      <c r="F18" s="50"/>
      <c r="G18" s="50"/>
      <c r="H18" s="50"/>
      <c r="J18" s="114">
        <f>B18-'縣市105(案)'!B18</f>
        <v>3</v>
      </c>
    </row>
    <row r="19" spans="1:10" ht="30" customHeight="1">
      <c r="A19" s="12" t="s">
        <v>143</v>
      </c>
      <c r="B19" s="121">
        <f t="shared" si="2"/>
        <v>10875</v>
      </c>
      <c r="C19" s="221">
        <v>10875</v>
      </c>
      <c r="D19" s="283"/>
      <c r="E19" s="50"/>
      <c r="F19" s="50"/>
      <c r="G19" s="50"/>
      <c r="H19" s="50"/>
      <c r="J19" s="114">
        <f>B19-'縣市105(案)'!B19</f>
        <v>-404</v>
      </c>
    </row>
    <row r="20" spans="1:10" ht="30" customHeight="1">
      <c r="A20" s="3" t="s">
        <v>144</v>
      </c>
      <c r="B20" s="121">
        <f t="shared" ref="B20:H20" si="3">B4-B10</f>
        <v>-172686</v>
      </c>
      <c r="C20" s="121">
        <f t="shared" si="3"/>
        <v>-15409</v>
      </c>
      <c r="D20" s="121">
        <f t="shared" si="3"/>
        <v>0</v>
      </c>
      <c r="E20" s="121">
        <f t="shared" si="3"/>
        <v>-51792</v>
      </c>
      <c r="F20" s="121">
        <f t="shared" si="3"/>
        <v>-102470</v>
      </c>
      <c r="G20" s="121">
        <f t="shared" si="3"/>
        <v>0</v>
      </c>
      <c r="H20" s="121">
        <f t="shared" si="3"/>
        <v>-3015</v>
      </c>
    </row>
  </sheetData>
  <phoneticPr fontId="5" type="noConversion"/>
  <pageMargins left="0.9055118110236221" right="0.31496062992125984" top="0.78740157480314965" bottom="0.94488188976377963" header="0.43307086614173229" footer="0.19685039370078741"/>
  <pageSetup paperSize="9" scale="82"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9">
    <tabColor indexed="22"/>
  </sheetPr>
  <dimension ref="A1:AJ356"/>
  <sheetViews>
    <sheetView view="pageBreakPreview" zoomScale="75" zoomScaleNormal="75" zoomScaleSheetLayoutView="75" workbookViewId="0">
      <pane xSplit="1" ySplit="5" topLeftCell="B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136" customWidth="1"/>
    <col min="2" max="2" width="15.5" style="136" customWidth="1"/>
    <col min="3" max="3" width="35.75" style="136" customWidth="1"/>
    <col min="4" max="4" width="7.125" style="136" customWidth="1"/>
    <col min="5" max="6" width="11.5" style="136" customWidth="1"/>
    <col min="7" max="7" width="11.625" style="136" customWidth="1"/>
    <col min="8" max="8" width="11.875" style="136" customWidth="1"/>
    <col min="9" max="10" width="11.25" style="136" bestFit="1" customWidth="1"/>
    <col min="11" max="11" width="10.125" style="136" bestFit="1" customWidth="1"/>
    <col min="12" max="12" width="11.25" style="136" bestFit="1" customWidth="1"/>
    <col min="13" max="13" width="10.125" style="136" bestFit="1" customWidth="1"/>
    <col min="14" max="14" width="11.25" style="136" bestFit="1" customWidth="1"/>
    <col min="15" max="15" width="10.125" style="136" bestFit="1" customWidth="1"/>
    <col min="16" max="16" width="10.5" style="136" customWidth="1"/>
    <col min="17" max="21" width="8.25" style="136" customWidth="1"/>
    <col min="22" max="22" width="8.25" style="162" customWidth="1"/>
    <col min="23" max="23" width="8.25" style="140" customWidth="1"/>
    <col min="24" max="31" width="8.25" style="136" customWidth="1"/>
    <col min="32" max="32" width="11.25" style="136" bestFit="1" customWidth="1"/>
    <col min="33" max="34" width="8.25" style="136" customWidth="1"/>
    <col min="35" max="35" width="9.875" style="136" customWidth="1"/>
    <col min="36" max="16384" width="14.75" style="136"/>
  </cols>
  <sheetData>
    <row r="1" spans="1:36" s="129" customFormat="1" ht="42.6" customHeight="1">
      <c r="B1" s="130"/>
      <c r="C1" s="130"/>
      <c r="D1" s="130"/>
      <c r="E1" s="131" t="s">
        <v>727</v>
      </c>
      <c r="I1" s="130"/>
      <c r="J1" s="130"/>
      <c r="K1" s="130"/>
      <c r="L1" s="130"/>
      <c r="M1" s="130"/>
      <c r="N1" s="130"/>
      <c r="O1" s="130"/>
      <c r="Q1" s="130"/>
      <c r="R1" s="130"/>
      <c r="S1" s="132" t="s">
        <v>728</v>
      </c>
      <c r="T1" s="130"/>
      <c r="U1" s="130"/>
      <c r="V1" s="133"/>
      <c r="W1" s="134"/>
      <c r="AA1" s="130"/>
      <c r="AC1" s="130"/>
      <c r="AD1" s="130"/>
      <c r="AE1" s="130"/>
      <c r="AF1" s="130"/>
      <c r="AG1" s="130"/>
      <c r="AH1" s="130"/>
    </row>
    <row r="2" spans="1:36" ht="28.9" customHeight="1">
      <c r="A2" s="135"/>
      <c r="R2" s="137" t="s">
        <v>729</v>
      </c>
      <c r="U2" s="138"/>
      <c r="V2" s="139"/>
      <c r="AH2" s="137" t="s">
        <v>729</v>
      </c>
    </row>
    <row r="3" spans="1:36" s="146" customFormat="1" ht="35.1" customHeight="1">
      <c r="A3" s="1076" t="s">
        <v>730</v>
      </c>
      <c r="B3" s="1078" t="s">
        <v>731</v>
      </c>
      <c r="C3" s="1076" t="s">
        <v>732</v>
      </c>
      <c r="D3" s="1080" t="s">
        <v>733</v>
      </c>
      <c r="E3" s="142" t="s">
        <v>734</v>
      </c>
      <c r="F3" s="143"/>
      <c r="G3" s="144"/>
      <c r="H3" s="1073" t="s">
        <v>735</v>
      </c>
      <c r="I3" s="1074"/>
      <c r="J3" s="1074"/>
      <c r="K3" s="1074"/>
      <c r="L3" s="1074"/>
      <c r="M3" s="1074"/>
      <c r="N3" s="1074"/>
      <c r="O3" s="1075"/>
      <c r="P3" s="1073" t="s">
        <v>736</v>
      </c>
      <c r="Q3" s="1074"/>
      <c r="R3" s="1075"/>
      <c r="S3" s="145" t="s">
        <v>737</v>
      </c>
      <c r="T3" s="143"/>
      <c r="U3" s="143"/>
      <c r="V3" s="143"/>
      <c r="W3" s="143"/>
      <c r="X3" s="145"/>
      <c r="Y3" s="143"/>
      <c r="Z3" s="143"/>
      <c r="AA3" s="143"/>
      <c r="AB3" s="143"/>
      <c r="AC3" s="143"/>
      <c r="AD3" s="143"/>
      <c r="AE3" s="143"/>
      <c r="AF3" s="1073" t="s">
        <v>738</v>
      </c>
      <c r="AG3" s="1074"/>
      <c r="AH3" s="1075"/>
      <c r="AI3" s="146" t="s">
        <v>739</v>
      </c>
    </row>
    <row r="4" spans="1:36" s="146" customFormat="1" ht="35.1" customHeight="1">
      <c r="A4" s="1077"/>
      <c r="B4" s="1079"/>
      <c r="C4" s="1077"/>
      <c r="D4" s="1081"/>
      <c r="E4" s="147"/>
      <c r="F4" s="148" t="s">
        <v>740</v>
      </c>
      <c r="G4" s="148" t="s">
        <v>741</v>
      </c>
      <c r="H4" s="149"/>
      <c r="I4" s="141" t="s">
        <v>742</v>
      </c>
      <c r="J4" s="141" t="s">
        <v>743</v>
      </c>
      <c r="K4" s="141" t="s">
        <v>744</v>
      </c>
      <c r="L4" s="141" t="s">
        <v>745</v>
      </c>
      <c r="M4" s="141" t="s">
        <v>746</v>
      </c>
      <c r="N4" s="141" t="s">
        <v>747</v>
      </c>
      <c r="O4" s="148" t="s">
        <v>748</v>
      </c>
      <c r="P4" s="147"/>
      <c r="Q4" s="150" t="s">
        <v>749</v>
      </c>
      <c r="R4" s="141" t="s">
        <v>56</v>
      </c>
      <c r="S4" s="151" t="s">
        <v>57</v>
      </c>
      <c r="T4" s="151" t="s">
        <v>58</v>
      </c>
      <c r="U4" s="151" t="s">
        <v>59</v>
      </c>
      <c r="V4" s="151" t="s">
        <v>60</v>
      </c>
      <c r="W4" s="151" t="s">
        <v>61</v>
      </c>
      <c r="X4" s="151" t="s">
        <v>62</v>
      </c>
      <c r="Y4" s="151" t="s">
        <v>750</v>
      </c>
      <c r="Z4" s="151" t="s">
        <v>64</v>
      </c>
      <c r="AA4" s="151" t="s">
        <v>65</v>
      </c>
      <c r="AB4" s="151" t="s">
        <v>66</v>
      </c>
      <c r="AC4" s="151" t="s">
        <v>67</v>
      </c>
      <c r="AD4" s="151" t="s">
        <v>68</v>
      </c>
      <c r="AE4" s="149" t="s">
        <v>748</v>
      </c>
      <c r="AF4" s="152"/>
      <c r="AG4" s="141" t="s">
        <v>751</v>
      </c>
      <c r="AH4" s="141" t="s">
        <v>752</v>
      </c>
    </row>
    <row r="5" spans="1:36" s="198" customFormat="1" ht="26.1" customHeight="1">
      <c r="A5" s="255" t="s">
        <v>753</v>
      </c>
      <c r="B5" s="256"/>
      <c r="C5" s="257"/>
      <c r="D5" s="257"/>
      <c r="E5" s="258">
        <f t="shared" ref="E5:AH5" si="0">E7+E53+E99+E107+E149+E150+E165+E200+E280+E281+E315+E319+E341</f>
        <v>133841005.8</v>
      </c>
      <c r="F5" s="258">
        <f t="shared" si="0"/>
        <v>68136175</v>
      </c>
      <c r="G5" s="258">
        <f t="shared" si="0"/>
        <v>65704830.799999997</v>
      </c>
      <c r="H5" s="258">
        <f t="shared" si="0"/>
        <v>82048571.799999997</v>
      </c>
      <c r="I5" s="258">
        <f t="shared" si="0"/>
        <v>13233406.699999999</v>
      </c>
      <c r="J5" s="258">
        <f t="shared" si="0"/>
        <v>16991934.800000001</v>
      </c>
      <c r="K5" s="258">
        <f t="shared" si="0"/>
        <v>6220193</v>
      </c>
      <c r="L5" s="258">
        <f t="shared" si="0"/>
        <v>17826617.800000001</v>
      </c>
      <c r="M5" s="258">
        <f t="shared" si="0"/>
        <v>6249536</v>
      </c>
      <c r="N5" s="258">
        <f t="shared" si="0"/>
        <v>15958145.5</v>
      </c>
      <c r="O5" s="258">
        <f t="shared" si="0"/>
        <v>5568738</v>
      </c>
      <c r="P5" s="258">
        <f t="shared" si="0"/>
        <v>47403347</v>
      </c>
      <c r="Q5" s="258">
        <f t="shared" si="0"/>
        <v>2249121</v>
      </c>
      <c r="R5" s="258">
        <f t="shared" si="0"/>
        <v>2763973</v>
      </c>
      <c r="S5" s="258">
        <f t="shared" si="0"/>
        <v>3691610</v>
      </c>
      <c r="T5" s="258">
        <f t="shared" si="0"/>
        <v>4951787</v>
      </c>
      <c r="U5" s="258">
        <f t="shared" si="0"/>
        <v>2936312</v>
      </c>
      <c r="V5" s="258">
        <f t="shared" si="0"/>
        <v>2554801</v>
      </c>
      <c r="W5" s="258">
        <f t="shared" si="0"/>
        <v>2472925</v>
      </c>
      <c r="X5" s="258">
        <f t="shared" si="0"/>
        <v>4088207</v>
      </c>
      <c r="Y5" s="258">
        <f t="shared" si="0"/>
        <v>2091279</v>
      </c>
      <c r="Z5" s="258">
        <f t="shared" si="0"/>
        <v>2998186</v>
      </c>
      <c r="AA5" s="258">
        <f t="shared" si="0"/>
        <v>1423761</v>
      </c>
      <c r="AB5" s="258">
        <f t="shared" si="0"/>
        <v>1561251</v>
      </c>
      <c r="AC5" s="258">
        <f t="shared" si="0"/>
        <v>1792894</v>
      </c>
      <c r="AD5" s="258">
        <f t="shared" si="0"/>
        <v>1095917</v>
      </c>
      <c r="AE5" s="258">
        <f t="shared" si="0"/>
        <v>10731323</v>
      </c>
      <c r="AF5" s="258">
        <f t="shared" si="0"/>
        <v>4389087</v>
      </c>
      <c r="AG5" s="258">
        <f t="shared" si="0"/>
        <v>3134335</v>
      </c>
      <c r="AH5" s="258">
        <f t="shared" si="0"/>
        <v>1254752</v>
      </c>
      <c r="AI5" s="197"/>
    </row>
    <row r="6" spans="1:36" s="198" customFormat="1" ht="26.1" customHeight="1">
      <c r="A6" s="259" t="s">
        <v>754</v>
      </c>
      <c r="B6" s="256"/>
      <c r="C6" s="257"/>
      <c r="D6" s="257"/>
      <c r="E6" s="260">
        <f>E5-E103</f>
        <v>124645005.8</v>
      </c>
      <c r="F6" s="260">
        <f t="shared" ref="F6:AH6" si="1">F5-F103</f>
        <v>58940175</v>
      </c>
      <c r="G6" s="260">
        <f t="shared" si="1"/>
        <v>65704830.799999997</v>
      </c>
      <c r="H6" s="260">
        <f t="shared" si="1"/>
        <v>76006916.799999997</v>
      </c>
      <c r="I6" s="260">
        <f t="shared" si="1"/>
        <v>11724482.699999999</v>
      </c>
      <c r="J6" s="260">
        <f t="shared" si="1"/>
        <v>15889911.800000001</v>
      </c>
      <c r="K6" s="260">
        <f t="shared" si="1"/>
        <v>5505388</v>
      </c>
      <c r="L6" s="260">
        <f t="shared" si="1"/>
        <v>16907008.800000001</v>
      </c>
      <c r="M6" s="260">
        <f t="shared" si="1"/>
        <v>5524953</v>
      </c>
      <c r="N6" s="260">
        <f t="shared" si="1"/>
        <v>14886434.5</v>
      </c>
      <c r="O6" s="260">
        <f t="shared" si="1"/>
        <v>5568738</v>
      </c>
      <c r="P6" s="260">
        <f t="shared" si="1"/>
        <v>44346550</v>
      </c>
      <c r="Q6" s="260">
        <f t="shared" si="1"/>
        <v>2081839</v>
      </c>
      <c r="R6" s="260">
        <f t="shared" si="1"/>
        <v>2596060</v>
      </c>
      <c r="S6" s="260">
        <f t="shared" si="1"/>
        <v>3460362</v>
      </c>
      <c r="T6" s="260">
        <f t="shared" si="1"/>
        <v>4539032</v>
      </c>
      <c r="U6" s="260">
        <f t="shared" si="1"/>
        <v>2674434</v>
      </c>
      <c r="V6" s="260">
        <f t="shared" si="1"/>
        <v>2220406</v>
      </c>
      <c r="W6" s="260">
        <f t="shared" si="1"/>
        <v>2222432</v>
      </c>
      <c r="X6" s="260">
        <f t="shared" si="1"/>
        <v>3686656</v>
      </c>
      <c r="Y6" s="260">
        <f t="shared" si="1"/>
        <v>1904825</v>
      </c>
      <c r="Z6" s="260">
        <f t="shared" si="1"/>
        <v>2801822</v>
      </c>
      <c r="AA6" s="260">
        <f t="shared" si="1"/>
        <v>1331760</v>
      </c>
      <c r="AB6" s="260">
        <f t="shared" si="1"/>
        <v>1420862</v>
      </c>
      <c r="AC6" s="260">
        <f t="shared" si="1"/>
        <v>1663033</v>
      </c>
      <c r="AD6" s="260">
        <f t="shared" si="1"/>
        <v>1011704</v>
      </c>
      <c r="AE6" s="260">
        <f t="shared" si="1"/>
        <v>10731323</v>
      </c>
      <c r="AF6" s="260">
        <f t="shared" si="1"/>
        <v>4291539</v>
      </c>
      <c r="AG6" s="260">
        <f t="shared" si="1"/>
        <v>3060068</v>
      </c>
      <c r="AH6" s="260">
        <f t="shared" si="1"/>
        <v>1231471</v>
      </c>
      <c r="AI6" s="197">
        <f t="shared" ref="AI6:AI69" si="2">IF(+F6+G6=E6,0,FALSE)</f>
        <v>0</v>
      </c>
      <c r="AJ6" s="261">
        <f>SUM(I6:O6)</f>
        <v>76006916.799999997</v>
      </c>
    </row>
    <row r="7" spans="1:36" s="198" customFormat="1" ht="26.1" customHeight="1">
      <c r="A7" s="255"/>
      <c r="B7" s="256"/>
      <c r="C7" s="257"/>
      <c r="D7" s="257"/>
      <c r="E7" s="258">
        <f t="shared" ref="E7:AH7" si="3">E8+E9+E10+E25</f>
        <v>3508541</v>
      </c>
      <c r="F7" s="258">
        <f t="shared" si="3"/>
        <v>1587853</v>
      </c>
      <c r="G7" s="258">
        <f t="shared" si="3"/>
        <v>1920688</v>
      </c>
      <c r="H7" s="258">
        <f t="shared" si="3"/>
        <v>568752</v>
      </c>
      <c r="I7" s="258">
        <f t="shared" si="3"/>
        <v>6260</v>
      </c>
      <c r="J7" s="258">
        <f t="shared" si="3"/>
        <v>57455</v>
      </c>
      <c r="K7" s="258">
        <f t="shared" si="3"/>
        <v>109000</v>
      </c>
      <c r="L7" s="258">
        <f t="shared" si="3"/>
        <v>84492</v>
      </c>
      <c r="M7" s="258">
        <f t="shared" si="3"/>
        <v>25516</v>
      </c>
      <c r="N7" s="258">
        <f t="shared" si="3"/>
        <v>143398</v>
      </c>
      <c r="O7" s="258">
        <f t="shared" si="3"/>
        <v>142631</v>
      </c>
      <c r="P7" s="258">
        <f t="shared" si="3"/>
        <v>2939439</v>
      </c>
      <c r="Q7" s="258">
        <f t="shared" si="3"/>
        <v>137531</v>
      </c>
      <c r="R7" s="258">
        <f t="shared" si="3"/>
        <v>285890</v>
      </c>
      <c r="S7" s="258">
        <f t="shared" si="3"/>
        <v>240150</v>
      </c>
      <c r="T7" s="258">
        <f t="shared" si="3"/>
        <v>33139</v>
      </c>
      <c r="U7" s="258">
        <f t="shared" si="3"/>
        <v>261359</v>
      </c>
      <c r="V7" s="258">
        <f t="shared" si="3"/>
        <v>46490</v>
      </c>
      <c r="W7" s="258">
        <f t="shared" si="3"/>
        <v>175311</v>
      </c>
      <c r="X7" s="258">
        <f t="shared" si="3"/>
        <v>467236</v>
      </c>
      <c r="Y7" s="258">
        <f t="shared" si="3"/>
        <v>456073</v>
      </c>
      <c r="Z7" s="258">
        <f t="shared" si="3"/>
        <v>361878</v>
      </c>
      <c r="AA7" s="258">
        <f t="shared" si="3"/>
        <v>6019</v>
      </c>
      <c r="AB7" s="258">
        <f t="shared" si="3"/>
        <v>14871</v>
      </c>
      <c r="AC7" s="258">
        <f t="shared" si="3"/>
        <v>35650</v>
      </c>
      <c r="AD7" s="258">
        <f t="shared" si="3"/>
        <v>37891</v>
      </c>
      <c r="AE7" s="258">
        <f t="shared" si="3"/>
        <v>379951</v>
      </c>
      <c r="AF7" s="258">
        <f t="shared" si="3"/>
        <v>350</v>
      </c>
      <c r="AG7" s="258">
        <f t="shared" si="3"/>
        <v>210</v>
      </c>
      <c r="AH7" s="258">
        <f t="shared" si="3"/>
        <v>140</v>
      </c>
      <c r="AI7" s="197">
        <f t="shared" si="2"/>
        <v>0</v>
      </c>
      <c r="AJ7" s="261">
        <f>SUM(Q6:AE6)</f>
        <v>44346550</v>
      </c>
    </row>
    <row r="8" spans="1:36" s="198" customFormat="1" ht="26.1" customHeight="1">
      <c r="A8" s="262" t="s">
        <v>69</v>
      </c>
      <c r="B8" s="191" t="s">
        <v>755</v>
      </c>
      <c r="C8" s="230" t="s">
        <v>684</v>
      </c>
      <c r="D8" s="238">
        <v>1</v>
      </c>
      <c r="E8" s="232">
        <f>SUM(H8,P8,AF8)</f>
        <v>360</v>
      </c>
      <c r="F8" s="234">
        <v>360</v>
      </c>
      <c r="G8" s="234"/>
      <c r="H8" s="232">
        <f>SUM(I8:O8)</f>
        <v>180</v>
      </c>
      <c r="I8" s="234"/>
      <c r="J8" s="234"/>
      <c r="K8" s="234"/>
      <c r="L8" s="234"/>
      <c r="M8" s="234"/>
      <c r="N8" s="234"/>
      <c r="O8" s="235">
        <v>180</v>
      </c>
      <c r="P8" s="254">
        <f>SUM(Q8:AE8)</f>
        <v>160</v>
      </c>
      <c r="Q8" s="234"/>
      <c r="R8" s="234"/>
      <c r="S8" s="234"/>
      <c r="T8" s="234"/>
      <c r="U8" s="234"/>
      <c r="V8" s="234"/>
      <c r="W8" s="234"/>
      <c r="X8" s="234"/>
      <c r="Y8" s="234"/>
      <c r="Z8" s="234"/>
      <c r="AA8" s="234"/>
      <c r="AB8" s="234"/>
      <c r="AC8" s="234"/>
      <c r="AD8" s="234"/>
      <c r="AE8" s="234">
        <v>160</v>
      </c>
      <c r="AF8" s="232">
        <f>SUM(AG8:AH8)</f>
        <v>20</v>
      </c>
      <c r="AG8" s="234">
        <v>10</v>
      </c>
      <c r="AH8" s="234">
        <v>10</v>
      </c>
      <c r="AI8" s="197">
        <f t="shared" si="2"/>
        <v>0</v>
      </c>
      <c r="AJ8" s="261">
        <f>SUM(AG6:AH6)</f>
        <v>4291539</v>
      </c>
    </row>
    <row r="9" spans="1:36" s="198" customFormat="1" ht="26.1" customHeight="1">
      <c r="A9" s="262" t="s">
        <v>756</v>
      </c>
      <c r="B9" s="191" t="s">
        <v>492</v>
      </c>
      <c r="C9" s="230" t="s">
        <v>685</v>
      </c>
      <c r="D9" s="236">
        <v>4</v>
      </c>
      <c r="E9" s="232">
        <f>SUM(H9,P9,AF9)</f>
        <v>47880</v>
      </c>
      <c r="F9" s="234">
        <v>47880</v>
      </c>
      <c r="G9" s="234">
        <v>0</v>
      </c>
      <c r="H9" s="232">
        <f>SUM(I9:O9)</f>
        <v>11280</v>
      </c>
      <c r="I9" s="234"/>
      <c r="J9" s="234"/>
      <c r="K9" s="234"/>
      <c r="L9" s="234"/>
      <c r="M9" s="234"/>
      <c r="N9" s="234"/>
      <c r="O9" s="235">
        <v>11280</v>
      </c>
      <c r="P9" s="254">
        <f>SUM(Q9:AE9)</f>
        <v>36600</v>
      </c>
      <c r="Q9" s="234"/>
      <c r="R9" s="234"/>
      <c r="S9" s="234"/>
      <c r="T9" s="234"/>
      <c r="U9" s="234"/>
      <c r="V9" s="234"/>
      <c r="W9" s="234"/>
      <c r="X9" s="234"/>
      <c r="Y9" s="234"/>
      <c r="Z9" s="234"/>
      <c r="AA9" s="234"/>
      <c r="AB9" s="234"/>
      <c r="AC9" s="234"/>
      <c r="AD9" s="234"/>
      <c r="AE9" s="234">
        <v>36600</v>
      </c>
      <c r="AF9" s="232">
        <f>SUM(AG9:AH9)</f>
        <v>0</v>
      </c>
      <c r="AG9" s="234"/>
      <c r="AH9" s="234"/>
      <c r="AI9" s="197">
        <f t="shared" si="2"/>
        <v>0</v>
      </c>
      <c r="AJ9" s="261">
        <f>AJ6+AJ7+AJ8</f>
        <v>124645005.8</v>
      </c>
    </row>
    <row r="10" spans="1:36" s="198" customFormat="1" ht="26.1" customHeight="1">
      <c r="A10" s="200"/>
      <c r="B10" s="191"/>
      <c r="C10" s="230"/>
      <c r="D10" s="238"/>
      <c r="E10" s="232">
        <f t="shared" ref="E10:AH10" si="4">SUM(E11:E24)</f>
        <v>916133</v>
      </c>
      <c r="F10" s="232">
        <f t="shared" si="4"/>
        <v>328821</v>
      </c>
      <c r="G10" s="232">
        <f t="shared" si="4"/>
        <v>587312</v>
      </c>
      <c r="H10" s="232">
        <f t="shared" si="4"/>
        <v>200503</v>
      </c>
      <c r="I10" s="232">
        <f t="shared" si="4"/>
        <v>3100</v>
      </c>
      <c r="J10" s="232">
        <f t="shared" si="4"/>
        <v>28682</v>
      </c>
      <c r="K10" s="232">
        <f t="shared" si="4"/>
        <v>44122</v>
      </c>
      <c r="L10" s="232">
        <f t="shared" si="4"/>
        <v>33590</v>
      </c>
      <c r="M10" s="232">
        <f t="shared" si="4"/>
        <v>23344</v>
      </c>
      <c r="N10" s="232">
        <f t="shared" si="4"/>
        <v>67065</v>
      </c>
      <c r="O10" s="232">
        <f t="shared" si="4"/>
        <v>600</v>
      </c>
      <c r="P10" s="232">
        <f t="shared" si="4"/>
        <v>715630</v>
      </c>
      <c r="Q10" s="232">
        <f t="shared" si="4"/>
        <v>19351</v>
      </c>
      <c r="R10" s="232">
        <f t="shared" si="4"/>
        <v>110483</v>
      </c>
      <c r="S10" s="232">
        <f t="shared" si="4"/>
        <v>104764</v>
      </c>
      <c r="T10" s="232">
        <f t="shared" si="4"/>
        <v>30951</v>
      </c>
      <c r="U10" s="232">
        <f t="shared" si="4"/>
        <v>49747</v>
      </c>
      <c r="V10" s="232">
        <f t="shared" si="4"/>
        <v>45022</v>
      </c>
      <c r="W10" s="232">
        <f t="shared" si="4"/>
        <v>43811</v>
      </c>
      <c r="X10" s="232">
        <f t="shared" si="4"/>
        <v>78388</v>
      </c>
      <c r="Y10" s="232">
        <f t="shared" si="4"/>
        <v>62312</v>
      </c>
      <c r="Z10" s="232">
        <f t="shared" si="4"/>
        <v>65516</v>
      </c>
      <c r="AA10" s="232">
        <f t="shared" si="4"/>
        <v>5070</v>
      </c>
      <c r="AB10" s="232">
        <f t="shared" si="4"/>
        <v>12877</v>
      </c>
      <c r="AC10" s="232">
        <f t="shared" si="4"/>
        <v>33951</v>
      </c>
      <c r="AD10" s="232">
        <f t="shared" si="4"/>
        <v>35551</v>
      </c>
      <c r="AE10" s="232">
        <f t="shared" si="4"/>
        <v>17836</v>
      </c>
      <c r="AF10" s="232">
        <f t="shared" si="4"/>
        <v>0</v>
      </c>
      <c r="AG10" s="232">
        <f t="shared" si="4"/>
        <v>0</v>
      </c>
      <c r="AH10" s="232">
        <f t="shared" si="4"/>
        <v>0</v>
      </c>
      <c r="AI10" s="197">
        <f t="shared" si="2"/>
        <v>0</v>
      </c>
    </row>
    <row r="11" spans="1:36" s="198" customFormat="1" ht="26.1" customHeight="1">
      <c r="A11" s="262" t="s">
        <v>69</v>
      </c>
      <c r="B11" s="191" t="s">
        <v>260</v>
      </c>
      <c r="C11" s="230" t="s">
        <v>686</v>
      </c>
      <c r="D11" s="238">
        <v>3</v>
      </c>
      <c r="E11" s="234">
        <f t="shared" ref="E11:E24" si="5">SUM(H11,P11,AF11)</f>
        <v>6050</v>
      </c>
      <c r="F11" s="234">
        <v>6050</v>
      </c>
      <c r="G11" s="234">
        <v>0</v>
      </c>
      <c r="H11" s="240">
        <f t="shared" ref="H11:H24" si="6">SUM(I11:O11)</f>
        <v>1513</v>
      </c>
      <c r="I11" s="234"/>
      <c r="J11" s="234"/>
      <c r="K11" s="234">
        <v>500</v>
      </c>
      <c r="L11" s="234">
        <v>400</v>
      </c>
      <c r="M11" s="234">
        <v>200</v>
      </c>
      <c r="N11" s="234">
        <v>413</v>
      </c>
      <c r="O11" s="235"/>
      <c r="P11" s="235">
        <f t="shared" ref="P11:P16" si="7">SUM(Q11:AE11)</f>
        <v>4537</v>
      </c>
      <c r="Q11" s="234">
        <v>100</v>
      </c>
      <c r="R11" s="234">
        <v>800</v>
      </c>
      <c r="S11" s="234">
        <v>700</v>
      </c>
      <c r="T11" s="234"/>
      <c r="U11" s="234">
        <v>600</v>
      </c>
      <c r="V11" s="234">
        <v>130</v>
      </c>
      <c r="W11" s="234">
        <v>60</v>
      </c>
      <c r="X11" s="234">
        <v>1100</v>
      </c>
      <c r="Y11" s="234">
        <v>510</v>
      </c>
      <c r="Z11" s="234">
        <v>537</v>
      </c>
      <c r="AA11" s="234"/>
      <c r="AB11" s="234"/>
      <c r="AC11" s="234"/>
      <c r="AD11" s="234"/>
      <c r="AE11" s="234"/>
      <c r="AF11" s="234">
        <f t="shared" ref="AF11:AF24" si="8">SUM(AG11:AH11)</f>
        <v>0</v>
      </c>
      <c r="AG11" s="234"/>
      <c r="AH11" s="234"/>
      <c r="AI11" s="197">
        <f t="shared" si="2"/>
        <v>0</v>
      </c>
    </row>
    <row r="12" spans="1:36" s="198" customFormat="1" ht="26.1" customHeight="1">
      <c r="A12" s="190" t="s">
        <v>69</v>
      </c>
      <c r="B12" s="191" t="s">
        <v>260</v>
      </c>
      <c r="C12" s="230" t="s">
        <v>687</v>
      </c>
      <c r="D12" s="238">
        <v>3</v>
      </c>
      <c r="E12" s="234">
        <f t="shared" si="5"/>
        <v>50000</v>
      </c>
      <c r="F12" s="234">
        <v>0</v>
      </c>
      <c r="G12" s="234">
        <v>50000</v>
      </c>
      <c r="H12" s="240">
        <f t="shared" si="6"/>
        <v>12500</v>
      </c>
      <c r="I12" s="234"/>
      <c r="J12" s="234">
        <v>0</v>
      </c>
      <c r="K12" s="234">
        <v>7500</v>
      </c>
      <c r="L12" s="234">
        <v>2500</v>
      </c>
      <c r="M12" s="234">
        <v>0</v>
      </c>
      <c r="N12" s="234">
        <v>2500</v>
      </c>
      <c r="O12" s="235"/>
      <c r="P12" s="235">
        <f t="shared" si="7"/>
        <v>37500</v>
      </c>
      <c r="Q12" s="234"/>
      <c r="R12" s="234">
        <v>9500</v>
      </c>
      <c r="S12" s="234">
        <v>9500</v>
      </c>
      <c r="T12" s="234"/>
      <c r="U12" s="234">
        <v>4000</v>
      </c>
      <c r="V12" s="234">
        <v>1500</v>
      </c>
      <c r="W12" s="234"/>
      <c r="X12" s="234">
        <v>4000</v>
      </c>
      <c r="Y12" s="234">
        <v>4000</v>
      </c>
      <c r="Z12" s="234">
        <v>5000</v>
      </c>
      <c r="AA12" s="234"/>
      <c r="AB12" s="234"/>
      <c r="AC12" s="234"/>
      <c r="AD12" s="234"/>
      <c r="AE12" s="234"/>
      <c r="AF12" s="234">
        <f t="shared" si="8"/>
        <v>0</v>
      </c>
      <c r="AG12" s="234"/>
      <c r="AH12" s="234"/>
      <c r="AI12" s="197">
        <f t="shared" si="2"/>
        <v>0</v>
      </c>
    </row>
    <row r="13" spans="1:36" s="198" customFormat="1" ht="26.1" customHeight="1">
      <c r="A13" s="190" t="s">
        <v>69</v>
      </c>
      <c r="B13" s="191" t="s">
        <v>260</v>
      </c>
      <c r="C13" s="230" t="s">
        <v>688</v>
      </c>
      <c r="D13" s="238">
        <v>3</v>
      </c>
      <c r="E13" s="234">
        <f t="shared" si="5"/>
        <v>650</v>
      </c>
      <c r="F13" s="234">
        <v>650</v>
      </c>
      <c r="G13" s="234"/>
      <c r="H13" s="240">
        <f t="shared" si="6"/>
        <v>100</v>
      </c>
      <c r="I13" s="234"/>
      <c r="J13" s="234"/>
      <c r="K13" s="234"/>
      <c r="L13" s="234"/>
      <c r="M13" s="234"/>
      <c r="N13" s="234"/>
      <c r="O13" s="235">
        <v>100</v>
      </c>
      <c r="P13" s="235">
        <f t="shared" si="7"/>
        <v>550</v>
      </c>
      <c r="Q13" s="234"/>
      <c r="R13" s="234"/>
      <c r="S13" s="234"/>
      <c r="T13" s="234"/>
      <c r="U13" s="234"/>
      <c r="V13" s="234"/>
      <c r="W13" s="234"/>
      <c r="X13" s="234"/>
      <c r="Y13" s="234"/>
      <c r="Z13" s="234"/>
      <c r="AA13" s="234"/>
      <c r="AB13" s="234"/>
      <c r="AC13" s="234"/>
      <c r="AD13" s="234"/>
      <c r="AE13" s="234">
        <v>550</v>
      </c>
      <c r="AF13" s="234">
        <f t="shared" si="8"/>
        <v>0</v>
      </c>
      <c r="AG13" s="234"/>
      <c r="AH13" s="234"/>
      <c r="AI13" s="197">
        <f t="shared" si="2"/>
        <v>0</v>
      </c>
    </row>
    <row r="14" spans="1:36" s="198" customFormat="1" ht="26.1" customHeight="1">
      <c r="A14" s="190" t="s">
        <v>69</v>
      </c>
      <c r="B14" s="191" t="s">
        <v>260</v>
      </c>
      <c r="C14" s="230" t="s">
        <v>262</v>
      </c>
      <c r="D14" s="238">
        <v>1</v>
      </c>
      <c r="E14" s="234">
        <f t="shared" si="5"/>
        <v>1000</v>
      </c>
      <c r="F14" s="234">
        <v>1000</v>
      </c>
      <c r="G14" s="234"/>
      <c r="H14" s="240">
        <f t="shared" si="6"/>
        <v>500</v>
      </c>
      <c r="I14" s="234"/>
      <c r="J14" s="234"/>
      <c r="K14" s="234"/>
      <c r="L14" s="234"/>
      <c r="M14" s="234"/>
      <c r="N14" s="234"/>
      <c r="O14" s="235">
        <v>500</v>
      </c>
      <c r="P14" s="235">
        <f t="shared" si="7"/>
        <v>500</v>
      </c>
      <c r="Q14" s="234"/>
      <c r="R14" s="234"/>
      <c r="S14" s="234"/>
      <c r="T14" s="234"/>
      <c r="U14" s="234"/>
      <c r="V14" s="234"/>
      <c r="W14" s="234"/>
      <c r="X14" s="234"/>
      <c r="Y14" s="234"/>
      <c r="Z14" s="234"/>
      <c r="AA14" s="234"/>
      <c r="AB14" s="234"/>
      <c r="AC14" s="234"/>
      <c r="AD14" s="234"/>
      <c r="AE14" s="234">
        <v>500</v>
      </c>
      <c r="AF14" s="234">
        <f t="shared" si="8"/>
        <v>0</v>
      </c>
      <c r="AG14" s="234"/>
      <c r="AH14" s="234"/>
      <c r="AI14" s="197">
        <f t="shared" si="2"/>
        <v>0</v>
      </c>
    </row>
    <row r="15" spans="1:36" s="198" customFormat="1" ht="26.1" customHeight="1">
      <c r="A15" s="190" t="s">
        <v>69</v>
      </c>
      <c r="B15" s="191" t="s">
        <v>260</v>
      </c>
      <c r="C15" s="230" t="s">
        <v>263</v>
      </c>
      <c r="D15" s="238">
        <v>3</v>
      </c>
      <c r="E15" s="234">
        <f t="shared" si="5"/>
        <v>3500</v>
      </c>
      <c r="F15" s="234">
        <v>3500</v>
      </c>
      <c r="G15" s="234">
        <v>0</v>
      </c>
      <c r="H15" s="240">
        <f t="shared" si="6"/>
        <v>1000</v>
      </c>
      <c r="I15" s="234">
        <v>100</v>
      </c>
      <c r="J15" s="234">
        <v>200</v>
      </c>
      <c r="K15" s="234">
        <v>200</v>
      </c>
      <c r="L15" s="234">
        <v>200</v>
      </c>
      <c r="M15" s="234">
        <v>200</v>
      </c>
      <c r="N15" s="234">
        <v>100</v>
      </c>
      <c r="O15" s="235"/>
      <c r="P15" s="235">
        <f t="shared" si="7"/>
        <v>2500</v>
      </c>
      <c r="Q15" s="234">
        <v>100</v>
      </c>
      <c r="R15" s="234">
        <v>200</v>
      </c>
      <c r="S15" s="234">
        <v>300</v>
      </c>
      <c r="T15" s="234"/>
      <c r="U15" s="234">
        <v>100</v>
      </c>
      <c r="V15" s="234">
        <v>100</v>
      </c>
      <c r="W15" s="234"/>
      <c r="X15" s="234">
        <v>300</v>
      </c>
      <c r="Y15" s="234"/>
      <c r="Z15" s="234">
        <v>100</v>
      </c>
      <c r="AA15" s="234"/>
      <c r="AB15" s="234"/>
      <c r="AC15" s="234"/>
      <c r="AD15" s="234"/>
      <c r="AE15" s="234">
        <v>1300</v>
      </c>
      <c r="AF15" s="234">
        <f t="shared" si="8"/>
        <v>0</v>
      </c>
      <c r="AG15" s="234"/>
      <c r="AH15" s="234"/>
      <c r="AI15" s="197">
        <f t="shared" si="2"/>
        <v>0</v>
      </c>
    </row>
    <row r="16" spans="1:36" s="198" customFormat="1" ht="26.1" customHeight="1">
      <c r="A16" s="190" t="s">
        <v>69</v>
      </c>
      <c r="B16" s="191" t="s">
        <v>260</v>
      </c>
      <c r="C16" s="230" t="s">
        <v>264</v>
      </c>
      <c r="D16" s="238">
        <v>3</v>
      </c>
      <c r="E16" s="234">
        <f t="shared" si="5"/>
        <v>45000</v>
      </c>
      <c r="F16" s="234">
        <v>44000</v>
      </c>
      <c r="G16" s="234">
        <v>1000</v>
      </c>
      <c r="H16" s="240">
        <f t="shared" si="6"/>
        <v>21500</v>
      </c>
      <c r="I16" s="234">
        <v>3000</v>
      </c>
      <c r="J16" s="234">
        <v>3100</v>
      </c>
      <c r="K16" s="234">
        <v>5200</v>
      </c>
      <c r="L16" s="234">
        <v>2000</v>
      </c>
      <c r="M16" s="234">
        <v>3000</v>
      </c>
      <c r="N16" s="234">
        <v>5200</v>
      </c>
      <c r="O16" s="235"/>
      <c r="P16" s="235">
        <f t="shared" si="7"/>
        <v>23500</v>
      </c>
      <c r="Q16" s="234">
        <v>1000</v>
      </c>
      <c r="R16" s="234">
        <v>3000</v>
      </c>
      <c r="S16" s="234">
        <v>5000</v>
      </c>
      <c r="T16" s="234">
        <v>1000</v>
      </c>
      <c r="U16" s="234">
        <v>1000</v>
      </c>
      <c r="V16" s="234">
        <v>1000</v>
      </c>
      <c r="W16" s="234">
        <v>1000</v>
      </c>
      <c r="X16" s="234">
        <v>4500</v>
      </c>
      <c r="Y16" s="234">
        <v>1500</v>
      </c>
      <c r="Z16" s="234">
        <v>2000</v>
      </c>
      <c r="AA16" s="234">
        <v>0</v>
      </c>
      <c r="AB16" s="234">
        <v>500</v>
      </c>
      <c r="AC16" s="234">
        <v>500</v>
      </c>
      <c r="AD16" s="234">
        <v>500</v>
      </c>
      <c r="AE16" s="234">
        <v>1000</v>
      </c>
      <c r="AF16" s="234">
        <f t="shared" si="8"/>
        <v>0</v>
      </c>
      <c r="AG16" s="234"/>
      <c r="AH16" s="234"/>
      <c r="AI16" s="197">
        <f t="shared" si="2"/>
        <v>0</v>
      </c>
    </row>
    <row r="17" spans="1:35" s="198" customFormat="1" ht="26.1" customHeight="1">
      <c r="A17" s="190" t="s">
        <v>69</v>
      </c>
      <c r="B17" s="191" t="s">
        <v>260</v>
      </c>
      <c r="C17" s="230" t="s">
        <v>265</v>
      </c>
      <c r="D17" s="238">
        <v>3</v>
      </c>
      <c r="E17" s="234">
        <f t="shared" si="5"/>
        <v>2000</v>
      </c>
      <c r="F17" s="234">
        <v>2000</v>
      </c>
      <c r="G17" s="234">
        <v>0</v>
      </c>
      <c r="H17" s="240">
        <f t="shared" si="6"/>
        <v>1000</v>
      </c>
      <c r="I17" s="234"/>
      <c r="J17" s="234">
        <v>200</v>
      </c>
      <c r="K17" s="234">
        <v>200</v>
      </c>
      <c r="L17" s="234">
        <v>200</v>
      </c>
      <c r="M17" s="234">
        <v>200</v>
      </c>
      <c r="N17" s="234">
        <v>200</v>
      </c>
      <c r="O17" s="235"/>
      <c r="P17" s="235">
        <v>1000</v>
      </c>
      <c r="Q17" s="234"/>
      <c r="R17" s="234">
        <v>200</v>
      </c>
      <c r="S17" s="234">
        <v>200</v>
      </c>
      <c r="T17" s="234"/>
      <c r="U17" s="234"/>
      <c r="V17" s="234">
        <v>100</v>
      </c>
      <c r="W17" s="234"/>
      <c r="X17" s="234">
        <v>200</v>
      </c>
      <c r="Y17" s="234">
        <v>100</v>
      </c>
      <c r="Z17" s="234">
        <v>200</v>
      </c>
      <c r="AA17" s="234"/>
      <c r="AB17" s="234"/>
      <c r="AC17" s="234"/>
      <c r="AD17" s="234"/>
      <c r="AE17" s="234"/>
      <c r="AF17" s="234">
        <f t="shared" si="8"/>
        <v>0</v>
      </c>
      <c r="AG17" s="234"/>
      <c r="AH17" s="234"/>
      <c r="AI17" s="197">
        <f t="shared" si="2"/>
        <v>0</v>
      </c>
    </row>
    <row r="18" spans="1:35" s="198" customFormat="1" ht="26.1" customHeight="1">
      <c r="A18" s="190" t="s">
        <v>756</v>
      </c>
      <c r="B18" s="191" t="s">
        <v>260</v>
      </c>
      <c r="C18" s="230" t="s">
        <v>266</v>
      </c>
      <c r="D18" s="238">
        <v>3</v>
      </c>
      <c r="E18" s="234">
        <f t="shared" si="5"/>
        <v>1000</v>
      </c>
      <c r="F18" s="234">
        <v>1000</v>
      </c>
      <c r="G18" s="234">
        <v>0</v>
      </c>
      <c r="H18" s="240">
        <f t="shared" si="6"/>
        <v>0</v>
      </c>
      <c r="I18" s="234"/>
      <c r="J18" s="234"/>
      <c r="K18" s="234"/>
      <c r="L18" s="234"/>
      <c r="M18" s="234"/>
      <c r="N18" s="234"/>
      <c r="O18" s="235"/>
      <c r="P18" s="235">
        <f t="shared" ref="P18:P24" si="9">SUM(Q18:AE18)</f>
        <v>1000</v>
      </c>
      <c r="Q18" s="234"/>
      <c r="R18" s="234"/>
      <c r="S18" s="234"/>
      <c r="T18" s="234"/>
      <c r="U18" s="234"/>
      <c r="V18" s="234"/>
      <c r="W18" s="234"/>
      <c r="X18" s="234"/>
      <c r="Y18" s="234"/>
      <c r="Z18" s="234"/>
      <c r="AA18" s="234"/>
      <c r="AB18" s="234"/>
      <c r="AC18" s="234"/>
      <c r="AD18" s="234"/>
      <c r="AE18" s="234">
        <v>1000</v>
      </c>
      <c r="AF18" s="234">
        <f t="shared" si="8"/>
        <v>0</v>
      </c>
      <c r="AG18" s="234"/>
      <c r="AH18" s="234"/>
      <c r="AI18" s="197">
        <f t="shared" si="2"/>
        <v>0</v>
      </c>
    </row>
    <row r="19" spans="1:35" s="198" customFormat="1" ht="26.1" customHeight="1">
      <c r="A19" s="190" t="s">
        <v>69</v>
      </c>
      <c r="B19" s="191" t="s">
        <v>260</v>
      </c>
      <c r="C19" s="230" t="s">
        <v>267</v>
      </c>
      <c r="D19" s="238">
        <v>3</v>
      </c>
      <c r="E19" s="234">
        <f t="shared" si="5"/>
        <v>141921</v>
      </c>
      <c r="F19" s="234">
        <v>141921</v>
      </c>
      <c r="G19" s="234">
        <v>0</v>
      </c>
      <c r="H19" s="240">
        <f t="shared" si="6"/>
        <v>20348</v>
      </c>
      <c r="I19" s="234">
        <v>0</v>
      </c>
      <c r="J19" s="234">
        <v>4070</v>
      </c>
      <c r="K19" s="234">
        <v>5697</v>
      </c>
      <c r="L19" s="234">
        <v>4680</v>
      </c>
      <c r="M19" s="234">
        <v>814</v>
      </c>
      <c r="N19" s="234">
        <v>5087</v>
      </c>
      <c r="O19" s="235"/>
      <c r="P19" s="235">
        <f t="shared" si="9"/>
        <v>121573</v>
      </c>
      <c r="Q19" s="234">
        <v>2451</v>
      </c>
      <c r="R19" s="234">
        <v>21763</v>
      </c>
      <c r="S19" s="234">
        <v>22889</v>
      </c>
      <c r="T19" s="234">
        <v>2451</v>
      </c>
      <c r="U19" s="234">
        <v>11032</v>
      </c>
      <c r="V19" s="234">
        <v>3677</v>
      </c>
      <c r="W19" s="234">
        <v>2451</v>
      </c>
      <c r="X19" s="234">
        <v>21763</v>
      </c>
      <c r="Y19" s="234">
        <v>3677</v>
      </c>
      <c r="Z19" s="234">
        <v>7354</v>
      </c>
      <c r="AA19" s="234">
        <v>0</v>
      </c>
      <c r="AB19" s="234">
        <v>3677</v>
      </c>
      <c r="AC19" s="234">
        <v>2451</v>
      </c>
      <c r="AD19" s="234">
        <v>2451</v>
      </c>
      <c r="AE19" s="234">
        <v>13486</v>
      </c>
      <c r="AF19" s="234">
        <f t="shared" si="8"/>
        <v>0</v>
      </c>
      <c r="AG19" s="234"/>
      <c r="AH19" s="234"/>
      <c r="AI19" s="197">
        <f t="shared" si="2"/>
        <v>0</v>
      </c>
    </row>
    <row r="20" spans="1:35" s="198" customFormat="1" ht="26.1" customHeight="1">
      <c r="A20" s="190" t="s">
        <v>69</v>
      </c>
      <c r="B20" s="191" t="s">
        <v>260</v>
      </c>
      <c r="C20" s="230" t="s">
        <v>261</v>
      </c>
      <c r="D20" s="238">
        <v>3</v>
      </c>
      <c r="E20" s="234">
        <f t="shared" si="5"/>
        <v>300</v>
      </c>
      <c r="F20" s="234">
        <v>300</v>
      </c>
      <c r="G20" s="234">
        <v>0</v>
      </c>
      <c r="H20" s="240">
        <f t="shared" si="6"/>
        <v>150</v>
      </c>
      <c r="I20" s="234"/>
      <c r="J20" s="234"/>
      <c r="K20" s="234">
        <v>25</v>
      </c>
      <c r="L20" s="234">
        <v>60</v>
      </c>
      <c r="M20" s="234"/>
      <c r="N20" s="234">
        <v>65</v>
      </c>
      <c r="O20" s="235"/>
      <c r="P20" s="235">
        <f t="shared" si="9"/>
        <v>150</v>
      </c>
      <c r="Q20" s="234"/>
      <c r="R20" s="234">
        <v>20</v>
      </c>
      <c r="S20" s="234">
        <v>25</v>
      </c>
      <c r="T20" s="234"/>
      <c r="U20" s="234">
        <v>15</v>
      </c>
      <c r="V20" s="234">
        <v>15</v>
      </c>
      <c r="W20" s="234"/>
      <c r="X20" s="234">
        <v>25</v>
      </c>
      <c r="Y20" s="234">
        <v>25</v>
      </c>
      <c r="Z20" s="234">
        <v>25</v>
      </c>
      <c r="AA20" s="234"/>
      <c r="AB20" s="234"/>
      <c r="AC20" s="234"/>
      <c r="AD20" s="234"/>
      <c r="AE20" s="234"/>
      <c r="AF20" s="234">
        <f t="shared" si="8"/>
        <v>0</v>
      </c>
      <c r="AG20" s="234"/>
      <c r="AH20" s="234"/>
      <c r="AI20" s="197">
        <f t="shared" si="2"/>
        <v>0</v>
      </c>
    </row>
    <row r="21" spans="1:35" s="198" customFormat="1" ht="26.1" customHeight="1">
      <c r="A21" s="190" t="s">
        <v>69</v>
      </c>
      <c r="B21" s="191" t="s">
        <v>260</v>
      </c>
      <c r="C21" s="230" t="s">
        <v>268</v>
      </c>
      <c r="D21" s="238">
        <v>3</v>
      </c>
      <c r="E21" s="234">
        <f t="shared" si="5"/>
        <v>321200</v>
      </c>
      <c r="F21" s="234">
        <v>36800</v>
      </c>
      <c r="G21" s="234">
        <v>284400</v>
      </c>
      <c r="H21" s="240">
        <f t="shared" si="6"/>
        <v>76330</v>
      </c>
      <c r="I21" s="234">
        <v>0</v>
      </c>
      <c r="J21" s="234">
        <v>8400</v>
      </c>
      <c r="K21" s="234">
        <v>15000</v>
      </c>
      <c r="L21" s="234">
        <v>12000</v>
      </c>
      <c r="M21" s="234">
        <v>10930</v>
      </c>
      <c r="N21" s="234">
        <v>30000</v>
      </c>
      <c r="O21" s="235"/>
      <c r="P21" s="235">
        <f t="shared" si="9"/>
        <v>244870</v>
      </c>
      <c r="Q21" s="234">
        <v>8500</v>
      </c>
      <c r="R21" s="234">
        <v>31500</v>
      </c>
      <c r="S21" s="234">
        <v>25000</v>
      </c>
      <c r="T21" s="234">
        <v>13000</v>
      </c>
      <c r="U21" s="234">
        <v>15500</v>
      </c>
      <c r="V21" s="234">
        <v>15000</v>
      </c>
      <c r="W21" s="234">
        <v>20000</v>
      </c>
      <c r="X21" s="234">
        <v>20000</v>
      </c>
      <c r="Y21" s="234">
        <v>20500</v>
      </c>
      <c r="Z21" s="234">
        <v>23500</v>
      </c>
      <c r="AA21" s="234">
        <v>1370</v>
      </c>
      <c r="AB21" s="234">
        <v>5000</v>
      </c>
      <c r="AC21" s="234">
        <v>21000</v>
      </c>
      <c r="AD21" s="234">
        <v>25000</v>
      </c>
      <c r="AE21" s="234"/>
      <c r="AF21" s="234">
        <f t="shared" si="8"/>
        <v>0</v>
      </c>
      <c r="AG21" s="234"/>
      <c r="AH21" s="234"/>
      <c r="AI21" s="197">
        <f t="shared" si="2"/>
        <v>0</v>
      </c>
    </row>
    <row r="22" spans="1:35" s="198" customFormat="1" ht="26.1" customHeight="1">
      <c r="A22" s="190" t="s">
        <v>69</v>
      </c>
      <c r="B22" s="191" t="s">
        <v>260</v>
      </c>
      <c r="C22" s="230" t="s">
        <v>269</v>
      </c>
      <c r="D22" s="238">
        <v>3</v>
      </c>
      <c r="E22" s="234">
        <f t="shared" si="5"/>
        <v>227500</v>
      </c>
      <c r="F22" s="234">
        <v>34000</v>
      </c>
      <c r="G22" s="234">
        <v>193500</v>
      </c>
      <c r="H22" s="240">
        <f t="shared" si="6"/>
        <v>30500</v>
      </c>
      <c r="I22" s="234">
        <v>0</v>
      </c>
      <c r="J22" s="234">
        <v>4500</v>
      </c>
      <c r="K22" s="234">
        <v>5500</v>
      </c>
      <c r="L22" s="234">
        <v>8000</v>
      </c>
      <c r="M22" s="234">
        <v>5000</v>
      </c>
      <c r="N22" s="234">
        <v>7500</v>
      </c>
      <c r="O22" s="235"/>
      <c r="P22" s="235">
        <f t="shared" si="9"/>
        <v>197000</v>
      </c>
      <c r="Q22" s="234">
        <v>6500</v>
      </c>
      <c r="R22" s="234">
        <v>25000</v>
      </c>
      <c r="S22" s="234">
        <v>30000</v>
      </c>
      <c r="T22" s="234">
        <v>13500</v>
      </c>
      <c r="U22" s="234">
        <v>15000</v>
      </c>
      <c r="V22" s="234">
        <v>18000</v>
      </c>
      <c r="W22" s="234">
        <v>16000</v>
      </c>
      <c r="X22" s="234">
        <v>17500</v>
      </c>
      <c r="Y22" s="234">
        <v>20000</v>
      </c>
      <c r="Z22" s="234">
        <v>15000</v>
      </c>
      <c r="AA22" s="234">
        <v>3000</v>
      </c>
      <c r="AB22" s="234">
        <v>3000</v>
      </c>
      <c r="AC22" s="234">
        <v>8000</v>
      </c>
      <c r="AD22" s="234">
        <v>6500</v>
      </c>
      <c r="AE22" s="234"/>
      <c r="AF22" s="234">
        <f t="shared" si="8"/>
        <v>0</v>
      </c>
      <c r="AG22" s="234"/>
      <c r="AH22" s="234"/>
      <c r="AI22" s="197">
        <f t="shared" si="2"/>
        <v>0</v>
      </c>
    </row>
    <row r="23" spans="1:35" s="198" customFormat="1" ht="26.1" customHeight="1">
      <c r="A23" s="190" t="s">
        <v>69</v>
      </c>
      <c r="B23" s="191" t="s">
        <v>260</v>
      </c>
      <c r="C23" s="230" t="s">
        <v>270</v>
      </c>
      <c r="D23" s="238">
        <v>3</v>
      </c>
      <c r="E23" s="234">
        <f t="shared" si="5"/>
        <v>66012</v>
      </c>
      <c r="F23" s="234">
        <v>46800</v>
      </c>
      <c r="G23" s="234">
        <v>19212</v>
      </c>
      <c r="H23" s="240">
        <f t="shared" si="6"/>
        <v>23012</v>
      </c>
      <c r="I23" s="234">
        <v>0</v>
      </c>
      <c r="J23" s="234">
        <v>7212</v>
      </c>
      <c r="K23" s="234">
        <v>3000</v>
      </c>
      <c r="L23" s="234">
        <v>2000</v>
      </c>
      <c r="M23" s="234">
        <v>1800</v>
      </c>
      <c r="N23" s="234">
        <v>9000</v>
      </c>
      <c r="O23" s="235"/>
      <c r="P23" s="235">
        <f t="shared" si="9"/>
        <v>43000</v>
      </c>
      <c r="Q23" s="234">
        <v>100</v>
      </c>
      <c r="R23" s="234">
        <v>11000</v>
      </c>
      <c r="S23" s="234">
        <v>2500</v>
      </c>
      <c r="T23" s="234">
        <v>500</v>
      </c>
      <c r="U23" s="234">
        <v>500</v>
      </c>
      <c r="V23" s="234">
        <v>2500</v>
      </c>
      <c r="W23" s="234">
        <v>3000</v>
      </c>
      <c r="X23" s="234">
        <v>5000</v>
      </c>
      <c r="Y23" s="234">
        <v>8000</v>
      </c>
      <c r="Z23" s="234">
        <v>7300</v>
      </c>
      <c r="AA23" s="234">
        <v>200</v>
      </c>
      <c r="AB23" s="234">
        <v>200</v>
      </c>
      <c r="AC23" s="234">
        <v>1200</v>
      </c>
      <c r="AD23" s="234">
        <v>1000</v>
      </c>
      <c r="AE23" s="234"/>
      <c r="AF23" s="234">
        <f t="shared" si="8"/>
        <v>0</v>
      </c>
      <c r="AG23" s="234"/>
      <c r="AH23" s="234"/>
      <c r="AI23" s="197">
        <f t="shared" si="2"/>
        <v>0</v>
      </c>
    </row>
    <row r="24" spans="1:35" s="198" customFormat="1" ht="26.1" customHeight="1">
      <c r="A24" s="190" t="s">
        <v>69</v>
      </c>
      <c r="B24" s="191" t="s">
        <v>260</v>
      </c>
      <c r="C24" s="230" t="s">
        <v>271</v>
      </c>
      <c r="D24" s="238">
        <v>3</v>
      </c>
      <c r="E24" s="234">
        <f t="shared" si="5"/>
        <v>50000</v>
      </c>
      <c r="F24" s="234">
        <v>10800</v>
      </c>
      <c r="G24" s="234">
        <v>39200</v>
      </c>
      <c r="H24" s="240">
        <f t="shared" si="6"/>
        <v>12050</v>
      </c>
      <c r="I24" s="234">
        <v>0</v>
      </c>
      <c r="J24" s="234">
        <v>1000</v>
      </c>
      <c r="K24" s="234">
        <v>1300</v>
      </c>
      <c r="L24" s="234">
        <v>1550</v>
      </c>
      <c r="M24" s="234">
        <v>1200</v>
      </c>
      <c r="N24" s="234">
        <v>7000</v>
      </c>
      <c r="O24" s="235"/>
      <c r="P24" s="235">
        <f t="shared" si="9"/>
        <v>37950</v>
      </c>
      <c r="Q24" s="234">
        <v>600</v>
      </c>
      <c r="R24" s="234">
        <v>7500</v>
      </c>
      <c r="S24" s="234">
        <v>8650</v>
      </c>
      <c r="T24" s="234">
        <v>500</v>
      </c>
      <c r="U24" s="234">
        <v>2000</v>
      </c>
      <c r="V24" s="234">
        <v>3000</v>
      </c>
      <c r="W24" s="234">
        <v>1300</v>
      </c>
      <c r="X24" s="234">
        <v>4000</v>
      </c>
      <c r="Y24" s="234">
        <v>4000</v>
      </c>
      <c r="Z24" s="234">
        <v>4500</v>
      </c>
      <c r="AA24" s="234">
        <v>500</v>
      </c>
      <c r="AB24" s="234">
        <v>500</v>
      </c>
      <c r="AC24" s="234">
        <v>800</v>
      </c>
      <c r="AD24" s="234">
        <v>100</v>
      </c>
      <c r="AE24" s="234"/>
      <c r="AF24" s="234">
        <f t="shared" si="8"/>
        <v>0</v>
      </c>
      <c r="AG24" s="234"/>
      <c r="AH24" s="234"/>
      <c r="AI24" s="197">
        <f t="shared" si="2"/>
        <v>0</v>
      </c>
    </row>
    <row r="25" spans="1:35" s="198" customFormat="1" ht="26.1" customHeight="1">
      <c r="A25" s="190"/>
      <c r="B25" s="191"/>
      <c r="C25" s="230"/>
      <c r="D25" s="238"/>
      <c r="E25" s="232">
        <f t="shared" ref="E25:AH25" si="10">E26+E50</f>
        <v>2544168</v>
      </c>
      <c r="F25" s="232">
        <f t="shared" si="10"/>
        <v>1210792</v>
      </c>
      <c r="G25" s="232">
        <f t="shared" si="10"/>
        <v>1333376</v>
      </c>
      <c r="H25" s="232">
        <f t="shared" si="10"/>
        <v>356789</v>
      </c>
      <c r="I25" s="232">
        <f t="shared" si="10"/>
        <v>3160</v>
      </c>
      <c r="J25" s="232">
        <f t="shared" si="10"/>
        <v>28773</v>
      </c>
      <c r="K25" s="232">
        <f t="shared" si="10"/>
        <v>64878</v>
      </c>
      <c r="L25" s="232">
        <f t="shared" si="10"/>
        <v>50902</v>
      </c>
      <c r="M25" s="232">
        <f t="shared" si="10"/>
        <v>2172</v>
      </c>
      <c r="N25" s="232">
        <f t="shared" si="10"/>
        <v>76333</v>
      </c>
      <c r="O25" s="232">
        <f t="shared" si="10"/>
        <v>130571</v>
      </c>
      <c r="P25" s="232">
        <f t="shared" si="10"/>
        <v>2187049</v>
      </c>
      <c r="Q25" s="232">
        <f t="shared" si="10"/>
        <v>118180</v>
      </c>
      <c r="R25" s="232">
        <f t="shared" si="10"/>
        <v>175407</v>
      </c>
      <c r="S25" s="232">
        <f t="shared" si="10"/>
        <v>135386</v>
      </c>
      <c r="T25" s="232">
        <f t="shared" si="10"/>
        <v>2188</v>
      </c>
      <c r="U25" s="232">
        <f t="shared" si="10"/>
        <v>211612</v>
      </c>
      <c r="V25" s="232">
        <f t="shared" si="10"/>
        <v>1468</v>
      </c>
      <c r="W25" s="232">
        <f t="shared" si="10"/>
        <v>131500</v>
      </c>
      <c r="X25" s="232">
        <f t="shared" si="10"/>
        <v>388848</v>
      </c>
      <c r="Y25" s="232">
        <f t="shared" si="10"/>
        <v>393761</v>
      </c>
      <c r="Z25" s="232">
        <f t="shared" si="10"/>
        <v>296362</v>
      </c>
      <c r="AA25" s="232">
        <f t="shared" si="10"/>
        <v>949</v>
      </c>
      <c r="AB25" s="232">
        <f t="shared" si="10"/>
        <v>1994</v>
      </c>
      <c r="AC25" s="232">
        <f t="shared" si="10"/>
        <v>1699</v>
      </c>
      <c r="AD25" s="232">
        <f t="shared" si="10"/>
        <v>2340</v>
      </c>
      <c r="AE25" s="232">
        <f t="shared" si="10"/>
        <v>325355</v>
      </c>
      <c r="AF25" s="232">
        <f t="shared" si="10"/>
        <v>330</v>
      </c>
      <c r="AG25" s="232">
        <f t="shared" si="10"/>
        <v>200</v>
      </c>
      <c r="AH25" s="232">
        <f t="shared" si="10"/>
        <v>130</v>
      </c>
      <c r="AI25" s="197">
        <f t="shared" si="2"/>
        <v>0</v>
      </c>
    </row>
    <row r="26" spans="1:35" s="198" customFormat="1" ht="26.1" customHeight="1">
      <c r="A26" s="190"/>
      <c r="B26" s="191"/>
      <c r="C26" s="230"/>
      <c r="D26" s="238"/>
      <c r="E26" s="245">
        <f t="shared" ref="E26:AH26" si="11">SUM(E27:E49)</f>
        <v>2525082</v>
      </c>
      <c r="F26" s="234">
        <f t="shared" si="11"/>
        <v>1200184</v>
      </c>
      <c r="G26" s="234">
        <f t="shared" si="11"/>
        <v>1324898</v>
      </c>
      <c r="H26" s="245">
        <f t="shared" si="11"/>
        <v>356789</v>
      </c>
      <c r="I26" s="234">
        <f t="shared" si="11"/>
        <v>3160</v>
      </c>
      <c r="J26" s="234">
        <f t="shared" si="11"/>
        <v>28773</v>
      </c>
      <c r="K26" s="234">
        <f t="shared" si="11"/>
        <v>64878</v>
      </c>
      <c r="L26" s="234">
        <f t="shared" si="11"/>
        <v>50902</v>
      </c>
      <c r="M26" s="234">
        <f t="shared" si="11"/>
        <v>2172</v>
      </c>
      <c r="N26" s="234">
        <f t="shared" si="11"/>
        <v>76333</v>
      </c>
      <c r="O26" s="234">
        <f t="shared" si="11"/>
        <v>130571</v>
      </c>
      <c r="P26" s="245">
        <f t="shared" si="11"/>
        <v>2167963</v>
      </c>
      <c r="Q26" s="234">
        <f t="shared" si="11"/>
        <v>118180</v>
      </c>
      <c r="R26" s="234">
        <f t="shared" si="11"/>
        <v>175407</v>
      </c>
      <c r="S26" s="234">
        <f t="shared" si="11"/>
        <v>135386</v>
      </c>
      <c r="T26" s="234">
        <f t="shared" si="11"/>
        <v>2188</v>
      </c>
      <c r="U26" s="234">
        <f t="shared" si="11"/>
        <v>211612</v>
      </c>
      <c r="V26" s="234">
        <f t="shared" si="11"/>
        <v>1468</v>
      </c>
      <c r="W26" s="234">
        <f t="shared" si="11"/>
        <v>131500</v>
      </c>
      <c r="X26" s="234">
        <f t="shared" si="11"/>
        <v>385998</v>
      </c>
      <c r="Y26" s="234">
        <f t="shared" si="11"/>
        <v>393761</v>
      </c>
      <c r="Z26" s="234">
        <f t="shared" si="11"/>
        <v>296362</v>
      </c>
      <c r="AA26" s="234">
        <f t="shared" si="11"/>
        <v>949</v>
      </c>
      <c r="AB26" s="234">
        <f t="shared" si="11"/>
        <v>1994</v>
      </c>
      <c r="AC26" s="234">
        <f t="shared" si="11"/>
        <v>1699</v>
      </c>
      <c r="AD26" s="234">
        <f t="shared" si="11"/>
        <v>2340</v>
      </c>
      <c r="AE26" s="234">
        <f t="shared" si="11"/>
        <v>309119</v>
      </c>
      <c r="AF26" s="245">
        <f t="shared" si="11"/>
        <v>330</v>
      </c>
      <c r="AG26" s="234">
        <f t="shared" si="11"/>
        <v>200</v>
      </c>
      <c r="AH26" s="234">
        <f t="shared" si="11"/>
        <v>130</v>
      </c>
      <c r="AI26" s="197">
        <f t="shared" si="2"/>
        <v>0</v>
      </c>
    </row>
    <row r="27" spans="1:35" s="198" customFormat="1" ht="26.1" customHeight="1">
      <c r="A27" s="262" t="s">
        <v>69</v>
      </c>
      <c r="B27" s="191" t="s">
        <v>297</v>
      </c>
      <c r="C27" s="230" t="s">
        <v>484</v>
      </c>
      <c r="D27" s="238">
        <v>1</v>
      </c>
      <c r="E27" s="234">
        <f t="shared" ref="E27:E49" si="12">SUM(F27:G27)</f>
        <v>1929</v>
      </c>
      <c r="F27" s="234">
        <v>1929</v>
      </c>
      <c r="G27" s="234"/>
      <c r="H27" s="240">
        <f t="shared" ref="H27:H49" si="13">SUM(I27:O27)</f>
        <v>300</v>
      </c>
      <c r="I27" s="234"/>
      <c r="J27" s="234">
        <v>40</v>
      </c>
      <c r="K27" s="234">
        <v>40</v>
      </c>
      <c r="L27" s="234">
        <v>40</v>
      </c>
      <c r="M27" s="234"/>
      <c r="N27" s="234">
        <v>120</v>
      </c>
      <c r="O27" s="235">
        <v>60</v>
      </c>
      <c r="P27" s="235">
        <f t="shared" ref="P27:P49" si="14">SUM(Q27:AE27)</f>
        <v>1629</v>
      </c>
      <c r="Q27" s="234">
        <v>80</v>
      </c>
      <c r="R27" s="234">
        <v>120</v>
      </c>
      <c r="S27" s="234">
        <v>120</v>
      </c>
      <c r="T27" s="234"/>
      <c r="U27" s="234">
        <v>120</v>
      </c>
      <c r="V27" s="234"/>
      <c r="W27" s="234">
        <v>40</v>
      </c>
      <c r="X27" s="234">
        <v>360</v>
      </c>
      <c r="Y27" s="234">
        <v>399</v>
      </c>
      <c r="Z27" s="234">
        <v>390</v>
      </c>
      <c r="AA27" s="234"/>
      <c r="AB27" s="234"/>
      <c r="AC27" s="234"/>
      <c r="AD27" s="234"/>
      <c r="AE27" s="234">
        <v>0</v>
      </c>
      <c r="AF27" s="234">
        <f t="shared" ref="AF27:AF49" si="15">SUM(AG27:AH27)</f>
        <v>0</v>
      </c>
      <c r="AG27" s="234"/>
      <c r="AH27" s="234"/>
      <c r="AI27" s="197">
        <f t="shared" si="2"/>
        <v>0</v>
      </c>
    </row>
    <row r="28" spans="1:35" s="198" customFormat="1" ht="26.1" customHeight="1">
      <c r="A28" s="190" t="s">
        <v>69</v>
      </c>
      <c r="B28" s="191" t="s">
        <v>297</v>
      </c>
      <c r="C28" s="230" t="s">
        <v>528</v>
      </c>
      <c r="D28" s="238">
        <v>1</v>
      </c>
      <c r="E28" s="234">
        <f t="shared" si="12"/>
        <v>5000</v>
      </c>
      <c r="F28" s="234">
        <v>5000</v>
      </c>
      <c r="G28" s="234"/>
      <c r="H28" s="240">
        <f t="shared" si="13"/>
        <v>0</v>
      </c>
      <c r="I28" s="234"/>
      <c r="J28" s="234"/>
      <c r="K28" s="234"/>
      <c r="L28" s="234"/>
      <c r="M28" s="234"/>
      <c r="N28" s="234"/>
      <c r="O28" s="235"/>
      <c r="P28" s="235">
        <f t="shared" si="14"/>
        <v>5000</v>
      </c>
      <c r="Q28" s="234"/>
      <c r="R28" s="234"/>
      <c r="S28" s="234"/>
      <c r="T28" s="234"/>
      <c r="U28" s="234"/>
      <c r="V28" s="234"/>
      <c r="W28" s="234"/>
      <c r="X28" s="234"/>
      <c r="Y28" s="234"/>
      <c r="Z28" s="234">
        <v>5000</v>
      </c>
      <c r="AA28" s="234"/>
      <c r="AB28" s="234"/>
      <c r="AC28" s="234"/>
      <c r="AD28" s="234"/>
      <c r="AE28" s="234"/>
      <c r="AF28" s="234">
        <f t="shared" si="15"/>
        <v>0</v>
      </c>
      <c r="AG28" s="234"/>
      <c r="AH28" s="234"/>
      <c r="AI28" s="197">
        <f t="shared" si="2"/>
        <v>0</v>
      </c>
    </row>
    <row r="29" spans="1:35" s="198" customFormat="1" ht="26.1" customHeight="1">
      <c r="A29" s="190" t="s">
        <v>69</v>
      </c>
      <c r="B29" s="191" t="s">
        <v>297</v>
      </c>
      <c r="C29" s="230" t="s">
        <v>485</v>
      </c>
      <c r="D29" s="238">
        <v>1</v>
      </c>
      <c r="E29" s="234">
        <f t="shared" si="12"/>
        <v>15360</v>
      </c>
      <c r="F29" s="234">
        <v>15360</v>
      </c>
      <c r="G29" s="234">
        <v>0</v>
      </c>
      <c r="H29" s="240">
        <f t="shared" si="13"/>
        <v>5707</v>
      </c>
      <c r="I29" s="234">
        <v>860</v>
      </c>
      <c r="J29" s="234">
        <v>1176</v>
      </c>
      <c r="K29" s="234">
        <v>1433</v>
      </c>
      <c r="L29" s="234">
        <v>679</v>
      </c>
      <c r="M29" s="234">
        <v>672</v>
      </c>
      <c r="N29" s="234">
        <v>887</v>
      </c>
      <c r="O29" s="235"/>
      <c r="P29" s="235">
        <f t="shared" si="14"/>
        <v>9653</v>
      </c>
      <c r="Q29" s="234">
        <v>883</v>
      </c>
      <c r="R29" s="234">
        <v>983</v>
      </c>
      <c r="S29" s="234">
        <v>766</v>
      </c>
      <c r="T29" s="234">
        <v>636</v>
      </c>
      <c r="U29" s="234">
        <v>1155</v>
      </c>
      <c r="V29" s="234">
        <v>568</v>
      </c>
      <c r="W29" s="234">
        <v>648</v>
      </c>
      <c r="X29" s="234">
        <v>1287</v>
      </c>
      <c r="Y29" s="234"/>
      <c r="Z29" s="234"/>
      <c r="AA29" s="234">
        <v>529</v>
      </c>
      <c r="AB29" s="234">
        <v>717</v>
      </c>
      <c r="AC29" s="234">
        <v>599</v>
      </c>
      <c r="AD29" s="234">
        <v>540</v>
      </c>
      <c r="AE29" s="234">
        <v>342</v>
      </c>
      <c r="AF29" s="234">
        <f t="shared" si="15"/>
        <v>0</v>
      </c>
      <c r="AG29" s="234"/>
      <c r="AH29" s="234"/>
      <c r="AI29" s="197">
        <f t="shared" si="2"/>
        <v>0</v>
      </c>
    </row>
    <row r="30" spans="1:35" s="198" customFormat="1" ht="26.1" customHeight="1">
      <c r="A30" s="190" t="s">
        <v>69</v>
      </c>
      <c r="B30" s="191" t="s">
        <v>297</v>
      </c>
      <c r="C30" s="230" t="s">
        <v>279</v>
      </c>
      <c r="D30" s="238">
        <v>1</v>
      </c>
      <c r="E30" s="234">
        <f t="shared" si="12"/>
        <v>719755</v>
      </c>
      <c r="F30" s="234">
        <v>0</v>
      </c>
      <c r="G30" s="234">
        <v>719755</v>
      </c>
      <c r="H30" s="240">
        <f t="shared" si="13"/>
        <v>37080</v>
      </c>
      <c r="I30" s="234"/>
      <c r="J30" s="234"/>
      <c r="K30" s="234">
        <v>19480</v>
      </c>
      <c r="L30" s="234">
        <v>16450</v>
      </c>
      <c r="M30" s="234"/>
      <c r="N30" s="234">
        <v>1150</v>
      </c>
      <c r="O30" s="235"/>
      <c r="P30" s="235">
        <f t="shared" si="14"/>
        <v>682675</v>
      </c>
      <c r="Q30" s="234">
        <v>62164</v>
      </c>
      <c r="R30" s="234">
        <v>85160</v>
      </c>
      <c r="S30" s="234">
        <v>74820</v>
      </c>
      <c r="T30" s="234"/>
      <c r="U30" s="234">
        <v>132922</v>
      </c>
      <c r="V30" s="234"/>
      <c r="W30" s="234">
        <v>95265</v>
      </c>
      <c r="X30" s="234">
        <v>61857</v>
      </c>
      <c r="Y30" s="234">
        <v>111882</v>
      </c>
      <c r="Z30" s="234">
        <v>29930</v>
      </c>
      <c r="AA30" s="234"/>
      <c r="AB30" s="234"/>
      <c r="AC30" s="234"/>
      <c r="AD30" s="234"/>
      <c r="AE30" s="234">
        <v>28675</v>
      </c>
      <c r="AF30" s="234">
        <f t="shared" si="15"/>
        <v>0</v>
      </c>
      <c r="AG30" s="234"/>
      <c r="AH30" s="234"/>
      <c r="AI30" s="197">
        <f t="shared" si="2"/>
        <v>0</v>
      </c>
    </row>
    <row r="31" spans="1:35" s="198" customFormat="1" ht="26.1" customHeight="1">
      <c r="A31" s="190" t="s">
        <v>69</v>
      </c>
      <c r="B31" s="191" t="s">
        <v>297</v>
      </c>
      <c r="C31" s="230" t="s">
        <v>280</v>
      </c>
      <c r="D31" s="238">
        <v>1</v>
      </c>
      <c r="E31" s="234">
        <f t="shared" si="12"/>
        <v>191000</v>
      </c>
      <c r="F31" s="234">
        <v>0</v>
      </c>
      <c r="G31" s="234">
        <v>191000</v>
      </c>
      <c r="H31" s="240">
        <f t="shared" si="13"/>
        <v>20000</v>
      </c>
      <c r="I31" s="234"/>
      <c r="J31" s="234">
        <v>3000</v>
      </c>
      <c r="K31" s="234">
        <v>8000</v>
      </c>
      <c r="L31" s="234">
        <v>5000</v>
      </c>
      <c r="M31" s="234"/>
      <c r="N31" s="234">
        <v>4000</v>
      </c>
      <c r="O31" s="235"/>
      <c r="P31" s="235">
        <f t="shared" si="14"/>
        <v>171000</v>
      </c>
      <c r="Q31" s="234">
        <v>10000</v>
      </c>
      <c r="R31" s="234">
        <v>9000</v>
      </c>
      <c r="S31" s="234">
        <v>9000</v>
      </c>
      <c r="T31" s="234"/>
      <c r="U31" s="234">
        <v>10000</v>
      </c>
      <c r="V31" s="234"/>
      <c r="W31" s="234">
        <v>3000</v>
      </c>
      <c r="X31" s="234">
        <v>30000</v>
      </c>
      <c r="Y31" s="234">
        <v>50000</v>
      </c>
      <c r="Z31" s="234">
        <v>50000</v>
      </c>
      <c r="AA31" s="234"/>
      <c r="AB31" s="234"/>
      <c r="AC31" s="234"/>
      <c r="AD31" s="234"/>
      <c r="AE31" s="234"/>
      <c r="AF31" s="234">
        <f t="shared" si="15"/>
        <v>0</v>
      </c>
      <c r="AG31" s="234"/>
      <c r="AH31" s="234"/>
      <c r="AI31" s="197">
        <f t="shared" si="2"/>
        <v>0</v>
      </c>
    </row>
    <row r="32" spans="1:35" s="198" customFormat="1" ht="26.1" customHeight="1">
      <c r="A32" s="190" t="s">
        <v>69</v>
      </c>
      <c r="B32" s="191" t="s">
        <v>297</v>
      </c>
      <c r="C32" s="230" t="s">
        <v>281</v>
      </c>
      <c r="D32" s="238">
        <v>1</v>
      </c>
      <c r="E32" s="234">
        <f t="shared" si="12"/>
        <v>98000</v>
      </c>
      <c r="F32" s="234">
        <v>98000</v>
      </c>
      <c r="G32" s="234">
        <v>0</v>
      </c>
      <c r="H32" s="240">
        <f t="shared" si="13"/>
        <v>16500</v>
      </c>
      <c r="I32" s="234"/>
      <c r="J32" s="234">
        <v>2143</v>
      </c>
      <c r="K32" s="234">
        <v>6625</v>
      </c>
      <c r="L32" s="234">
        <v>5695</v>
      </c>
      <c r="M32" s="234"/>
      <c r="N32" s="234">
        <v>2037</v>
      </c>
      <c r="O32" s="235"/>
      <c r="P32" s="235">
        <f t="shared" si="14"/>
        <v>81500</v>
      </c>
      <c r="Q32" s="234">
        <v>518</v>
      </c>
      <c r="R32" s="234">
        <v>11471</v>
      </c>
      <c r="S32" s="234">
        <v>10517</v>
      </c>
      <c r="T32" s="234"/>
      <c r="U32" s="234">
        <v>10976</v>
      </c>
      <c r="V32" s="234"/>
      <c r="W32" s="234">
        <v>7378</v>
      </c>
      <c r="X32" s="234">
        <v>11532</v>
      </c>
      <c r="Y32" s="234">
        <v>12923</v>
      </c>
      <c r="Z32" s="234">
        <v>14205</v>
      </c>
      <c r="AA32" s="234"/>
      <c r="AB32" s="234"/>
      <c r="AC32" s="234"/>
      <c r="AD32" s="234"/>
      <c r="AE32" s="234">
        <v>1980</v>
      </c>
      <c r="AF32" s="234">
        <f t="shared" si="15"/>
        <v>0</v>
      </c>
      <c r="AG32" s="234"/>
      <c r="AH32" s="234"/>
      <c r="AI32" s="197">
        <f t="shared" si="2"/>
        <v>0</v>
      </c>
    </row>
    <row r="33" spans="1:35" s="198" customFormat="1" ht="26.1" customHeight="1">
      <c r="A33" s="190" t="s">
        <v>69</v>
      </c>
      <c r="B33" s="191" t="s">
        <v>297</v>
      </c>
      <c r="C33" s="230" t="s">
        <v>282</v>
      </c>
      <c r="D33" s="238">
        <v>1</v>
      </c>
      <c r="E33" s="234">
        <f t="shared" si="12"/>
        <v>196550</v>
      </c>
      <c r="F33" s="234">
        <v>196550</v>
      </c>
      <c r="G33" s="234">
        <v>0</v>
      </c>
      <c r="H33" s="240">
        <f t="shared" si="13"/>
        <v>23700</v>
      </c>
      <c r="I33" s="234"/>
      <c r="J33" s="234">
        <v>1200</v>
      </c>
      <c r="K33" s="234">
        <v>2200</v>
      </c>
      <c r="L33" s="234">
        <v>900</v>
      </c>
      <c r="M33" s="234"/>
      <c r="N33" s="234">
        <v>19400</v>
      </c>
      <c r="O33" s="235"/>
      <c r="P33" s="235">
        <f t="shared" si="14"/>
        <v>172850</v>
      </c>
      <c r="Q33" s="234">
        <v>6400</v>
      </c>
      <c r="R33" s="234">
        <v>17000</v>
      </c>
      <c r="S33" s="234"/>
      <c r="T33" s="234"/>
      <c r="U33" s="234">
        <v>5300</v>
      </c>
      <c r="V33" s="234"/>
      <c r="W33" s="234">
        <v>2000</v>
      </c>
      <c r="X33" s="234">
        <v>117000</v>
      </c>
      <c r="Y33" s="234">
        <v>12850</v>
      </c>
      <c r="Z33" s="234">
        <v>8700</v>
      </c>
      <c r="AA33" s="234"/>
      <c r="AB33" s="234"/>
      <c r="AC33" s="234"/>
      <c r="AD33" s="234"/>
      <c r="AE33" s="234">
        <v>3600</v>
      </c>
      <c r="AF33" s="234">
        <f t="shared" si="15"/>
        <v>0</v>
      </c>
      <c r="AG33" s="234"/>
      <c r="AH33" s="234"/>
      <c r="AI33" s="197">
        <f t="shared" si="2"/>
        <v>0</v>
      </c>
    </row>
    <row r="34" spans="1:35" s="198" customFormat="1" ht="26.1" customHeight="1">
      <c r="A34" s="190" t="s">
        <v>69</v>
      </c>
      <c r="B34" s="191" t="s">
        <v>297</v>
      </c>
      <c r="C34" s="230" t="s">
        <v>283</v>
      </c>
      <c r="D34" s="238">
        <v>1</v>
      </c>
      <c r="E34" s="234">
        <f t="shared" si="12"/>
        <v>78343</v>
      </c>
      <c r="F34" s="234">
        <v>34226</v>
      </c>
      <c r="G34" s="234">
        <v>44117</v>
      </c>
      <c r="H34" s="240">
        <f t="shared" si="13"/>
        <v>6000</v>
      </c>
      <c r="I34" s="234">
        <v>1500</v>
      </c>
      <c r="J34" s="234">
        <v>1500</v>
      </c>
      <c r="K34" s="234">
        <v>1500</v>
      </c>
      <c r="L34" s="234">
        <v>1500</v>
      </c>
      <c r="M34" s="234"/>
      <c r="N34" s="234">
        <v>0</v>
      </c>
      <c r="O34" s="235">
        <v>0</v>
      </c>
      <c r="P34" s="235">
        <f t="shared" si="14"/>
        <v>72343</v>
      </c>
      <c r="Q34" s="234" t="s">
        <v>292</v>
      </c>
      <c r="R34" s="234">
        <v>5000</v>
      </c>
      <c r="S34" s="234">
        <v>4820</v>
      </c>
      <c r="T34" s="234"/>
      <c r="U34" s="234">
        <v>4000</v>
      </c>
      <c r="V34" s="234"/>
      <c r="W34" s="234">
        <v>8000</v>
      </c>
      <c r="X34" s="234">
        <v>20000</v>
      </c>
      <c r="Y34" s="234">
        <v>15000</v>
      </c>
      <c r="Z34" s="234">
        <v>14023</v>
      </c>
      <c r="AA34" s="234"/>
      <c r="AB34" s="234"/>
      <c r="AC34" s="234"/>
      <c r="AD34" s="234">
        <v>1500</v>
      </c>
      <c r="AE34" s="234">
        <v>0</v>
      </c>
      <c r="AF34" s="234">
        <f t="shared" si="15"/>
        <v>0</v>
      </c>
      <c r="AG34" s="234"/>
      <c r="AH34" s="234"/>
      <c r="AI34" s="197">
        <f t="shared" si="2"/>
        <v>0</v>
      </c>
    </row>
    <row r="35" spans="1:35" s="198" customFormat="1" ht="26.1" customHeight="1">
      <c r="A35" s="190" t="s">
        <v>69</v>
      </c>
      <c r="B35" s="191" t="s">
        <v>297</v>
      </c>
      <c r="C35" s="230" t="s">
        <v>284</v>
      </c>
      <c r="D35" s="238">
        <v>1</v>
      </c>
      <c r="E35" s="234">
        <f t="shared" si="12"/>
        <v>1500</v>
      </c>
      <c r="F35" s="234">
        <v>1500</v>
      </c>
      <c r="G35" s="234">
        <v>0</v>
      </c>
      <c r="H35" s="240">
        <f t="shared" si="13"/>
        <v>0</v>
      </c>
      <c r="I35" s="234"/>
      <c r="J35" s="234"/>
      <c r="K35" s="234"/>
      <c r="L35" s="234"/>
      <c r="M35" s="234"/>
      <c r="N35" s="234"/>
      <c r="O35" s="235"/>
      <c r="P35" s="235">
        <f t="shared" si="14"/>
        <v>1500</v>
      </c>
      <c r="Q35" s="234"/>
      <c r="R35" s="234"/>
      <c r="S35" s="234"/>
      <c r="T35" s="234"/>
      <c r="U35" s="234"/>
      <c r="V35" s="234"/>
      <c r="W35" s="234"/>
      <c r="X35" s="234"/>
      <c r="Y35" s="234"/>
      <c r="Z35" s="234"/>
      <c r="AA35" s="234"/>
      <c r="AB35" s="234"/>
      <c r="AC35" s="234"/>
      <c r="AD35" s="234"/>
      <c r="AE35" s="234">
        <v>1500</v>
      </c>
      <c r="AF35" s="234">
        <f t="shared" si="15"/>
        <v>0</v>
      </c>
      <c r="AG35" s="234"/>
      <c r="AH35" s="234"/>
      <c r="AI35" s="197">
        <f t="shared" si="2"/>
        <v>0</v>
      </c>
    </row>
    <row r="36" spans="1:35" s="198" customFormat="1" ht="26.1" customHeight="1">
      <c r="A36" s="190" t="s">
        <v>69</v>
      </c>
      <c r="B36" s="191" t="s">
        <v>297</v>
      </c>
      <c r="C36" s="230" t="s">
        <v>285</v>
      </c>
      <c r="D36" s="238">
        <v>1</v>
      </c>
      <c r="E36" s="234">
        <f t="shared" si="12"/>
        <v>25800</v>
      </c>
      <c r="F36" s="234">
        <v>8300</v>
      </c>
      <c r="G36" s="234">
        <v>17500</v>
      </c>
      <c r="H36" s="240">
        <f t="shared" si="13"/>
        <v>0</v>
      </c>
      <c r="I36" s="234"/>
      <c r="J36" s="234"/>
      <c r="K36" s="234"/>
      <c r="L36" s="234"/>
      <c r="M36" s="234"/>
      <c r="N36" s="234"/>
      <c r="O36" s="235"/>
      <c r="P36" s="235">
        <f t="shared" si="14"/>
        <v>25800</v>
      </c>
      <c r="Q36" s="234"/>
      <c r="R36" s="234"/>
      <c r="S36" s="234"/>
      <c r="T36" s="234"/>
      <c r="U36" s="234"/>
      <c r="V36" s="234"/>
      <c r="W36" s="234"/>
      <c r="X36" s="234"/>
      <c r="Y36" s="234"/>
      <c r="Z36" s="234"/>
      <c r="AA36" s="234"/>
      <c r="AB36" s="234"/>
      <c r="AC36" s="234"/>
      <c r="AD36" s="234"/>
      <c r="AE36" s="234">
        <v>25800</v>
      </c>
      <c r="AF36" s="234">
        <f t="shared" si="15"/>
        <v>0</v>
      </c>
      <c r="AG36" s="234"/>
      <c r="AH36" s="234"/>
      <c r="AI36" s="197">
        <f t="shared" si="2"/>
        <v>0</v>
      </c>
    </row>
    <row r="37" spans="1:35" s="198" customFormat="1" ht="26.1" customHeight="1">
      <c r="A37" s="190" t="s">
        <v>69</v>
      </c>
      <c r="B37" s="191" t="s">
        <v>297</v>
      </c>
      <c r="C37" s="230" t="s">
        <v>286</v>
      </c>
      <c r="D37" s="238">
        <v>1</v>
      </c>
      <c r="E37" s="234">
        <f t="shared" si="12"/>
        <v>130210</v>
      </c>
      <c r="F37" s="234">
        <v>8520</v>
      </c>
      <c r="G37" s="234">
        <v>121690</v>
      </c>
      <c r="H37" s="240">
        <f t="shared" si="13"/>
        <v>66020</v>
      </c>
      <c r="I37" s="234">
        <v>800</v>
      </c>
      <c r="J37" s="234">
        <v>3500</v>
      </c>
      <c r="K37" s="234">
        <v>9200</v>
      </c>
      <c r="L37" s="234">
        <v>5500</v>
      </c>
      <c r="M37" s="234">
        <v>1500</v>
      </c>
      <c r="N37" s="234">
        <v>7000</v>
      </c>
      <c r="O37" s="235">
        <v>38520</v>
      </c>
      <c r="P37" s="235">
        <f t="shared" si="14"/>
        <v>63860</v>
      </c>
      <c r="Q37" s="234">
        <v>4800</v>
      </c>
      <c r="R37" s="234">
        <v>7500</v>
      </c>
      <c r="S37" s="234">
        <v>2200</v>
      </c>
      <c r="T37" s="234">
        <v>700</v>
      </c>
      <c r="U37" s="234">
        <v>3500</v>
      </c>
      <c r="V37" s="234">
        <v>600</v>
      </c>
      <c r="W37" s="234">
        <v>200</v>
      </c>
      <c r="X37" s="234">
        <v>7500</v>
      </c>
      <c r="Y37" s="234">
        <v>8000</v>
      </c>
      <c r="Z37" s="234">
        <v>7500</v>
      </c>
      <c r="AA37" s="234">
        <v>200</v>
      </c>
      <c r="AB37" s="234">
        <v>1000</v>
      </c>
      <c r="AC37" s="234">
        <v>300</v>
      </c>
      <c r="AD37" s="234">
        <v>300</v>
      </c>
      <c r="AE37" s="234">
        <v>19560</v>
      </c>
      <c r="AF37" s="234">
        <f t="shared" si="15"/>
        <v>330</v>
      </c>
      <c r="AG37" s="234">
        <v>200</v>
      </c>
      <c r="AH37" s="234">
        <v>130</v>
      </c>
      <c r="AI37" s="197">
        <f t="shared" si="2"/>
        <v>0</v>
      </c>
    </row>
    <row r="38" spans="1:35" s="198" customFormat="1" ht="26.1" customHeight="1">
      <c r="A38" s="190" t="s">
        <v>69</v>
      </c>
      <c r="B38" s="191" t="s">
        <v>297</v>
      </c>
      <c r="C38" s="230" t="s">
        <v>287</v>
      </c>
      <c r="D38" s="238">
        <v>1</v>
      </c>
      <c r="E38" s="234">
        <f t="shared" si="12"/>
        <v>72044</v>
      </c>
      <c r="F38" s="234">
        <v>63908</v>
      </c>
      <c r="G38" s="234">
        <v>8136</v>
      </c>
      <c r="H38" s="240">
        <f t="shared" si="13"/>
        <v>11733</v>
      </c>
      <c r="I38" s="234"/>
      <c r="J38" s="234"/>
      <c r="K38" s="234"/>
      <c r="L38" s="234"/>
      <c r="M38" s="234"/>
      <c r="N38" s="234">
        <v>41</v>
      </c>
      <c r="O38" s="235">
        <v>11692</v>
      </c>
      <c r="P38" s="235">
        <f t="shared" si="14"/>
        <v>60311</v>
      </c>
      <c r="Q38" s="234">
        <v>17</v>
      </c>
      <c r="R38" s="234">
        <v>19</v>
      </c>
      <c r="S38" s="234">
        <v>19</v>
      </c>
      <c r="T38" s="234"/>
      <c r="U38" s="234">
        <v>31</v>
      </c>
      <c r="V38" s="234"/>
      <c r="W38" s="234">
        <v>25</v>
      </c>
      <c r="X38" s="234">
        <v>314</v>
      </c>
      <c r="Y38" s="234">
        <v>722</v>
      </c>
      <c r="Z38" s="234">
        <v>666</v>
      </c>
      <c r="AA38" s="234"/>
      <c r="AB38" s="234"/>
      <c r="AC38" s="234"/>
      <c r="AD38" s="234"/>
      <c r="AE38" s="234">
        <v>58498</v>
      </c>
      <c r="AF38" s="234">
        <f t="shared" si="15"/>
        <v>0</v>
      </c>
      <c r="AG38" s="234"/>
      <c r="AH38" s="234"/>
      <c r="AI38" s="197">
        <f t="shared" si="2"/>
        <v>0</v>
      </c>
    </row>
    <row r="39" spans="1:35" s="198" customFormat="1" ht="26.1" customHeight="1">
      <c r="A39" s="190" t="s">
        <v>69</v>
      </c>
      <c r="B39" s="191" t="s">
        <v>297</v>
      </c>
      <c r="C39" s="230" t="s">
        <v>529</v>
      </c>
      <c r="D39" s="238">
        <v>1</v>
      </c>
      <c r="E39" s="234">
        <f t="shared" si="12"/>
        <v>590000</v>
      </c>
      <c r="F39" s="234">
        <v>390000</v>
      </c>
      <c r="G39" s="234">
        <v>200000</v>
      </c>
      <c r="H39" s="240">
        <f t="shared" si="13"/>
        <v>59000</v>
      </c>
      <c r="I39" s="234"/>
      <c r="J39" s="234">
        <v>10804</v>
      </c>
      <c r="K39" s="234">
        <v>2860</v>
      </c>
      <c r="L39" s="234">
        <v>11818</v>
      </c>
      <c r="M39" s="234"/>
      <c r="N39" s="234">
        <v>33518</v>
      </c>
      <c r="O39" s="235"/>
      <c r="P39" s="235">
        <f t="shared" si="14"/>
        <v>531000</v>
      </c>
      <c r="Q39" s="234">
        <v>25078</v>
      </c>
      <c r="R39" s="234">
        <v>30906</v>
      </c>
      <c r="S39" s="234">
        <v>25582</v>
      </c>
      <c r="T39" s="234"/>
      <c r="U39" s="234">
        <v>31588</v>
      </c>
      <c r="V39" s="234"/>
      <c r="W39" s="234">
        <v>11944</v>
      </c>
      <c r="X39" s="234">
        <v>100507</v>
      </c>
      <c r="Y39" s="234">
        <v>150200</v>
      </c>
      <c r="Z39" s="234">
        <v>136835</v>
      </c>
      <c r="AA39" s="234"/>
      <c r="AB39" s="234"/>
      <c r="AC39" s="234"/>
      <c r="AD39" s="234"/>
      <c r="AE39" s="234">
        <v>18360</v>
      </c>
      <c r="AF39" s="234">
        <f t="shared" si="15"/>
        <v>0</v>
      </c>
      <c r="AG39" s="234"/>
      <c r="AH39" s="234"/>
      <c r="AI39" s="197">
        <f t="shared" si="2"/>
        <v>0</v>
      </c>
    </row>
    <row r="40" spans="1:35" s="198" customFormat="1" ht="26.1" customHeight="1">
      <c r="A40" s="190" t="s">
        <v>69</v>
      </c>
      <c r="B40" s="191" t="s">
        <v>297</v>
      </c>
      <c r="C40" s="230" t="s">
        <v>288</v>
      </c>
      <c r="D40" s="238">
        <v>3</v>
      </c>
      <c r="E40" s="234">
        <f t="shared" si="12"/>
        <v>103100</v>
      </c>
      <c r="F40" s="234">
        <v>98900</v>
      </c>
      <c r="G40" s="234">
        <v>4200</v>
      </c>
      <c r="H40" s="240">
        <f t="shared" si="13"/>
        <v>8880</v>
      </c>
      <c r="I40" s="234"/>
      <c r="J40" s="234">
        <v>1000</v>
      </c>
      <c r="K40" s="234">
        <v>3800</v>
      </c>
      <c r="L40" s="234">
        <v>1000</v>
      </c>
      <c r="M40" s="234"/>
      <c r="N40" s="234">
        <v>3080</v>
      </c>
      <c r="O40" s="235"/>
      <c r="P40" s="235">
        <f t="shared" si="14"/>
        <v>94220</v>
      </c>
      <c r="Q40" s="234">
        <v>5000</v>
      </c>
      <c r="R40" s="234">
        <v>4000</v>
      </c>
      <c r="S40" s="234">
        <v>1900</v>
      </c>
      <c r="T40" s="234"/>
      <c r="U40" s="234">
        <v>6500</v>
      </c>
      <c r="V40" s="234"/>
      <c r="W40" s="234">
        <v>1000</v>
      </c>
      <c r="X40" s="234">
        <v>10000</v>
      </c>
      <c r="Y40" s="234">
        <v>16000</v>
      </c>
      <c r="Z40" s="234">
        <v>20000</v>
      </c>
      <c r="AA40" s="234"/>
      <c r="AB40" s="234"/>
      <c r="AC40" s="234"/>
      <c r="AD40" s="234"/>
      <c r="AE40" s="234">
        <v>29820</v>
      </c>
      <c r="AF40" s="234">
        <f t="shared" si="15"/>
        <v>0</v>
      </c>
      <c r="AG40" s="234"/>
      <c r="AH40" s="234"/>
      <c r="AI40" s="197">
        <f t="shared" si="2"/>
        <v>0</v>
      </c>
    </row>
    <row r="41" spans="1:35" s="198" customFormat="1" ht="26.1" customHeight="1">
      <c r="A41" s="190" t="s">
        <v>69</v>
      </c>
      <c r="B41" s="191" t="s">
        <v>297</v>
      </c>
      <c r="C41" s="230" t="s">
        <v>289</v>
      </c>
      <c r="D41" s="238">
        <v>3</v>
      </c>
      <c r="E41" s="234">
        <f t="shared" si="12"/>
        <v>26372</v>
      </c>
      <c r="F41" s="234">
        <v>26372</v>
      </c>
      <c r="G41" s="234"/>
      <c r="H41" s="240">
        <f t="shared" si="13"/>
        <v>5300</v>
      </c>
      <c r="I41" s="234"/>
      <c r="J41" s="234">
        <v>300</v>
      </c>
      <c r="K41" s="234">
        <v>400</v>
      </c>
      <c r="L41" s="234">
        <v>300</v>
      </c>
      <c r="M41" s="234"/>
      <c r="N41" s="234">
        <v>400</v>
      </c>
      <c r="O41" s="235">
        <v>3900</v>
      </c>
      <c r="P41" s="235">
        <f t="shared" si="14"/>
        <v>21072</v>
      </c>
      <c r="Q41" s="234">
        <v>500</v>
      </c>
      <c r="R41" s="234">
        <v>500</v>
      </c>
      <c r="S41" s="234">
        <v>400</v>
      </c>
      <c r="T41" s="234"/>
      <c r="U41" s="234">
        <v>500</v>
      </c>
      <c r="V41" s="234"/>
      <c r="W41" s="234">
        <v>300</v>
      </c>
      <c r="X41" s="234">
        <v>600</v>
      </c>
      <c r="Y41" s="234">
        <v>800</v>
      </c>
      <c r="Z41" s="234">
        <v>800</v>
      </c>
      <c r="AA41" s="234"/>
      <c r="AB41" s="234"/>
      <c r="AC41" s="234"/>
      <c r="AD41" s="234"/>
      <c r="AE41" s="234">
        <v>16672</v>
      </c>
      <c r="AF41" s="234">
        <f t="shared" si="15"/>
        <v>0</v>
      </c>
      <c r="AG41" s="234"/>
      <c r="AH41" s="234"/>
      <c r="AI41" s="197">
        <f t="shared" si="2"/>
        <v>0</v>
      </c>
    </row>
    <row r="42" spans="1:35" s="198" customFormat="1" ht="26.1" customHeight="1">
      <c r="A42" s="190" t="s">
        <v>69</v>
      </c>
      <c r="B42" s="191" t="s">
        <v>297</v>
      </c>
      <c r="C42" s="230" t="s">
        <v>486</v>
      </c>
      <c r="D42" s="238">
        <v>3</v>
      </c>
      <c r="E42" s="234">
        <f t="shared" si="12"/>
        <v>108922</v>
      </c>
      <c r="F42" s="234">
        <v>108922</v>
      </c>
      <c r="G42" s="234"/>
      <c r="H42" s="240">
        <f t="shared" si="13"/>
        <v>46663</v>
      </c>
      <c r="I42" s="234"/>
      <c r="J42" s="234"/>
      <c r="K42" s="234"/>
      <c r="L42" s="234"/>
      <c r="M42" s="234"/>
      <c r="N42" s="234"/>
      <c r="O42" s="235">
        <v>46663</v>
      </c>
      <c r="P42" s="235">
        <f t="shared" si="14"/>
        <v>62259</v>
      </c>
      <c r="Q42" s="234"/>
      <c r="R42" s="234"/>
      <c r="S42" s="234"/>
      <c r="T42" s="234"/>
      <c r="U42" s="234"/>
      <c r="V42" s="234"/>
      <c r="W42" s="234"/>
      <c r="X42" s="234"/>
      <c r="Y42" s="234"/>
      <c r="Z42" s="234"/>
      <c r="AA42" s="234"/>
      <c r="AB42" s="234"/>
      <c r="AC42" s="234"/>
      <c r="AD42" s="234"/>
      <c r="AE42" s="234">
        <v>62259</v>
      </c>
      <c r="AF42" s="234">
        <f t="shared" si="15"/>
        <v>0</v>
      </c>
      <c r="AG42" s="234"/>
      <c r="AH42" s="234"/>
      <c r="AI42" s="197">
        <f t="shared" si="2"/>
        <v>0</v>
      </c>
    </row>
    <row r="43" spans="1:35" s="198" customFormat="1" ht="26.1" customHeight="1">
      <c r="A43" s="190" t="s">
        <v>69</v>
      </c>
      <c r="B43" s="191" t="s">
        <v>297</v>
      </c>
      <c r="C43" s="230" t="s">
        <v>530</v>
      </c>
      <c r="D43" s="238">
        <v>3</v>
      </c>
      <c r="E43" s="234">
        <f t="shared" si="12"/>
        <v>1330</v>
      </c>
      <c r="F43" s="234">
        <v>1330</v>
      </c>
      <c r="G43" s="234"/>
      <c r="H43" s="240">
        <f t="shared" si="13"/>
        <v>0</v>
      </c>
      <c r="I43" s="234">
        <v>0</v>
      </c>
      <c r="J43" s="234"/>
      <c r="K43" s="234"/>
      <c r="L43" s="234"/>
      <c r="M43" s="234"/>
      <c r="N43" s="234">
        <v>0</v>
      </c>
      <c r="O43" s="235"/>
      <c r="P43" s="235">
        <f t="shared" si="14"/>
        <v>1330</v>
      </c>
      <c r="Q43" s="234">
        <v>0</v>
      </c>
      <c r="R43" s="234"/>
      <c r="S43" s="234"/>
      <c r="T43" s="234"/>
      <c r="U43" s="234"/>
      <c r="V43" s="234"/>
      <c r="W43" s="234"/>
      <c r="X43" s="234"/>
      <c r="Y43" s="234"/>
      <c r="Z43" s="234">
        <v>1330</v>
      </c>
      <c r="AA43" s="234"/>
      <c r="AB43" s="234"/>
      <c r="AC43" s="234"/>
      <c r="AD43" s="234"/>
      <c r="AE43" s="234"/>
      <c r="AF43" s="234">
        <f t="shared" si="15"/>
        <v>0</v>
      </c>
      <c r="AG43" s="234"/>
      <c r="AH43" s="234"/>
      <c r="AI43" s="197">
        <f t="shared" si="2"/>
        <v>0</v>
      </c>
    </row>
    <row r="44" spans="1:35" s="198" customFormat="1" ht="26.1" customHeight="1">
      <c r="A44" s="190" t="s">
        <v>69</v>
      </c>
      <c r="B44" s="191" t="s">
        <v>297</v>
      </c>
      <c r="C44" s="230" t="s">
        <v>290</v>
      </c>
      <c r="D44" s="238">
        <v>3</v>
      </c>
      <c r="E44" s="234">
        <f t="shared" si="12"/>
        <v>18000</v>
      </c>
      <c r="F44" s="234">
        <v>14000</v>
      </c>
      <c r="G44" s="234">
        <v>4000</v>
      </c>
      <c r="H44" s="240">
        <f t="shared" si="13"/>
        <v>6800</v>
      </c>
      <c r="I44" s="234"/>
      <c r="J44" s="234"/>
      <c r="K44" s="234"/>
      <c r="L44" s="234">
        <v>400</v>
      </c>
      <c r="M44" s="234"/>
      <c r="N44" s="234">
        <v>700</v>
      </c>
      <c r="O44" s="235">
        <v>5700</v>
      </c>
      <c r="P44" s="235">
        <f t="shared" si="14"/>
        <v>11200</v>
      </c>
      <c r="Q44" s="234">
        <v>700</v>
      </c>
      <c r="R44" s="234"/>
      <c r="S44" s="234">
        <v>1200</v>
      </c>
      <c r="T44" s="234"/>
      <c r="U44" s="234">
        <v>400</v>
      </c>
      <c r="V44" s="234"/>
      <c r="W44" s="234">
        <v>900</v>
      </c>
      <c r="X44" s="234">
        <v>8500</v>
      </c>
      <c r="Y44" s="234">
        <v>3600</v>
      </c>
      <c r="Z44" s="234">
        <v>1800</v>
      </c>
      <c r="AA44" s="234"/>
      <c r="AB44" s="234"/>
      <c r="AC44" s="234">
        <v>800</v>
      </c>
      <c r="AD44" s="234"/>
      <c r="AE44" s="234">
        <v>-6700</v>
      </c>
      <c r="AF44" s="234">
        <f t="shared" si="15"/>
        <v>0</v>
      </c>
      <c r="AG44" s="234"/>
      <c r="AH44" s="234"/>
      <c r="AI44" s="197">
        <f t="shared" si="2"/>
        <v>0</v>
      </c>
    </row>
    <row r="45" spans="1:35" s="198" customFormat="1" ht="26.1" customHeight="1">
      <c r="A45" s="190" t="s">
        <v>69</v>
      </c>
      <c r="B45" s="191" t="s">
        <v>297</v>
      </c>
      <c r="C45" s="230" t="s">
        <v>291</v>
      </c>
      <c r="D45" s="238">
        <v>3</v>
      </c>
      <c r="E45" s="234">
        <f t="shared" si="12"/>
        <v>7008</v>
      </c>
      <c r="F45" s="234">
        <v>7008</v>
      </c>
      <c r="G45" s="234"/>
      <c r="H45" s="240">
        <f t="shared" si="13"/>
        <v>1600</v>
      </c>
      <c r="I45" s="234"/>
      <c r="J45" s="234"/>
      <c r="K45" s="234"/>
      <c r="L45" s="234"/>
      <c r="M45" s="234"/>
      <c r="N45" s="234"/>
      <c r="O45" s="235">
        <v>1600</v>
      </c>
      <c r="P45" s="235">
        <f t="shared" si="14"/>
        <v>5408</v>
      </c>
      <c r="Q45" s="234"/>
      <c r="R45" s="234"/>
      <c r="S45" s="234"/>
      <c r="T45" s="234"/>
      <c r="U45" s="234"/>
      <c r="V45" s="234"/>
      <c r="W45" s="234"/>
      <c r="X45" s="234"/>
      <c r="Y45" s="234"/>
      <c r="Z45" s="234"/>
      <c r="AA45" s="234"/>
      <c r="AB45" s="234"/>
      <c r="AC45" s="234"/>
      <c r="AD45" s="234"/>
      <c r="AE45" s="234">
        <v>5408</v>
      </c>
      <c r="AF45" s="234">
        <f t="shared" si="15"/>
        <v>0</v>
      </c>
      <c r="AG45" s="234"/>
      <c r="AH45" s="234"/>
      <c r="AI45" s="197">
        <f t="shared" si="2"/>
        <v>0</v>
      </c>
    </row>
    <row r="46" spans="1:35" s="198" customFormat="1" ht="26.1" customHeight="1">
      <c r="A46" s="190" t="s">
        <v>69</v>
      </c>
      <c r="B46" s="191" t="s">
        <v>297</v>
      </c>
      <c r="C46" s="230" t="s">
        <v>293</v>
      </c>
      <c r="D46" s="238">
        <v>3</v>
      </c>
      <c r="E46" s="234">
        <f t="shared" si="12"/>
        <v>50350</v>
      </c>
      <c r="F46" s="234">
        <v>37750</v>
      </c>
      <c r="G46" s="234">
        <v>12600</v>
      </c>
      <c r="H46" s="240">
        <f t="shared" si="13"/>
        <v>19537</v>
      </c>
      <c r="I46" s="234"/>
      <c r="J46" s="234"/>
      <c r="K46" s="234">
        <v>8700</v>
      </c>
      <c r="L46" s="234">
        <v>990</v>
      </c>
      <c r="M46" s="234"/>
      <c r="N46" s="234">
        <v>3470</v>
      </c>
      <c r="O46" s="235">
        <v>6377</v>
      </c>
      <c r="P46" s="235">
        <f t="shared" si="14"/>
        <v>30813</v>
      </c>
      <c r="Q46" s="234">
        <v>990</v>
      </c>
      <c r="R46" s="234">
        <v>990</v>
      </c>
      <c r="S46" s="234">
        <v>2480</v>
      </c>
      <c r="T46" s="234"/>
      <c r="U46" s="234">
        <v>2480</v>
      </c>
      <c r="V46" s="234"/>
      <c r="W46" s="234"/>
      <c r="X46" s="234">
        <v>12890</v>
      </c>
      <c r="Y46" s="234">
        <v>6940</v>
      </c>
      <c r="Z46" s="234">
        <v>4043</v>
      </c>
      <c r="AA46" s="234"/>
      <c r="AB46" s="234"/>
      <c r="AC46" s="234"/>
      <c r="AD46" s="234"/>
      <c r="AE46" s="234">
        <v>0</v>
      </c>
      <c r="AF46" s="234">
        <f t="shared" si="15"/>
        <v>0</v>
      </c>
      <c r="AG46" s="234"/>
      <c r="AH46" s="234"/>
      <c r="AI46" s="197">
        <f t="shared" si="2"/>
        <v>0</v>
      </c>
    </row>
    <row r="47" spans="1:35" s="198" customFormat="1" ht="26.1" customHeight="1">
      <c r="A47" s="190" t="s">
        <v>69</v>
      </c>
      <c r="B47" s="191" t="s">
        <v>297</v>
      </c>
      <c r="C47" s="230" t="s">
        <v>294</v>
      </c>
      <c r="D47" s="238">
        <v>3</v>
      </c>
      <c r="E47" s="234">
        <f t="shared" si="12"/>
        <v>10880</v>
      </c>
      <c r="F47" s="234">
        <v>10880</v>
      </c>
      <c r="G47" s="234">
        <v>0</v>
      </c>
      <c r="H47" s="240">
        <f t="shared" si="13"/>
        <v>4110</v>
      </c>
      <c r="I47" s="234" t="s">
        <v>292</v>
      </c>
      <c r="J47" s="234">
        <v>4110</v>
      </c>
      <c r="K47" s="234" t="s">
        <v>292</v>
      </c>
      <c r="L47" s="234" t="s">
        <v>292</v>
      </c>
      <c r="M47" s="234" t="s">
        <v>292</v>
      </c>
      <c r="N47" s="234" t="s">
        <v>292</v>
      </c>
      <c r="O47" s="235" t="s">
        <v>292</v>
      </c>
      <c r="P47" s="235">
        <f t="shared" si="14"/>
        <v>6770</v>
      </c>
      <c r="Q47" s="234">
        <v>300</v>
      </c>
      <c r="R47" s="234">
        <v>2038</v>
      </c>
      <c r="S47" s="234">
        <v>852</v>
      </c>
      <c r="T47" s="234">
        <v>852</v>
      </c>
      <c r="U47" s="234">
        <v>370</v>
      </c>
      <c r="V47" s="234">
        <v>300</v>
      </c>
      <c r="W47" s="234">
        <v>340</v>
      </c>
      <c r="X47" s="234">
        <v>1221</v>
      </c>
      <c r="Y47" s="234"/>
      <c r="Z47" s="234"/>
      <c r="AA47" s="234">
        <v>220</v>
      </c>
      <c r="AB47" s="234">
        <v>277</v>
      </c>
      <c r="AC47" s="234">
        <v>0</v>
      </c>
      <c r="AD47" s="234">
        <v>0</v>
      </c>
      <c r="AE47" s="234">
        <v>0</v>
      </c>
      <c r="AF47" s="234">
        <f t="shared" si="15"/>
        <v>0</v>
      </c>
      <c r="AG47" s="234">
        <v>0</v>
      </c>
      <c r="AH47" s="234"/>
      <c r="AI47" s="197">
        <f t="shared" si="2"/>
        <v>0</v>
      </c>
    </row>
    <row r="48" spans="1:35" s="198" customFormat="1" ht="26.1" customHeight="1">
      <c r="A48" s="190" t="s">
        <v>69</v>
      </c>
      <c r="B48" s="191" t="s">
        <v>297</v>
      </c>
      <c r="C48" s="230" t="s">
        <v>295</v>
      </c>
      <c r="D48" s="238">
        <v>5</v>
      </c>
      <c r="E48" s="234">
        <f t="shared" si="12"/>
        <v>14225</v>
      </c>
      <c r="F48" s="234">
        <v>14225</v>
      </c>
      <c r="G48" s="234"/>
      <c r="H48" s="240">
        <f t="shared" si="13"/>
        <v>1800</v>
      </c>
      <c r="I48" s="234"/>
      <c r="J48" s="234"/>
      <c r="K48" s="234">
        <v>640</v>
      </c>
      <c r="L48" s="234">
        <v>630</v>
      </c>
      <c r="M48" s="234"/>
      <c r="N48" s="234">
        <v>530</v>
      </c>
      <c r="O48" s="235"/>
      <c r="P48" s="235">
        <f t="shared" si="14"/>
        <v>12425</v>
      </c>
      <c r="Q48" s="234">
        <v>750</v>
      </c>
      <c r="R48" s="234">
        <v>720</v>
      </c>
      <c r="S48" s="234">
        <v>710</v>
      </c>
      <c r="T48" s="234"/>
      <c r="U48" s="234">
        <v>1770</v>
      </c>
      <c r="V48" s="234"/>
      <c r="W48" s="234">
        <v>460</v>
      </c>
      <c r="X48" s="234">
        <v>2430</v>
      </c>
      <c r="Y48" s="234">
        <v>4445</v>
      </c>
      <c r="Z48" s="234">
        <v>1140</v>
      </c>
      <c r="AA48" s="234"/>
      <c r="AB48" s="234"/>
      <c r="AC48" s="234"/>
      <c r="AD48" s="234"/>
      <c r="AE48" s="234">
        <v>0</v>
      </c>
      <c r="AF48" s="234">
        <f t="shared" si="15"/>
        <v>0</v>
      </c>
      <c r="AG48" s="234"/>
      <c r="AH48" s="234"/>
      <c r="AI48" s="197">
        <f t="shared" si="2"/>
        <v>0</v>
      </c>
    </row>
    <row r="49" spans="1:35" s="198" customFormat="1" ht="26.1" customHeight="1">
      <c r="A49" s="190" t="s">
        <v>69</v>
      </c>
      <c r="B49" s="191" t="s">
        <v>297</v>
      </c>
      <c r="C49" s="230" t="s">
        <v>296</v>
      </c>
      <c r="D49" s="238">
        <v>5</v>
      </c>
      <c r="E49" s="234">
        <f t="shared" si="12"/>
        <v>59404</v>
      </c>
      <c r="F49" s="234">
        <v>57504</v>
      </c>
      <c r="G49" s="234">
        <v>1900</v>
      </c>
      <c r="H49" s="240">
        <f t="shared" si="13"/>
        <v>16059</v>
      </c>
      <c r="I49" s="234"/>
      <c r="J49" s="234"/>
      <c r="K49" s="234"/>
      <c r="L49" s="234"/>
      <c r="M49" s="234"/>
      <c r="N49" s="234"/>
      <c r="O49" s="235">
        <v>16059</v>
      </c>
      <c r="P49" s="235">
        <f t="shared" si="14"/>
        <v>43345</v>
      </c>
      <c r="Q49" s="234"/>
      <c r="R49" s="234"/>
      <c r="S49" s="234"/>
      <c r="T49" s="234"/>
      <c r="U49" s="234"/>
      <c r="V49" s="234"/>
      <c r="W49" s="234"/>
      <c r="X49" s="234"/>
      <c r="Y49" s="234"/>
      <c r="Z49" s="234"/>
      <c r="AA49" s="234"/>
      <c r="AB49" s="234"/>
      <c r="AC49" s="234"/>
      <c r="AD49" s="234"/>
      <c r="AE49" s="234">
        <v>43345</v>
      </c>
      <c r="AF49" s="234">
        <f t="shared" si="15"/>
        <v>0</v>
      </c>
      <c r="AG49" s="234"/>
      <c r="AH49" s="234"/>
      <c r="AI49" s="197">
        <f t="shared" si="2"/>
        <v>0</v>
      </c>
    </row>
    <row r="50" spans="1:35" s="198" customFormat="1" ht="26.1" customHeight="1">
      <c r="A50" s="190"/>
      <c r="B50" s="191"/>
      <c r="C50" s="230"/>
      <c r="D50" s="238"/>
      <c r="E50" s="245">
        <f t="shared" ref="E50:AH50" si="16">SUM(E51:E52)</f>
        <v>19086</v>
      </c>
      <c r="F50" s="234">
        <f t="shared" si="16"/>
        <v>10608</v>
      </c>
      <c r="G50" s="234">
        <f t="shared" si="16"/>
        <v>8478</v>
      </c>
      <c r="H50" s="253">
        <f t="shared" si="16"/>
        <v>0</v>
      </c>
      <c r="I50" s="234">
        <f t="shared" si="16"/>
        <v>0</v>
      </c>
      <c r="J50" s="234">
        <f t="shared" si="16"/>
        <v>0</v>
      </c>
      <c r="K50" s="234">
        <f t="shared" si="16"/>
        <v>0</v>
      </c>
      <c r="L50" s="234">
        <f t="shared" si="16"/>
        <v>0</v>
      </c>
      <c r="M50" s="234">
        <f t="shared" si="16"/>
        <v>0</v>
      </c>
      <c r="N50" s="234">
        <f t="shared" si="16"/>
        <v>0</v>
      </c>
      <c r="O50" s="234">
        <f t="shared" si="16"/>
        <v>0</v>
      </c>
      <c r="P50" s="245">
        <f t="shared" si="16"/>
        <v>19086</v>
      </c>
      <c r="Q50" s="234">
        <f t="shared" si="16"/>
        <v>0</v>
      </c>
      <c r="R50" s="234">
        <f t="shared" si="16"/>
        <v>0</v>
      </c>
      <c r="S50" s="234">
        <f t="shared" si="16"/>
        <v>0</v>
      </c>
      <c r="T50" s="234">
        <f t="shared" si="16"/>
        <v>0</v>
      </c>
      <c r="U50" s="234">
        <f t="shared" si="16"/>
        <v>0</v>
      </c>
      <c r="V50" s="234">
        <f t="shared" si="16"/>
        <v>0</v>
      </c>
      <c r="W50" s="234">
        <f t="shared" si="16"/>
        <v>0</v>
      </c>
      <c r="X50" s="234">
        <f t="shared" si="16"/>
        <v>2850</v>
      </c>
      <c r="Y50" s="234">
        <f t="shared" si="16"/>
        <v>0</v>
      </c>
      <c r="Z50" s="234">
        <f t="shared" si="16"/>
        <v>0</v>
      </c>
      <c r="AA50" s="234">
        <f t="shared" si="16"/>
        <v>0</v>
      </c>
      <c r="AB50" s="234">
        <f t="shared" si="16"/>
        <v>0</v>
      </c>
      <c r="AC50" s="234">
        <f t="shared" si="16"/>
        <v>0</v>
      </c>
      <c r="AD50" s="234">
        <f t="shared" si="16"/>
        <v>0</v>
      </c>
      <c r="AE50" s="234">
        <f t="shared" si="16"/>
        <v>16236</v>
      </c>
      <c r="AF50" s="234">
        <f t="shared" si="16"/>
        <v>0</v>
      </c>
      <c r="AG50" s="234">
        <f t="shared" si="16"/>
        <v>0</v>
      </c>
      <c r="AH50" s="234">
        <f t="shared" si="16"/>
        <v>0</v>
      </c>
      <c r="AI50" s="197">
        <f t="shared" si="2"/>
        <v>0</v>
      </c>
    </row>
    <row r="51" spans="1:35" s="198" customFormat="1" ht="26.1" customHeight="1">
      <c r="A51" s="262" t="s">
        <v>69</v>
      </c>
      <c r="B51" s="191" t="s">
        <v>757</v>
      </c>
      <c r="C51" s="230" t="s">
        <v>298</v>
      </c>
      <c r="D51" s="238">
        <v>1</v>
      </c>
      <c r="E51" s="234">
        <f>SUM(H51,P51,AF51)</f>
        <v>2850</v>
      </c>
      <c r="F51" s="234">
        <v>2850</v>
      </c>
      <c r="G51" s="234"/>
      <c r="H51" s="240">
        <f>SUM(I51:O51)</f>
        <v>0</v>
      </c>
      <c r="I51" s="234"/>
      <c r="J51" s="234"/>
      <c r="K51" s="234"/>
      <c r="L51" s="234"/>
      <c r="M51" s="234"/>
      <c r="N51" s="234"/>
      <c r="O51" s="235"/>
      <c r="P51" s="235">
        <f>SUM(Q51:AE51)</f>
        <v>2850</v>
      </c>
      <c r="Q51" s="234"/>
      <c r="R51" s="234"/>
      <c r="S51" s="234"/>
      <c r="T51" s="234"/>
      <c r="U51" s="234"/>
      <c r="V51" s="234"/>
      <c r="W51" s="234"/>
      <c r="X51" s="234">
        <v>2850</v>
      </c>
      <c r="Y51" s="234"/>
      <c r="Z51" s="234"/>
      <c r="AA51" s="234"/>
      <c r="AB51" s="234"/>
      <c r="AC51" s="234"/>
      <c r="AD51" s="234"/>
      <c r="AE51" s="234"/>
      <c r="AF51" s="234">
        <f>SUM(AG51:AH51)</f>
        <v>0</v>
      </c>
      <c r="AG51" s="234"/>
      <c r="AH51" s="234"/>
      <c r="AI51" s="197">
        <f t="shared" si="2"/>
        <v>0</v>
      </c>
    </row>
    <row r="52" spans="1:35" s="198" customFormat="1" ht="26.1" customHeight="1">
      <c r="A52" s="190" t="s">
        <v>69</v>
      </c>
      <c r="B52" s="191" t="s">
        <v>757</v>
      </c>
      <c r="C52" s="230" t="s">
        <v>299</v>
      </c>
      <c r="D52" s="238">
        <v>1</v>
      </c>
      <c r="E52" s="234">
        <f>SUM(H52,P52,AF52)</f>
        <v>16236</v>
      </c>
      <c r="F52" s="234">
        <v>7758</v>
      </c>
      <c r="G52" s="234">
        <v>8478</v>
      </c>
      <c r="H52" s="240">
        <f>SUM(I52:O52)</f>
        <v>0</v>
      </c>
      <c r="I52" s="234">
        <v>0</v>
      </c>
      <c r="J52" s="234">
        <v>0</v>
      </c>
      <c r="K52" s="234"/>
      <c r="L52" s="234">
        <v>0</v>
      </c>
      <c r="M52" s="234">
        <v>0</v>
      </c>
      <c r="N52" s="234">
        <v>0</v>
      </c>
      <c r="O52" s="235"/>
      <c r="P52" s="235">
        <f>SUM(Q52:AE52)</f>
        <v>16236</v>
      </c>
      <c r="Q52" s="234"/>
      <c r="R52" s="234"/>
      <c r="S52" s="234"/>
      <c r="T52" s="234"/>
      <c r="U52" s="234"/>
      <c r="V52" s="234"/>
      <c r="W52" s="234"/>
      <c r="X52" s="234"/>
      <c r="Y52" s="234"/>
      <c r="Z52" s="234"/>
      <c r="AA52" s="234"/>
      <c r="AB52" s="234"/>
      <c r="AC52" s="234"/>
      <c r="AD52" s="234"/>
      <c r="AE52" s="234">
        <v>16236</v>
      </c>
      <c r="AF52" s="234">
        <f>SUM(AG52:AH52)</f>
        <v>0</v>
      </c>
      <c r="AG52" s="234"/>
      <c r="AH52" s="234"/>
      <c r="AI52" s="197">
        <f t="shared" si="2"/>
        <v>0</v>
      </c>
    </row>
    <row r="53" spans="1:35" s="198" customFormat="1" ht="26.1" customHeight="1">
      <c r="A53" s="190"/>
      <c r="B53" s="191"/>
      <c r="C53" s="263"/>
      <c r="D53" s="238"/>
      <c r="E53" s="232">
        <f t="shared" ref="E53:AH53" si="17">E54+E64+E78+E93+E98</f>
        <v>17967547</v>
      </c>
      <c r="F53" s="232">
        <f t="shared" si="17"/>
        <v>1282944</v>
      </c>
      <c r="G53" s="232">
        <f t="shared" si="17"/>
        <v>16684603</v>
      </c>
      <c r="H53" s="232">
        <f t="shared" si="17"/>
        <v>9284332</v>
      </c>
      <c r="I53" s="232">
        <f t="shared" si="17"/>
        <v>123669</v>
      </c>
      <c r="J53" s="232">
        <f t="shared" si="17"/>
        <v>2202572</v>
      </c>
      <c r="K53" s="232">
        <f t="shared" si="17"/>
        <v>653638</v>
      </c>
      <c r="L53" s="232">
        <f t="shared" si="17"/>
        <v>1983466</v>
      </c>
      <c r="M53" s="232">
        <f t="shared" si="17"/>
        <v>1376331</v>
      </c>
      <c r="N53" s="232">
        <f t="shared" si="17"/>
        <v>2252192</v>
      </c>
      <c r="O53" s="232">
        <f t="shared" si="17"/>
        <v>692464</v>
      </c>
      <c r="P53" s="232">
        <f t="shared" si="17"/>
        <v>8290498</v>
      </c>
      <c r="Q53" s="232">
        <f t="shared" si="17"/>
        <v>592471</v>
      </c>
      <c r="R53" s="232">
        <f t="shared" si="17"/>
        <v>876105</v>
      </c>
      <c r="S53" s="232">
        <f t="shared" si="17"/>
        <v>712217</v>
      </c>
      <c r="T53" s="232">
        <f t="shared" si="17"/>
        <v>302309</v>
      </c>
      <c r="U53" s="232">
        <f t="shared" si="17"/>
        <v>495912</v>
      </c>
      <c r="V53" s="232">
        <f t="shared" si="17"/>
        <v>260234</v>
      </c>
      <c r="W53" s="232">
        <f t="shared" si="17"/>
        <v>474856</v>
      </c>
      <c r="X53" s="232">
        <f t="shared" si="17"/>
        <v>820817</v>
      </c>
      <c r="Y53" s="232">
        <f t="shared" si="17"/>
        <v>271777</v>
      </c>
      <c r="Z53" s="232">
        <f t="shared" si="17"/>
        <v>1045160</v>
      </c>
      <c r="AA53" s="232">
        <f t="shared" si="17"/>
        <v>171057</v>
      </c>
      <c r="AB53" s="232">
        <f t="shared" si="17"/>
        <v>403462</v>
      </c>
      <c r="AC53" s="232">
        <f t="shared" si="17"/>
        <v>468410</v>
      </c>
      <c r="AD53" s="232">
        <f t="shared" si="17"/>
        <v>131399</v>
      </c>
      <c r="AE53" s="232">
        <f t="shared" si="17"/>
        <v>1264312</v>
      </c>
      <c r="AF53" s="232">
        <f t="shared" si="17"/>
        <v>392717</v>
      </c>
      <c r="AG53" s="232">
        <f t="shared" si="17"/>
        <v>252068</v>
      </c>
      <c r="AH53" s="232">
        <f t="shared" si="17"/>
        <v>140649</v>
      </c>
      <c r="AI53" s="197">
        <f t="shared" si="2"/>
        <v>0</v>
      </c>
    </row>
    <row r="54" spans="1:35" s="198" customFormat="1" ht="26.1" customHeight="1">
      <c r="A54" s="190"/>
      <c r="B54" s="191"/>
      <c r="C54" s="230"/>
      <c r="D54" s="238"/>
      <c r="E54" s="245">
        <f t="shared" ref="E54:AH54" si="18">SUM(E55:E63)</f>
        <v>953127</v>
      </c>
      <c r="F54" s="234">
        <f t="shared" si="18"/>
        <v>263741</v>
      </c>
      <c r="G54" s="234">
        <f t="shared" si="18"/>
        <v>689386</v>
      </c>
      <c r="H54" s="245">
        <f t="shared" si="18"/>
        <v>183706</v>
      </c>
      <c r="I54" s="234">
        <f t="shared" si="18"/>
        <v>1262</v>
      </c>
      <c r="J54" s="234">
        <f t="shared" si="18"/>
        <v>36095</v>
      </c>
      <c r="K54" s="234">
        <f t="shared" si="18"/>
        <v>43503</v>
      </c>
      <c r="L54" s="234">
        <f t="shared" si="18"/>
        <v>36368</v>
      </c>
      <c r="M54" s="234">
        <f t="shared" si="18"/>
        <v>38818</v>
      </c>
      <c r="N54" s="234">
        <f t="shared" si="18"/>
        <v>27660</v>
      </c>
      <c r="O54" s="234">
        <f t="shared" si="18"/>
        <v>0</v>
      </c>
      <c r="P54" s="245">
        <f t="shared" si="18"/>
        <v>762504</v>
      </c>
      <c r="Q54" s="234">
        <f t="shared" si="18"/>
        <v>46729</v>
      </c>
      <c r="R54" s="234">
        <f t="shared" si="18"/>
        <v>48124</v>
      </c>
      <c r="S54" s="234">
        <f t="shared" si="18"/>
        <v>73599</v>
      </c>
      <c r="T54" s="234">
        <f t="shared" si="18"/>
        <v>29102</v>
      </c>
      <c r="U54" s="234">
        <f t="shared" si="18"/>
        <v>37484</v>
      </c>
      <c r="V54" s="234">
        <f t="shared" si="18"/>
        <v>29415</v>
      </c>
      <c r="W54" s="234">
        <f t="shared" si="18"/>
        <v>43227</v>
      </c>
      <c r="X54" s="234">
        <f t="shared" si="18"/>
        <v>211801</v>
      </c>
      <c r="Y54" s="234">
        <f t="shared" si="18"/>
        <v>57177</v>
      </c>
      <c r="Z54" s="234">
        <f t="shared" si="18"/>
        <v>45829</v>
      </c>
      <c r="AA54" s="234">
        <f t="shared" si="18"/>
        <v>30376</v>
      </c>
      <c r="AB54" s="234">
        <f t="shared" si="18"/>
        <v>12268</v>
      </c>
      <c r="AC54" s="234">
        <f t="shared" si="18"/>
        <v>15088</v>
      </c>
      <c r="AD54" s="234">
        <f t="shared" si="18"/>
        <v>6677</v>
      </c>
      <c r="AE54" s="234">
        <f t="shared" si="18"/>
        <v>75608</v>
      </c>
      <c r="AF54" s="245">
        <f t="shared" si="18"/>
        <v>6917</v>
      </c>
      <c r="AG54" s="234">
        <f t="shared" si="18"/>
        <v>6917</v>
      </c>
      <c r="AH54" s="234">
        <f t="shared" si="18"/>
        <v>0</v>
      </c>
      <c r="AI54" s="197">
        <f t="shared" si="2"/>
        <v>0</v>
      </c>
    </row>
    <row r="55" spans="1:35" s="198" customFormat="1" ht="26.1" customHeight="1">
      <c r="A55" s="200" t="s">
        <v>116</v>
      </c>
      <c r="B55" s="264" t="s">
        <v>80</v>
      </c>
      <c r="C55" s="230" t="s">
        <v>239</v>
      </c>
      <c r="D55" s="238">
        <v>1</v>
      </c>
      <c r="E55" s="234">
        <f t="shared" ref="E55:E63" si="19">SUM(H55,P55,AF55)</f>
        <v>459626</v>
      </c>
      <c r="F55" s="234">
        <v>0</v>
      </c>
      <c r="G55" s="234">
        <v>459626</v>
      </c>
      <c r="H55" s="240">
        <f t="shared" ref="H55:H63" si="20">SUM(I55:O55)</f>
        <v>60000</v>
      </c>
      <c r="I55" s="234">
        <v>0</v>
      </c>
      <c r="J55" s="234">
        <v>10000</v>
      </c>
      <c r="K55" s="234">
        <v>10000</v>
      </c>
      <c r="L55" s="234">
        <v>17000</v>
      </c>
      <c r="M55" s="234">
        <v>17000</v>
      </c>
      <c r="N55" s="234">
        <v>6000</v>
      </c>
      <c r="O55" s="235">
        <v>0</v>
      </c>
      <c r="P55" s="235">
        <f t="shared" ref="P55:P63" si="21">SUM(Q55:AE55)</f>
        <v>393626</v>
      </c>
      <c r="Q55" s="234">
        <v>40000</v>
      </c>
      <c r="R55" s="234">
        <v>38000</v>
      </c>
      <c r="S55" s="234">
        <v>62000</v>
      </c>
      <c r="T55" s="234">
        <v>13000</v>
      </c>
      <c r="U55" s="234">
        <v>13000</v>
      </c>
      <c r="V55" s="234">
        <v>13000</v>
      </c>
      <c r="W55" s="234">
        <v>28000</v>
      </c>
      <c r="X55" s="234">
        <v>55000</v>
      </c>
      <c r="Y55" s="234">
        <v>47000</v>
      </c>
      <c r="Z55" s="234">
        <v>25000</v>
      </c>
      <c r="AA55" s="234">
        <v>20000</v>
      </c>
      <c r="AB55" s="234">
        <v>12000</v>
      </c>
      <c r="AC55" s="234">
        <v>10626</v>
      </c>
      <c r="AD55" s="234">
        <v>4000</v>
      </c>
      <c r="AE55" s="234">
        <v>13000</v>
      </c>
      <c r="AF55" s="234">
        <f t="shared" ref="AF55:AF63" si="22">SUM(AG55:AH55)</f>
        <v>6000</v>
      </c>
      <c r="AG55" s="234">
        <v>6000</v>
      </c>
      <c r="AH55" s="234"/>
      <c r="AI55" s="197">
        <f t="shared" si="2"/>
        <v>0</v>
      </c>
    </row>
    <row r="56" spans="1:35" s="198" customFormat="1" ht="26.1" customHeight="1">
      <c r="A56" s="190" t="s">
        <v>116</v>
      </c>
      <c r="B56" s="191" t="s">
        <v>80</v>
      </c>
      <c r="C56" s="230" t="s">
        <v>689</v>
      </c>
      <c r="D56" s="238">
        <v>1</v>
      </c>
      <c r="E56" s="234">
        <f t="shared" si="19"/>
        <v>117484</v>
      </c>
      <c r="F56" s="234">
        <v>0</v>
      </c>
      <c r="G56" s="234">
        <v>117484</v>
      </c>
      <c r="H56" s="240">
        <f t="shared" si="20"/>
        <v>0</v>
      </c>
      <c r="I56" s="234">
        <v>0</v>
      </c>
      <c r="J56" s="234">
        <v>0</v>
      </c>
      <c r="K56" s="234">
        <v>0</v>
      </c>
      <c r="L56" s="234">
        <v>0</v>
      </c>
      <c r="M56" s="234">
        <v>0</v>
      </c>
      <c r="N56" s="234">
        <v>0</v>
      </c>
      <c r="O56" s="235">
        <v>0</v>
      </c>
      <c r="P56" s="235">
        <f t="shared" si="21"/>
        <v>117484</v>
      </c>
      <c r="Q56" s="234">
        <v>0</v>
      </c>
      <c r="R56" s="234">
        <v>0</v>
      </c>
      <c r="S56" s="234">
        <v>0</v>
      </c>
      <c r="T56" s="234">
        <v>0</v>
      </c>
      <c r="U56" s="234">
        <v>0</v>
      </c>
      <c r="V56" s="234">
        <v>0</v>
      </c>
      <c r="W56" s="234">
        <v>0</v>
      </c>
      <c r="X56" s="234">
        <v>117484</v>
      </c>
      <c r="Y56" s="234">
        <v>0</v>
      </c>
      <c r="Z56" s="234">
        <v>0</v>
      </c>
      <c r="AA56" s="234">
        <v>0</v>
      </c>
      <c r="AB56" s="234">
        <v>0</v>
      </c>
      <c r="AC56" s="234">
        <v>0</v>
      </c>
      <c r="AD56" s="234">
        <v>0</v>
      </c>
      <c r="AE56" s="234">
        <v>0</v>
      </c>
      <c r="AF56" s="234">
        <f t="shared" si="22"/>
        <v>0</v>
      </c>
      <c r="AG56" s="234"/>
      <c r="AH56" s="234"/>
      <c r="AI56" s="197">
        <f t="shared" si="2"/>
        <v>0</v>
      </c>
    </row>
    <row r="57" spans="1:35" s="198" customFormat="1" ht="26.1" customHeight="1">
      <c r="A57" s="190" t="s">
        <v>116</v>
      </c>
      <c r="B57" s="191" t="s">
        <v>80</v>
      </c>
      <c r="C57" s="230" t="s">
        <v>512</v>
      </c>
      <c r="D57" s="238">
        <v>1</v>
      </c>
      <c r="E57" s="234">
        <f t="shared" si="19"/>
        <v>15068</v>
      </c>
      <c r="F57" s="234"/>
      <c r="G57" s="234">
        <v>15068</v>
      </c>
      <c r="H57" s="240">
        <f t="shared" si="20"/>
        <v>298</v>
      </c>
      <c r="I57" s="234">
        <v>0</v>
      </c>
      <c r="J57" s="234">
        <v>0</v>
      </c>
      <c r="K57" s="234">
        <v>0</v>
      </c>
      <c r="L57" s="234">
        <v>0</v>
      </c>
      <c r="M57" s="234">
        <v>0</v>
      </c>
      <c r="N57" s="234">
        <v>298</v>
      </c>
      <c r="O57" s="235">
        <v>0</v>
      </c>
      <c r="P57" s="235">
        <f t="shared" si="21"/>
        <v>14770</v>
      </c>
      <c r="Q57" s="234">
        <v>2000</v>
      </c>
      <c r="R57" s="234">
        <v>1200</v>
      </c>
      <c r="S57" s="234">
        <v>1200</v>
      </c>
      <c r="T57" s="234">
        <v>1200</v>
      </c>
      <c r="U57" s="234">
        <v>2400</v>
      </c>
      <c r="V57" s="234">
        <v>1200</v>
      </c>
      <c r="W57" s="234">
        <v>2552</v>
      </c>
      <c r="X57" s="234">
        <v>1818</v>
      </c>
      <c r="Y57" s="234">
        <v>0</v>
      </c>
      <c r="Z57" s="234">
        <v>1200</v>
      </c>
      <c r="AA57" s="234">
        <v>0</v>
      </c>
      <c r="AB57" s="234">
        <v>0</v>
      </c>
      <c r="AC57" s="234">
        <v>0</v>
      </c>
      <c r="AD57" s="234">
        <v>0</v>
      </c>
      <c r="AE57" s="234">
        <v>0</v>
      </c>
      <c r="AF57" s="234">
        <f t="shared" si="22"/>
        <v>0</v>
      </c>
      <c r="AG57" s="234">
        <v>0</v>
      </c>
      <c r="AH57" s="234">
        <v>0</v>
      </c>
      <c r="AI57" s="197">
        <f t="shared" si="2"/>
        <v>0</v>
      </c>
    </row>
    <row r="58" spans="1:35" s="198" customFormat="1" ht="26.1" customHeight="1">
      <c r="A58" s="190" t="s">
        <v>116</v>
      </c>
      <c r="B58" s="191" t="s">
        <v>80</v>
      </c>
      <c r="C58" s="230" t="s">
        <v>513</v>
      </c>
      <c r="D58" s="238">
        <v>1</v>
      </c>
      <c r="E58" s="234">
        <f t="shared" si="19"/>
        <v>91208</v>
      </c>
      <c r="F58" s="234">
        <v>0</v>
      </c>
      <c r="G58" s="234">
        <v>91208</v>
      </c>
      <c r="H58" s="240">
        <f t="shared" si="20"/>
        <v>0</v>
      </c>
      <c r="I58" s="234">
        <v>0</v>
      </c>
      <c r="J58" s="234">
        <v>0</v>
      </c>
      <c r="K58" s="234">
        <v>0</v>
      </c>
      <c r="L58" s="234">
        <v>0</v>
      </c>
      <c r="M58" s="234">
        <v>0</v>
      </c>
      <c r="N58" s="234">
        <v>0</v>
      </c>
      <c r="O58" s="235">
        <v>0</v>
      </c>
      <c r="P58" s="235">
        <f t="shared" si="21"/>
        <v>91208</v>
      </c>
      <c r="Q58" s="234">
        <v>0</v>
      </c>
      <c r="R58" s="234">
        <v>0</v>
      </c>
      <c r="S58" s="234">
        <v>0</v>
      </c>
      <c r="T58" s="234">
        <v>0</v>
      </c>
      <c r="U58" s="234">
        <v>10000</v>
      </c>
      <c r="V58" s="234">
        <v>0</v>
      </c>
      <c r="W58" s="234">
        <v>0</v>
      </c>
      <c r="X58" s="234">
        <v>18600</v>
      </c>
      <c r="Y58" s="234">
        <v>0</v>
      </c>
      <c r="Z58" s="234">
        <v>0</v>
      </c>
      <c r="AA58" s="234">
        <v>0</v>
      </c>
      <c r="AB58" s="234">
        <v>0</v>
      </c>
      <c r="AC58" s="234">
        <v>0</v>
      </c>
      <c r="AD58" s="234">
        <v>0</v>
      </c>
      <c r="AE58" s="234">
        <v>62608</v>
      </c>
      <c r="AF58" s="234">
        <f t="shared" si="22"/>
        <v>0</v>
      </c>
      <c r="AG58" s="234"/>
      <c r="AH58" s="234"/>
      <c r="AI58" s="197">
        <f t="shared" si="2"/>
        <v>0</v>
      </c>
    </row>
    <row r="59" spans="1:35" s="198" customFormat="1" ht="26.1" customHeight="1">
      <c r="A59" s="190" t="s">
        <v>116</v>
      </c>
      <c r="B59" s="191" t="s">
        <v>80</v>
      </c>
      <c r="C59" s="230" t="s">
        <v>487</v>
      </c>
      <c r="D59" s="238">
        <v>1</v>
      </c>
      <c r="E59" s="234">
        <f t="shared" si="19"/>
        <v>21639</v>
      </c>
      <c r="F59" s="234">
        <v>21639</v>
      </c>
      <c r="G59" s="234">
        <v>0</v>
      </c>
      <c r="H59" s="240">
        <f t="shared" si="20"/>
        <v>12206</v>
      </c>
      <c r="I59" s="234">
        <v>1262</v>
      </c>
      <c r="J59" s="234">
        <v>3625</v>
      </c>
      <c r="K59" s="234">
        <v>2135</v>
      </c>
      <c r="L59" s="234">
        <v>1610</v>
      </c>
      <c r="M59" s="234">
        <v>2616</v>
      </c>
      <c r="N59" s="234">
        <v>958</v>
      </c>
      <c r="O59" s="235">
        <v>0</v>
      </c>
      <c r="P59" s="235">
        <f t="shared" si="21"/>
        <v>9233</v>
      </c>
      <c r="Q59" s="234">
        <v>1000</v>
      </c>
      <c r="R59" s="234">
        <v>713</v>
      </c>
      <c r="S59" s="234">
        <v>495</v>
      </c>
      <c r="T59" s="234">
        <v>1414</v>
      </c>
      <c r="U59" s="234">
        <v>648</v>
      </c>
      <c r="V59" s="234">
        <v>649</v>
      </c>
      <c r="W59" s="234">
        <v>1099</v>
      </c>
      <c r="X59" s="234">
        <v>997</v>
      </c>
      <c r="Y59" s="234">
        <v>212</v>
      </c>
      <c r="Z59" s="234">
        <v>354</v>
      </c>
      <c r="AA59" s="234">
        <v>821</v>
      </c>
      <c r="AB59" s="234">
        <v>268</v>
      </c>
      <c r="AC59" s="234">
        <v>306</v>
      </c>
      <c r="AD59" s="234">
        <v>257</v>
      </c>
      <c r="AE59" s="234">
        <v>0</v>
      </c>
      <c r="AF59" s="234">
        <f t="shared" si="22"/>
        <v>200</v>
      </c>
      <c r="AG59" s="234">
        <v>200</v>
      </c>
      <c r="AH59" s="234">
        <v>0</v>
      </c>
      <c r="AI59" s="197">
        <f t="shared" si="2"/>
        <v>0</v>
      </c>
    </row>
    <row r="60" spans="1:35" s="198" customFormat="1" ht="26.1" customHeight="1">
      <c r="A60" s="190" t="s">
        <v>116</v>
      </c>
      <c r="B60" s="191" t="s">
        <v>80</v>
      </c>
      <c r="C60" s="230" t="s">
        <v>672</v>
      </c>
      <c r="D60" s="238">
        <v>1</v>
      </c>
      <c r="E60" s="234">
        <f t="shared" si="19"/>
        <v>201139</v>
      </c>
      <c r="F60" s="234">
        <v>201139</v>
      </c>
      <c r="G60" s="234">
        <v>0</v>
      </c>
      <c r="H60" s="240">
        <f t="shared" si="20"/>
        <v>92198</v>
      </c>
      <c r="I60" s="234">
        <v>0</v>
      </c>
      <c r="J60" s="234">
        <v>18427</v>
      </c>
      <c r="K60" s="234">
        <v>24651</v>
      </c>
      <c r="L60" s="234">
        <v>15200</v>
      </c>
      <c r="M60" s="234">
        <v>18354</v>
      </c>
      <c r="N60" s="234">
        <v>15566</v>
      </c>
      <c r="O60" s="235">
        <v>0</v>
      </c>
      <c r="P60" s="235">
        <f t="shared" si="21"/>
        <v>108941</v>
      </c>
      <c r="Q60" s="234">
        <v>0</v>
      </c>
      <c r="R60" s="234">
        <v>6901</v>
      </c>
      <c r="S60" s="234">
        <v>8717</v>
      </c>
      <c r="T60" s="234">
        <v>13488</v>
      </c>
      <c r="U60" s="234">
        <v>9135</v>
      </c>
      <c r="V60" s="234">
        <v>13095</v>
      </c>
      <c r="W60" s="234">
        <v>8190</v>
      </c>
      <c r="X60" s="234">
        <v>17435</v>
      </c>
      <c r="Y60" s="234">
        <v>5460</v>
      </c>
      <c r="Z60" s="234">
        <v>16965</v>
      </c>
      <c r="AA60" s="234">
        <v>9555</v>
      </c>
      <c r="AB60" s="234">
        <v>0</v>
      </c>
      <c r="AC60" s="234">
        <v>0</v>
      </c>
      <c r="AD60" s="234">
        <v>0</v>
      </c>
      <c r="AE60" s="234">
        <v>0</v>
      </c>
      <c r="AF60" s="234">
        <f t="shared" si="22"/>
        <v>0</v>
      </c>
      <c r="AG60" s="234">
        <v>0</v>
      </c>
      <c r="AH60" s="234">
        <v>0</v>
      </c>
      <c r="AI60" s="197">
        <f t="shared" si="2"/>
        <v>0</v>
      </c>
    </row>
    <row r="61" spans="1:35" s="198" customFormat="1" ht="26.1" customHeight="1">
      <c r="A61" s="190" t="s">
        <v>116</v>
      </c>
      <c r="B61" s="191" t="s">
        <v>80</v>
      </c>
      <c r="C61" s="230" t="s">
        <v>690</v>
      </c>
      <c r="D61" s="238">
        <v>1</v>
      </c>
      <c r="E61" s="234">
        <f t="shared" si="19"/>
        <v>27449</v>
      </c>
      <c r="F61" s="234">
        <v>27449</v>
      </c>
      <c r="G61" s="234">
        <v>0</v>
      </c>
      <c r="H61" s="240">
        <f t="shared" si="20"/>
        <v>10504</v>
      </c>
      <c r="I61" s="234">
        <v>0</v>
      </c>
      <c r="J61" s="234">
        <v>1043</v>
      </c>
      <c r="K61" s="234">
        <v>4217</v>
      </c>
      <c r="L61" s="234">
        <v>2558</v>
      </c>
      <c r="M61" s="234">
        <v>848</v>
      </c>
      <c r="N61" s="234">
        <v>1838</v>
      </c>
      <c r="O61" s="235">
        <v>0</v>
      </c>
      <c r="P61" s="235">
        <f t="shared" si="21"/>
        <v>16228</v>
      </c>
      <c r="Q61" s="234">
        <v>729</v>
      </c>
      <c r="R61" s="234">
        <v>1310</v>
      </c>
      <c r="S61" s="234">
        <v>1187</v>
      </c>
      <c r="T61" s="234">
        <v>0</v>
      </c>
      <c r="U61" s="234">
        <v>2301</v>
      </c>
      <c r="V61" s="234">
        <v>1471</v>
      </c>
      <c r="W61" s="234">
        <v>3386</v>
      </c>
      <c r="X61" s="234">
        <v>467</v>
      </c>
      <c r="Y61" s="234">
        <v>926</v>
      </c>
      <c r="Z61" s="234">
        <v>2310</v>
      </c>
      <c r="AA61" s="234">
        <v>0</v>
      </c>
      <c r="AB61" s="234">
        <v>0</v>
      </c>
      <c r="AC61" s="234">
        <v>1156</v>
      </c>
      <c r="AD61" s="234">
        <v>985</v>
      </c>
      <c r="AE61" s="234">
        <v>0</v>
      </c>
      <c r="AF61" s="234">
        <f t="shared" si="22"/>
        <v>717</v>
      </c>
      <c r="AG61" s="234">
        <v>717</v>
      </c>
      <c r="AH61" s="234">
        <v>0</v>
      </c>
      <c r="AI61" s="197">
        <f t="shared" si="2"/>
        <v>0</v>
      </c>
    </row>
    <row r="62" spans="1:35" s="198" customFormat="1" ht="26.1" customHeight="1">
      <c r="A62" s="190" t="s">
        <v>116</v>
      </c>
      <c r="B62" s="191" t="s">
        <v>80</v>
      </c>
      <c r="C62" s="230" t="s">
        <v>514</v>
      </c>
      <c r="D62" s="238">
        <v>5</v>
      </c>
      <c r="E62" s="234">
        <f t="shared" si="19"/>
        <v>609</v>
      </c>
      <c r="F62" s="234">
        <v>609</v>
      </c>
      <c r="G62" s="234">
        <v>0</v>
      </c>
      <c r="H62" s="240">
        <f t="shared" si="20"/>
        <v>0</v>
      </c>
      <c r="I62" s="234">
        <v>0</v>
      </c>
      <c r="J62" s="234">
        <v>0</v>
      </c>
      <c r="K62" s="234">
        <v>0</v>
      </c>
      <c r="L62" s="234">
        <v>0</v>
      </c>
      <c r="M62" s="234">
        <v>0</v>
      </c>
      <c r="N62" s="234">
        <v>0</v>
      </c>
      <c r="O62" s="235">
        <v>0</v>
      </c>
      <c r="P62" s="235">
        <f t="shared" si="21"/>
        <v>609</v>
      </c>
      <c r="Q62" s="234">
        <v>0</v>
      </c>
      <c r="R62" s="234">
        <v>0</v>
      </c>
      <c r="S62" s="234">
        <v>0</v>
      </c>
      <c r="T62" s="234">
        <v>0</v>
      </c>
      <c r="U62" s="234">
        <v>0</v>
      </c>
      <c r="V62" s="234">
        <v>0</v>
      </c>
      <c r="W62" s="234">
        <v>0</v>
      </c>
      <c r="X62" s="234">
        <v>0</v>
      </c>
      <c r="Y62" s="234">
        <v>609</v>
      </c>
      <c r="Z62" s="234">
        <v>0</v>
      </c>
      <c r="AA62" s="234">
        <v>0</v>
      </c>
      <c r="AB62" s="234">
        <v>0</v>
      </c>
      <c r="AC62" s="234">
        <v>0</v>
      </c>
      <c r="AD62" s="234">
        <v>0</v>
      </c>
      <c r="AE62" s="234">
        <v>0</v>
      </c>
      <c r="AF62" s="234">
        <f t="shared" si="22"/>
        <v>0</v>
      </c>
      <c r="AG62" s="234">
        <v>0</v>
      </c>
      <c r="AH62" s="234">
        <v>0</v>
      </c>
      <c r="AI62" s="197">
        <f t="shared" si="2"/>
        <v>0</v>
      </c>
    </row>
    <row r="63" spans="1:35" s="198" customFormat="1" ht="26.1" customHeight="1">
      <c r="A63" s="190" t="s">
        <v>116</v>
      </c>
      <c r="B63" s="191" t="s">
        <v>80</v>
      </c>
      <c r="C63" s="230" t="s">
        <v>691</v>
      </c>
      <c r="D63" s="238">
        <v>1</v>
      </c>
      <c r="E63" s="234">
        <f t="shared" si="19"/>
        <v>18905</v>
      </c>
      <c r="F63" s="234">
        <v>12905</v>
      </c>
      <c r="G63" s="234">
        <v>6000</v>
      </c>
      <c r="H63" s="240">
        <f t="shared" si="20"/>
        <v>8500</v>
      </c>
      <c r="I63" s="234">
        <v>0</v>
      </c>
      <c r="J63" s="234">
        <v>3000</v>
      </c>
      <c r="K63" s="234">
        <v>2500</v>
      </c>
      <c r="L63" s="234">
        <v>0</v>
      </c>
      <c r="M63" s="234">
        <v>0</v>
      </c>
      <c r="N63" s="234">
        <v>3000</v>
      </c>
      <c r="O63" s="235">
        <v>0</v>
      </c>
      <c r="P63" s="235">
        <f t="shared" si="21"/>
        <v>10405</v>
      </c>
      <c r="Q63" s="234">
        <v>3000</v>
      </c>
      <c r="R63" s="234">
        <v>0</v>
      </c>
      <c r="S63" s="234">
        <v>0</v>
      </c>
      <c r="T63" s="234">
        <v>0</v>
      </c>
      <c r="U63" s="234">
        <v>0</v>
      </c>
      <c r="V63" s="234">
        <v>0</v>
      </c>
      <c r="W63" s="234">
        <v>0</v>
      </c>
      <c r="X63" s="234">
        <v>0</v>
      </c>
      <c r="Y63" s="234">
        <v>2970</v>
      </c>
      <c r="Z63" s="234"/>
      <c r="AA63" s="234">
        <v>0</v>
      </c>
      <c r="AB63" s="234">
        <v>0</v>
      </c>
      <c r="AC63" s="234">
        <v>3000</v>
      </c>
      <c r="AD63" s="234">
        <v>1435</v>
      </c>
      <c r="AE63" s="234">
        <v>0</v>
      </c>
      <c r="AF63" s="234">
        <f t="shared" si="22"/>
        <v>0</v>
      </c>
      <c r="AG63" s="234">
        <v>0</v>
      </c>
      <c r="AH63" s="234">
        <v>0</v>
      </c>
      <c r="AI63" s="197">
        <f t="shared" si="2"/>
        <v>0</v>
      </c>
    </row>
    <row r="64" spans="1:35" s="198" customFormat="1" ht="26.1" customHeight="1">
      <c r="A64" s="190"/>
      <c r="B64" s="191"/>
      <c r="C64" s="230"/>
      <c r="D64" s="238"/>
      <c r="E64" s="245">
        <f t="shared" ref="E64:AH64" si="23">SUM(E65:E77)</f>
        <v>16325120</v>
      </c>
      <c r="F64" s="234">
        <f t="shared" si="23"/>
        <v>469346</v>
      </c>
      <c r="G64" s="234">
        <f t="shared" si="23"/>
        <v>15855774</v>
      </c>
      <c r="H64" s="245">
        <f t="shared" si="23"/>
        <v>8754867</v>
      </c>
      <c r="I64" s="234">
        <f t="shared" si="23"/>
        <v>73276</v>
      </c>
      <c r="J64" s="234">
        <f t="shared" si="23"/>
        <v>2089090</v>
      </c>
      <c r="K64" s="234">
        <f t="shared" si="23"/>
        <v>573996</v>
      </c>
      <c r="L64" s="234">
        <f t="shared" si="23"/>
        <v>1885644</v>
      </c>
      <c r="M64" s="234">
        <f t="shared" si="23"/>
        <v>1289536</v>
      </c>
      <c r="N64" s="234">
        <f t="shared" si="23"/>
        <v>2155851</v>
      </c>
      <c r="O64" s="234">
        <f t="shared" si="23"/>
        <v>687474</v>
      </c>
      <c r="P64" s="245">
        <f t="shared" si="23"/>
        <v>7196981</v>
      </c>
      <c r="Q64" s="234">
        <f t="shared" si="23"/>
        <v>522784</v>
      </c>
      <c r="R64" s="234">
        <f t="shared" si="23"/>
        <v>810413</v>
      </c>
      <c r="S64" s="234">
        <f t="shared" si="23"/>
        <v>615380</v>
      </c>
      <c r="T64" s="234">
        <f t="shared" si="23"/>
        <v>237494</v>
      </c>
      <c r="U64" s="234">
        <f t="shared" si="23"/>
        <v>434841</v>
      </c>
      <c r="V64" s="234">
        <f t="shared" si="23"/>
        <v>208129</v>
      </c>
      <c r="W64" s="234">
        <f t="shared" si="23"/>
        <v>406124</v>
      </c>
      <c r="X64" s="234">
        <f t="shared" si="23"/>
        <v>565451</v>
      </c>
      <c r="Y64" s="234">
        <f t="shared" si="23"/>
        <v>185107</v>
      </c>
      <c r="Z64" s="234">
        <f t="shared" si="23"/>
        <v>974260</v>
      </c>
      <c r="AA64" s="234">
        <f t="shared" si="23"/>
        <v>126655</v>
      </c>
      <c r="AB64" s="234">
        <f t="shared" si="23"/>
        <v>380478</v>
      </c>
      <c r="AC64" s="234">
        <f t="shared" si="23"/>
        <v>441838</v>
      </c>
      <c r="AD64" s="234">
        <f t="shared" si="23"/>
        <v>115933</v>
      </c>
      <c r="AE64" s="234">
        <f t="shared" si="23"/>
        <v>1172094</v>
      </c>
      <c r="AF64" s="245">
        <f t="shared" si="23"/>
        <v>373272</v>
      </c>
      <c r="AG64" s="234">
        <f t="shared" si="23"/>
        <v>237569</v>
      </c>
      <c r="AH64" s="234">
        <f t="shared" si="23"/>
        <v>135703</v>
      </c>
      <c r="AI64" s="197">
        <f t="shared" si="2"/>
        <v>0</v>
      </c>
    </row>
    <row r="65" spans="1:35" s="198" customFormat="1" ht="26.1" customHeight="1">
      <c r="A65" s="190" t="s">
        <v>116</v>
      </c>
      <c r="B65" s="264" t="s">
        <v>114</v>
      </c>
      <c r="C65" s="230" t="s">
        <v>86</v>
      </c>
      <c r="D65" s="238">
        <v>4</v>
      </c>
      <c r="E65" s="234">
        <f t="shared" ref="E65:E77" si="24">SUM(H65,P65,AF65)</f>
        <v>3000</v>
      </c>
      <c r="F65" s="234">
        <v>3000</v>
      </c>
      <c r="G65" s="234">
        <v>0</v>
      </c>
      <c r="H65" s="240">
        <f t="shared" ref="H65:H77" si="25">SUM(I65:O65)</f>
        <v>0</v>
      </c>
      <c r="I65" s="234">
        <v>0</v>
      </c>
      <c r="J65" s="234">
        <v>0</v>
      </c>
      <c r="K65" s="234">
        <v>0</v>
      </c>
      <c r="L65" s="234">
        <v>0</v>
      </c>
      <c r="M65" s="234">
        <v>0</v>
      </c>
      <c r="N65" s="234">
        <v>0</v>
      </c>
      <c r="O65" s="235">
        <v>0</v>
      </c>
      <c r="P65" s="235">
        <f t="shared" ref="P65:P77" si="26">SUM(Q65:AE65)</f>
        <v>2000</v>
      </c>
      <c r="Q65" s="234">
        <v>0</v>
      </c>
      <c r="R65" s="234">
        <v>0</v>
      </c>
      <c r="S65" s="234">
        <v>0</v>
      </c>
      <c r="T65" s="234">
        <v>0</v>
      </c>
      <c r="U65" s="234">
        <v>0</v>
      </c>
      <c r="V65" s="234">
        <v>0</v>
      </c>
      <c r="W65" s="234">
        <v>0</v>
      </c>
      <c r="X65" s="234">
        <v>0</v>
      </c>
      <c r="Y65" s="234">
        <v>0</v>
      </c>
      <c r="Z65" s="234">
        <v>0</v>
      </c>
      <c r="AA65" s="234">
        <v>0</v>
      </c>
      <c r="AB65" s="234">
        <v>0</v>
      </c>
      <c r="AC65" s="234">
        <v>0</v>
      </c>
      <c r="AD65" s="234">
        <v>0</v>
      </c>
      <c r="AE65" s="234">
        <v>2000</v>
      </c>
      <c r="AF65" s="234">
        <f t="shared" ref="AF65:AF77" si="27">SUM(AG65:AH65)</f>
        <v>1000</v>
      </c>
      <c r="AG65" s="234">
        <v>500</v>
      </c>
      <c r="AH65" s="234">
        <v>500</v>
      </c>
      <c r="AI65" s="197">
        <f t="shared" si="2"/>
        <v>0</v>
      </c>
    </row>
    <row r="66" spans="1:35" s="198" customFormat="1" ht="26.1" customHeight="1">
      <c r="A66" s="190" t="s">
        <v>116</v>
      </c>
      <c r="B66" s="191" t="s">
        <v>114</v>
      </c>
      <c r="C66" s="230" t="s">
        <v>87</v>
      </c>
      <c r="D66" s="238">
        <v>4</v>
      </c>
      <c r="E66" s="234">
        <f t="shared" si="24"/>
        <v>1280</v>
      </c>
      <c r="F66" s="234">
        <v>1280</v>
      </c>
      <c r="G66" s="234">
        <v>0</v>
      </c>
      <c r="H66" s="240">
        <f t="shared" si="25"/>
        <v>1280</v>
      </c>
      <c r="I66" s="234">
        <v>0</v>
      </c>
      <c r="J66" s="234">
        <v>0</v>
      </c>
      <c r="K66" s="234">
        <v>0</v>
      </c>
      <c r="L66" s="234">
        <v>1280</v>
      </c>
      <c r="M66" s="234">
        <v>0</v>
      </c>
      <c r="N66" s="234">
        <v>0</v>
      </c>
      <c r="O66" s="235">
        <v>0</v>
      </c>
      <c r="P66" s="235">
        <f t="shared" si="26"/>
        <v>0</v>
      </c>
      <c r="Q66" s="234">
        <v>0</v>
      </c>
      <c r="R66" s="234">
        <v>0</v>
      </c>
      <c r="S66" s="234">
        <v>0</v>
      </c>
      <c r="T66" s="234">
        <v>0</v>
      </c>
      <c r="U66" s="234">
        <v>0</v>
      </c>
      <c r="V66" s="234">
        <v>0</v>
      </c>
      <c r="W66" s="234">
        <v>0</v>
      </c>
      <c r="X66" s="234">
        <v>0</v>
      </c>
      <c r="Y66" s="234">
        <v>0</v>
      </c>
      <c r="Z66" s="234">
        <v>0</v>
      </c>
      <c r="AA66" s="234">
        <v>0</v>
      </c>
      <c r="AB66" s="234">
        <v>0</v>
      </c>
      <c r="AC66" s="234">
        <v>0</v>
      </c>
      <c r="AD66" s="234">
        <v>0</v>
      </c>
      <c r="AE66" s="234">
        <v>0</v>
      </c>
      <c r="AF66" s="234">
        <f t="shared" si="27"/>
        <v>0</v>
      </c>
      <c r="AG66" s="234">
        <v>0</v>
      </c>
      <c r="AH66" s="234">
        <v>0</v>
      </c>
      <c r="AI66" s="197">
        <f t="shared" si="2"/>
        <v>0</v>
      </c>
    </row>
    <row r="67" spans="1:35" s="198" customFormat="1" ht="26.1" customHeight="1">
      <c r="A67" s="190" t="s">
        <v>116</v>
      </c>
      <c r="B67" s="191" t="s">
        <v>114</v>
      </c>
      <c r="C67" s="230" t="s">
        <v>88</v>
      </c>
      <c r="D67" s="238">
        <v>4</v>
      </c>
      <c r="E67" s="234">
        <f t="shared" si="24"/>
        <v>13660</v>
      </c>
      <c r="F67" s="234">
        <v>13660</v>
      </c>
      <c r="G67" s="234">
        <v>0</v>
      </c>
      <c r="H67" s="240">
        <f t="shared" si="25"/>
        <v>4860</v>
      </c>
      <c r="I67" s="234">
        <v>810</v>
      </c>
      <c r="J67" s="234">
        <v>810</v>
      </c>
      <c r="K67" s="234">
        <v>810</v>
      </c>
      <c r="L67" s="234">
        <v>810</v>
      </c>
      <c r="M67" s="234">
        <v>810</v>
      </c>
      <c r="N67" s="234">
        <v>810</v>
      </c>
      <c r="O67" s="235">
        <v>0</v>
      </c>
      <c r="P67" s="235">
        <f t="shared" si="26"/>
        <v>8400</v>
      </c>
      <c r="Q67" s="234">
        <v>600</v>
      </c>
      <c r="R67" s="234">
        <v>600</v>
      </c>
      <c r="S67" s="234">
        <v>600</v>
      </c>
      <c r="T67" s="234">
        <v>600</v>
      </c>
      <c r="U67" s="234">
        <v>600</v>
      </c>
      <c r="V67" s="234">
        <v>600</v>
      </c>
      <c r="W67" s="234">
        <v>600</v>
      </c>
      <c r="X67" s="234">
        <v>600</v>
      </c>
      <c r="Y67" s="234">
        <v>600</v>
      </c>
      <c r="Z67" s="234">
        <v>600</v>
      </c>
      <c r="AA67" s="234">
        <v>600</v>
      </c>
      <c r="AB67" s="234">
        <v>600</v>
      </c>
      <c r="AC67" s="234">
        <v>600</v>
      </c>
      <c r="AD67" s="234">
        <v>600</v>
      </c>
      <c r="AE67" s="234">
        <v>0</v>
      </c>
      <c r="AF67" s="234">
        <f t="shared" si="27"/>
        <v>400</v>
      </c>
      <c r="AG67" s="234">
        <v>200</v>
      </c>
      <c r="AH67" s="234">
        <v>200</v>
      </c>
      <c r="AI67" s="197">
        <f t="shared" si="2"/>
        <v>0</v>
      </c>
    </row>
    <row r="68" spans="1:35" s="198" customFormat="1" ht="26.1" customHeight="1">
      <c r="A68" s="190" t="s">
        <v>116</v>
      </c>
      <c r="B68" s="191" t="s">
        <v>114</v>
      </c>
      <c r="C68" s="230" t="s">
        <v>240</v>
      </c>
      <c r="D68" s="238">
        <v>4</v>
      </c>
      <c r="E68" s="234">
        <f t="shared" si="24"/>
        <v>23500</v>
      </c>
      <c r="F68" s="234">
        <v>23500</v>
      </c>
      <c r="G68" s="234"/>
      <c r="H68" s="240">
        <f t="shared" si="25"/>
        <v>10000</v>
      </c>
      <c r="I68" s="234">
        <v>1666</v>
      </c>
      <c r="J68" s="234">
        <v>1670</v>
      </c>
      <c r="K68" s="234">
        <v>1666</v>
      </c>
      <c r="L68" s="234">
        <v>1666</v>
      </c>
      <c r="M68" s="234">
        <v>1666</v>
      </c>
      <c r="N68" s="234">
        <v>1666</v>
      </c>
      <c r="O68" s="235">
        <v>0</v>
      </c>
      <c r="P68" s="235">
        <f t="shared" si="26"/>
        <v>13000</v>
      </c>
      <c r="Q68" s="234">
        <v>772</v>
      </c>
      <c r="R68" s="234">
        <v>769</v>
      </c>
      <c r="S68" s="234">
        <v>769</v>
      </c>
      <c r="T68" s="234">
        <v>769</v>
      </c>
      <c r="U68" s="234">
        <v>769</v>
      </c>
      <c r="V68" s="234">
        <v>769</v>
      </c>
      <c r="W68" s="234">
        <v>769</v>
      </c>
      <c r="X68" s="234">
        <v>769</v>
      </c>
      <c r="Y68" s="234">
        <v>3000</v>
      </c>
      <c r="Z68" s="234">
        <v>769</v>
      </c>
      <c r="AA68" s="234">
        <v>769</v>
      </c>
      <c r="AB68" s="234">
        <v>769</v>
      </c>
      <c r="AC68" s="234">
        <v>769</v>
      </c>
      <c r="AD68" s="234">
        <v>769</v>
      </c>
      <c r="AE68" s="234">
        <v>0</v>
      </c>
      <c r="AF68" s="234">
        <f t="shared" si="27"/>
        <v>500</v>
      </c>
      <c r="AG68" s="234">
        <v>250</v>
      </c>
      <c r="AH68" s="234">
        <v>250</v>
      </c>
      <c r="AI68" s="197">
        <f t="shared" si="2"/>
        <v>0</v>
      </c>
    </row>
    <row r="69" spans="1:35" s="198" customFormat="1" ht="26.1" customHeight="1">
      <c r="A69" s="190" t="s">
        <v>116</v>
      </c>
      <c r="B69" s="191" t="s">
        <v>114</v>
      </c>
      <c r="C69" s="230" t="s">
        <v>241</v>
      </c>
      <c r="D69" s="238">
        <v>4</v>
      </c>
      <c r="E69" s="234">
        <f t="shared" si="24"/>
        <v>74000</v>
      </c>
      <c r="F69" s="234">
        <v>0</v>
      </c>
      <c r="G69" s="234">
        <v>74000</v>
      </c>
      <c r="H69" s="240">
        <f t="shared" si="25"/>
        <v>35000</v>
      </c>
      <c r="I69" s="234"/>
      <c r="J69" s="234">
        <v>5000</v>
      </c>
      <c r="K69" s="234">
        <v>5000</v>
      </c>
      <c r="L69" s="234">
        <v>8000</v>
      </c>
      <c r="M69" s="234">
        <v>9000</v>
      </c>
      <c r="N69" s="234">
        <v>8000</v>
      </c>
      <c r="O69" s="235">
        <v>0</v>
      </c>
      <c r="P69" s="235">
        <f t="shared" si="26"/>
        <v>39000</v>
      </c>
      <c r="Q69" s="234">
        <v>3000</v>
      </c>
      <c r="R69" s="234">
        <v>3000</v>
      </c>
      <c r="S69" s="234">
        <v>4000</v>
      </c>
      <c r="T69" s="234">
        <v>0</v>
      </c>
      <c r="U69" s="234">
        <v>4000</v>
      </c>
      <c r="V69" s="234">
        <v>3000</v>
      </c>
      <c r="W69" s="234">
        <v>4000</v>
      </c>
      <c r="X69" s="234">
        <v>5000</v>
      </c>
      <c r="Y69" s="234">
        <v>3500</v>
      </c>
      <c r="Z69" s="234">
        <v>3500</v>
      </c>
      <c r="AA69" s="234">
        <v>0</v>
      </c>
      <c r="AB69" s="234">
        <v>700</v>
      </c>
      <c r="AC69" s="234">
        <v>3000</v>
      </c>
      <c r="AD69" s="234">
        <v>2300</v>
      </c>
      <c r="AE69" s="234">
        <v>0</v>
      </c>
      <c r="AF69" s="234">
        <f t="shared" si="27"/>
        <v>0</v>
      </c>
      <c r="AG69" s="234">
        <v>0</v>
      </c>
      <c r="AH69" s="234">
        <v>0</v>
      </c>
      <c r="AI69" s="197">
        <f t="shared" si="2"/>
        <v>0</v>
      </c>
    </row>
    <row r="70" spans="1:35" s="198" customFormat="1" ht="26.1" customHeight="1">
      <c r="A70" s="190" t="s">
        <v>116</v>
      </c>
      <c r="B70" s="191" t="s">
        <v>114</v>
      </c>
      <c r="C70" s="230" t="s">
        <v>515</v>
      </c>
      <c r="D70" s="238">
        <v>4</v>
      </c>
      <c r="E70" s="234">
        <f t="shared" si="24"/>
        <v>1248232</v>
      </c>
      <c r="F70" s="234">
        <v>55006</v>
      </c>
      <c r="G70" s="234">
        <v>1193226</v>
      </c>
      <c r="H70" s="240">
        <f t="shared" si="25"/>
        <v>378000</v>
      </c>
      <c r="I70" s="234">
        <v>63000</v>
      </c>
      <c r="J70" s="234">
        <v>63000</v>
      </c>
      <c r="K70" s="234">
        <v>63000</v>
      </c>
      <c r="L70" s="234">
        <v>63000</v>
      </c>
      <c r="M70" s="234">
        <v>63000</v>
      </c>
      <c r="N70" s="234">
        <v>63000</v>
      </c>
      <c r="O70" s="235">
        <v>0</v>
      </c>
      <c r="P70" s="235">
        <f t="shared" si="26"/>
        <v>796800</v>
      </c>
      <c r="Q70" s="234">
        <v>56872</v>
      </c>
      <c r="R70" s="234">
        <v>56872</v>
      </c>
      <c r="S70" s="234">
        <v>56872</v>
      </c>
      <c r="T70" s="234">
        <v>56872</v>
      </c>
      <c r="U70" s="234">
        <v>56872</v>
      </c>
      <c r="V70" s="234">
        <v>56872</v>
      </c>
      <c r="W70" s="234">
        <v>56872</v>
      </c>
      <c r="X70" s="234">
        <v>56872</v>
      </c>
      <c r="Y70" s="234">
        <v>56872</v>
      </c>
      <c r="Z70" s="234">
        <v>56872</v>
      </c>
      <c r="AA70" s="234">
        <v>56872</v>
      </c>
      <c r="AB70" s="234">
        <v>57069</v>
      </c>
      <c r="AC70" s="234">
        <v>57069</v>
      </c>
      <c r="AD70" s="234">
        <v>57070</v>
      </c>
      <c r="AE70" s="234">
        <v>0</v>
      </c>
      <c r="AF70" s="234">
        <f t="shared" si="27"/>
        <v>73432</v>
      </c>
      <c r="AG70" s="234">
        <v>36716</v>
      </c>
      <c r="AH70" s="234">
        <v>36716</v>
      </c>
      <c r="AI70" s="197">
        <f t="shared" ref="AI70:AI133" si="28">IF(+F70+G70=E70,0,FALSE)</f>
        <v>0</v>
      </c>
    </row>
    <row r="71" spans="1:35" s="198" customFormat="1" ht="26.1" customHeight="1">
      <c r="A71" s="190" t="s">
        <v>116</v>
      </c>
      <c r="B71" s="191" t="s">
        <v>114</v>
      </c>
      <c r="C71" s="230" t="s">
        <v>516</v>
      </c>
      <c r="D71" s="238">
        <v>4</v>
      </c>
      <c r="E71" s="234">
        <f t="shared" si="24"/>
        <v>98500</v>
      </c>
      <c r="F71" s="234">
        <v>8500</v>
      </c>
      <c r="G71" s="234">
        <v>90000</v>
      </c>
      <c r="H71" s="240">
        <f t="shared" si="25"/>
        <v>42000</v>
      </c>
      <c r="I71" s="234">
        <v>7000</v>
      </c>
      <c r="J71" s="234">
        <v>7000</v>
      </c>
      <c r="K71" s="234">
        <v>7000</v>
      </c>
      <c r="L71" s="234">
        <v>7000</v>
      </c>
      <c r="M71" s="234">
        <v>7000</v>
      </c>
      <c r="N71" s="234">
        <v>7000</v>
      </c>
      <c r="O71" s="235">
        <v>0</v>
      </c>
      <c r="P71" s="235">
        <f t="shared" si="26"/>
        <v>53200</v>
      </c>
      <c r="Q71" s="234">
        <v>3800</v>
      </c>
      <c r="R71" s="234">
        <v>3800</v>
      </c>
      <c r="S71" s="234">
        <v>3800</v>
      </c>
      <c r="T71" s="234">
        <v>3800</v>
      </c>
      <c r="U71" s="234">
        <v>3800</v>
      </c>
      <c r="V71" s="234">
        <v>3800</v>
      </c>
      <c r="W71" s="234">
        <v>3800</v>
      </c>
      <c r="X71" s="234">
        <v>3800</v>
      </c>
      <c r="Y71" s="234">
        <v>3800</v>
      </c>
      <c r="Z71" s="234">
        <v>3800</v>
      </c>
      <c r="AA71" s="234">
        <v>3800</v>
      </c>
      <c r="AB71" s="234">
        <v>3800</v>
      </c>
      <c r="AC71" s="234">
        <v>3800</v>
      </c>
      <c r="AD71" s="234">
        <v>3800</v>
      </c>
      <c r="AE71" s="234">
        <v>0</v>
      </c>
      <c r="AF71" s="234">
        <f t="shared" si="27"/>
        <v>3300</v>
      </c>
      <c r="AG71" s="234">
        <v>1650</v>
      </c>
      <c r="AH71" s="234">
        <v>1650</v>
      </c>
      <c r="AI71" s="197">
        <f t="shared" si="28"/>
        <v>0</v>
      </c>
    </row>
    <row r="72" spans="1:35" s="198" customFormat="1" ht="26.1" customHeight="1">
      <c r="A72" s="190" t="s">
        <v>116</v>
      </c>
      <c r="B72" s="191" t="s">
        <v>114</v>
      </c>
      <c r="C72" s="230" t="s">
        <v>242</v>
      </c>
      <c r="D72" s="238">
        <v>6</v>
      </c>
      <c r="E72" s="234">
        <f t="shared" si="24"/>
        <v>11262526</v>
      </c>
      <c r="F72" s="234">
        <v>294700</v>
      </c>
      <c r="G72" s="234">
        <v>10967826</v>
      </c>
      <c r="H72" s="240">
        <f t="shared" si="25"/>
        <v>6853794</v>
      </c>
      <c r="I72" s="234">
        <v>0</v>
      </c>
      <c r="J72" s="234">
        <v>2009500</v>
      </c>
      <c r="K72" s="234">
        <v>494720</v>
      </c>
      <c r="L72" s="234">
        <v>1098600</v>
      </c>
      <c r="M72" s="234">
        <v>1179600</v>
      </c>
      <c r="N72" s="234">
        <v>2071374</v>
      </c>
      <c r="O72" s="235">
        <v>0</v>
      </c>
      <c r="P72" s="235">
        <f t="shared" si="26"/>
        <v>4245092</v>
      </c>
      <c r="Q72" s="234">
        <v>453240</v>
      </c>
      <c r="R72" s="234">
        <v>242653</v>
      </c>
      <c r="S72" s="234">
        <v>547339</v>
      </c>
      <c r="T72" s="234">
        <v>139600</v>
      </c>
      <c r="U72" s="234">
        <v>366800</v>
      </c>
      <c r="V72" s="234">
        <v>139600</v>
      </c>
      <c r="W72" s="234">
        <v>227040</v>
      </c>
      <c r="X72" s="234">
        <v>490240</v>
      </c>
      <c r="Y72" s="234">
        <v>104120</v>
      </c>
      <c r="Z72" s="234">
        <v>764240</v>
      </c>
      <c r="AA72" s="234">
        <v>53380</v>
      </c>
      <c r="AB72" s="234">
        <v>317040</v>
      </c>
      <c r="AC72" s="234">
        <v>376600</v>
      </c>
      <c r="AD72" s="234">
        <v>23200</v>
      </c>
      <c r="AE72" s="234">
        <v>0</v>
      </c>
      <c r="AF72" s="234">
        <f t="shared" si="27"/>
        <v>163640</v>
      </c>
      <c r="AG72" s="234">
        <v>145050</v>
      </c>
      <c r="AH72" s="234">
        <v>18590</v>
      </c>
      <c r="AI72" s="197">
        <f t="shared" si="28"/>
        <v>0</v>
      </c>
    </row>
    <row r="73" spans="1:35" s="198" customFormat="1" ht="26.1" customHeight="1">
      <c r="A73" s="190" t="s">
        <v>116</v>
      </c>
      <c r="B73" s="191" t="s">
        <v>114</v>
      </c>
      <c r="C73" s="230" t="s">
        <v>243</v>
      </c>
      <c r="D73" s="238">
        <v>4</v>
      </c>
      <c r="E73" s="234">
        <f t="shared" si="24"/>
        <v>2515000</v>
      </c>
      <c r="F73" s="234">
        <v>0</v>
      </c>
      <c r="G73" s="234">
        <v>2515000</v>
      </c>
      <c r="H73" s="240">
        <f t="shared" si="25"/>
        <v>1160000</v>
      </c>
      <c r="I73" s="234">
        <v>0</v>
      </c>
      <c r="J73" s="234">
        <v>0</v>
      </c>
      <c r="K73" s="234">
        <v>0</v>
      </c>
      <c r="L73" s="234">
        <v>699566</v>
      </c>
      <c r="M73" s="234">
        <v>22960</v>
      </c>
      <c r="N73" s="234">
        <v>0</v>
      </c>
      <c r="O73" s="235">
        <v>437474</v>
      </c>
      <c r="P73" s="235">
        <f t="shared" si="26"/>
        <v>1275000</v>
      </c>
      <c r="Q73" s="234">
        <v>0</v>
      </c>
      <c r="R73" s="234">
        <v>501219</v>
      </c>
      <c r="S73" s="234">
        <v>0</v>
      </c>
      <c r="T73" s="234">
        <v>27300</v>
      </c>
      <c r="U73" s="234">
        <v>0</v>
      </c>
      <c r="V73" s="234">
        <v>0</v>
      </c>
      <c r="W73" s="234">
        <v>105600</v>
      </c>
      <c r="X73" s="234">
        <v>0</v>
      </c>
      <c r="Y73" s="234">
        <v>0</v>
      </c>
      <c r="Z73" s="234">
        <v>133560</v>
      </c>
      <c r="AA73" s="234">
        <v>10234</v>
      </c>
      <c r="AB73" s="234">
        <v>0</v>
      </c>
      <c r="AC73" s="234">
        <v>0</v>
      </c>
      <c r="AD73" s="234">
        <v>27060</v>
      </c>
      <c r="AE73" s="234">
        <v>470027</v>
      </c>
      <c r="AF73" s="234">
        <f t="shared" si="27"/>
        <v>80000</v>
      </c>
      <c r="AG73" s="234">
        <v>28203</v>
      </c>
      <c r="AH73" s="234">
        <v>51797</v>
      </c>
      <c r="AI73" s="197">
        <f t="shared" si="28"/>
        <v>0</v>
      </c>
    </row>
    <row r="74" spans="1:35" s="198" customFormat="1" ht="26.1" customHeight="1">
      <c r="A74" s="190" t="s">
        <v>116</v>
      </c>
      <c r="B74" s="191" t="s">
        <v>114</v>
      </c>
      <c r="C74" s="230" t="s">
        <v>244</v>
      </c>
      <c r="D74" s="238">
        <v>4</v>
      </c>
      <c r="E74" s="234">
        <f t="shared" si="24"/>
        <v>1000000</v>
      </c>
      <c r="F74" s="234">
        <v>0</v>
      </c>
      <c r="G74" s="234">
        <v>1000000</v>
      </c>
      <c r="H74" s="240">
        <f t="shared" si="25"/>
        <v>250000</v>
      </c>
      <c r="I74" s="234">
        <v>0</v>
      </c>
      <c r="J74" s="234">
        <v>0</v>
      </c>
      <c r="K74" s="234">
        <v>0</v>
      </c>
      <c r="L74" s="234">
        <v>0</v>
      </c>
      <c r="M74" s="234">
        <v>0</v>
      </c>
      <c r="N74" s="234">
        <v>0</v>
      </c>
      <c r="O74" s="235">
        <v>250000</v>
      </c>
      <c r="P74" s="235">
        <f t="shared" si="26"/>
        <v>700000</v>
      </c>
      <c r="Q74" s="234">
        <v>0</v>
      </c>
      <c r="R74" s="234">
        <v>0</v>
      </c>
      <c r="S74" s="234">
        <v>0</v>
      </c>
      <c r="T74" s="234">
        <v>0</v>
      </c>
      <c r="U74" s="234">
        <v>0</v>
      </c>
      <c r="V74" s="234">
        <v>0</v>
      </c>
      <c r="W74" s="234">
        <v>0</v>
      </c>
      <c r="X74" s="234">
        <v>0</v>
      </c>
      <c r="Y74" s="234">
        <v>0</v>
      </c>
      <c r="Z74" s="234">
        <v>0</v>
      </c>
      <c r="AA74" s="234">
        <v>0</v>
      </c>
      <c r="AB74" s="234">
        <v>0</v>
      </c>
      <c r="AC74" s="234">
        <v>0</v>
      </c>
      <c r="AD74" s="234">
        <v>0</v>
      </c>
      <c r="AE74" s="234">
        <v>700000</v>
      </c>
      <c r="AF74" s="234">
        <f t="shared" si="27"/>
        <v>50000</v>
      </c>
      <c r="AG74" s="234">
        <v>25000</v>
      </c>
      <c r="AH74" s="234">
        <v>25000</v>
      </c>
      <c r="AI74" s="197">
        <f t="shared" si="28"/>
        <v>0</v>
      </c>
    </row>
    <row r="75" spans="1:35" s="198" customFormat="1" ht="26.1" customHeight="1">
      <c r="A75" s="190" t="s">
        <v>116</v>
      </c>
      <c r="B75" s="191" t="s">
        <v>114</v>
      </c>
      <c r="C75" s="230" t="s">
        <v>245</v>
      </c>
      <c r="D75" s="238">
        <v>4</v>
      </c>
      <c r="E75" s="234">
        <f t="shared" si="24"/>
        <v>16000</v>
      </c>
      <c r="F75" s="234">
        <v>14000</v>
      </c>
      <c r="G75" s="234">
        <v>2000</v>
      </c>
      <c r="H75" s="240">
        <f t="shared" si="25"/>
        <v>0</v>
      </c>
      <c r="I75" s="234" t="s">
        <v>11</v>
      </c>
      <c r="J75" s="234" t="s">
        <v>11</v>
      </c>
      <c r="K75" s="234" t="s">
        <v>11</v>
      </c>
      <c r="L75" s="234" t="s">
        <v>11</v>
      </c>
      <c r="M75" s="234" t="s">
        <v>11</v>
      </c>
      <c r="N75" s="234" t="s">
        <v>11</v>
      </c>
      <c r="O75" s="235" t="s">
        <v>11</v>
      </c>
      <c r="P75" s="235">
        <f t="shared" si="26"/>
        <v>16000</v>
      </c>
      <c r="Q75" s="234" t="s">
        <v>11</v>
      </c>
      <c r="R75" s="234" t="s">
        <v>11</v>
      </c>
      <c r="S75" s="234" t="s">
        <v>11</v>
      </c>
      <c r="T75" s="234" t="s">
        <v>11</v>
      </c>
      <c r="U75" s="234" t="s">
        <v>11</v>
      </c>
      <c r="V75" s="234" t="s">
        <v>11</v>
      </c>
      <c r="W75" s="234" t="s">
        <v>11</v>
      </c>
      <c r="X75" s="234" t="s">
        <v>11</v>
      </c>
      <c r="Y75" s="234">
        <v>10000</v>
      </c>
      <c r="Z75" s="234">
        <v>6000</v>
      </c>
      <c r="AA75" s="234" t="s">
        <v>11</v>
      </c>
      <c r="AB75" s="234" t="s">
        <v>11</v>
      </c>
      <c r="AC75" s="234" t="s">
        <v>11</v>
      </c>
      <c r="AD75" s="234" t="s">
        <v>11</v>
      </c>
      <c r="AE75" s="234" t="s">
        <v>11</v>
      </c>
      <c r="AF75" s="234">
        <f t="shared" si="27"/>
        <v>0</v>
      </c>
      <c r="AG75" s="234" t="s">
        <v>11</v>
      </c>
      <c r="AH75" s="234" t="s">
        <v>11</v>
      </c>
      <c r="AI75" s="197">
        <f t="shared" si="28"/>
        <v>0</v>
      </c>
    </row>
    <row r="76" spans="1:35" s="198" customFormat="1" ht="26.1" customHeight="1">
      <c r="A76" s="190" t="s">
        <v>116</v>
      </c>
      <c r="B76" s="191" t="s">
        <v>114</v>
      </c>
      <c r="C76" s="230" t="s">
        <v>147</v>
      </c>
      <c r="D76" s="238">
        <v>4</v>
      </c>
      <c r="E76" s="234">
        <f t="shared" si="24"/>
        <v>50492</v>
      </c>
      <c r="F76" s="234">
        <v>50000</v>
      </c>
      <c r="G76" s="234">
        <v>492</v>
      </c>
      <c r="H76" s="240">
        <f t="shared" si="25"/>
        <v>18622</v>
      </c>
      <c r="I76" s="234">
        <v>800</v>
      </c>
      <c r="J76" s="234">
        <v>1800</v>
      </c>
      <c r="K76" s="234">
        <v>1800</v>
      </c>
      <c r="L76" s="234">
        <v>5722</v>
      </c>
      <c r="M76" s="234">
        <v>5500</v>
      </c>
      <c r="N76" s="234">
        <v>3000</v>
      </c>
      <c r="O76" s="235">
        <v>0</v>
      </c>
      <c r="P76" s="235">
        <f t="shared" si="26"/>
        <v>30870</v>
      </c>
      <c r="Q76" s="234">
        <v>4500</v>
      </c>
      <c r="R76" s="234">
        <v>1500</v>
      </c>
      <c r="S76" s="234">
        <v>2000</v>
      </c>
      <c r="T76" s="234">
        <v>7000</v>
      </c>
      <c r="U76" s="234">
        <v>2000</v>
      </c>
      <c r="V76" s="234">
        <v>2000</v>
      </c>
      <c r="W76" s="234">
        <v>3000</v>
      </c>
      <c r="X76" s="234">
        <v>5000</v>
      </c>
      <c r="Y76" s="234">
        <v>1370</v>
      </c>
      <c r="Z76" s="234">
        <v>1000</v>
      </c>
      <c r="AA76" s="234">
        <v>1000</v>
      </c>
      <c r="AB76" s="234">
        <v>500</v>
      </c>
      <c r="AC76" s="234">
        <v>0</v>
      </c>
      <c r="AD76" s="234">
        <v>0</v>
      </c>
      <c r="AE76" s="234">
        <v>0</v>
      </c>
      <c r="AF76" s="234">
        <f t="shared" si="27"/>
        <v>1000</v>
      </c>
      <c r="AG76" s="234">
        <v>0</v>
      </c>
      <c r="AH76" s="234">
        <v>1000</v>
      </c>
      <c r="AI76" s="197">
        <f t="shared" si="28"/>
        <v>0</v>
      </c>
    </row>
    <row r="77" spans="1:35" s="198" customFormat="1" ht="26.1" customHeight="1">
      <c r="A77" s="190" t="s">
        <v>116</v>
      </c>
      <c r="B77" s="191" t="s">
        <v>114</v>
      </c>
      <c r="C77" s="230" t="s">
        <v>246</v>
      </c>
      <c r="D77" s="238">
        <v>4</v>
      </c>
      <c r="E77" s="234">
        <f t="shared" si="24"/>
        <v>18930</v>
      </c>
      <c r="F77" s="234">
        <v>5700</v>
      </c>
      <c r="G77" s="234">
        <v>13230</v>
      </c>
      <c r="H77" s="240">
        <f t="shared" si="25"/>
        <v>1311</v>
      </c>
      <c r="I77" s="234">
        <v>0</v>
      </c>
      <c r="J77" s="234">
        <v>310</v>
      </c>
      <c r="K77" s="234">
        <v>0</v>
      </c>
      <c r="L77" s="234">
        <v>0</v>
      </c>
      <c r="M77" s="234">
        <v>0</v>
      </c>
      <c r="N77" s="234">
        <v>1001</v>
      </c>
      <c r="O77" s="235">
        <v>0</v>
      </c>
      <c r="P77" s="235">
        <f t="shared" si="26"/>
        <v>17619</v>
      </c>
      <c r="Q77" s="234">
        <v>0</v>
      </c>
      <c r="R77" s="234">
        <v>0</v>
      </c>
      <c r="S77" s="234">
        <v>0</v>
      </c>
      <c r="T77" s="234">
        <v>1553</v>
      </c>
      <c r="U77" s="234">
        <v>0</v>
      </c>
      <c r="V77" s="234">
        <v>1488</v>
      </c>
      <c r="W77" s="234">
        <v>4443</v>
      </c>
      <c r="X77" s="234">
        <v>3170</v>
      </c>
      <c r="Y77" s="234">
        <v>1845</v>
      </c>
      <c r="Z77" s="234">
        <v>3919</v>
      </c>
      <c r="AA77" s="234">
        <v>0</v>
      </c>
      <c r="AB77" s="234">
        <v>0</v>
      </c>
      <c r="AC77" s="234">
        <v>0</v>
      </c>
      <c r="AD77" s="234">
        <v>1134</v>
      </c>
      <c r="AE77" s="234">
        <v>67</v>
      </c>
      <c r="AF77" s="234">
        <f t="shared" si="27"/>
        <v>0</v>
      </c>
      <c r="AG77" s="234">
        <v>0</v>
      </c>
      <c r="AH77" s="234">
        <v>0</v>
      </c>
      <c r="AI77" s="197">
        <f t="shared" si="28"/>
        <v>0</v>
      </c>
    </row>
    <row r="78" spans="1:35" s="198" customFormat="1" ht="26.1" customHeight="1">
      <c r="A78" s="190"/>
      <c r="B78" s="191"/>
      <c r="C78" s="230"/>
      <c r="D78" s="238"/>
      <c r="E78" s="245">
        <f t="shared" ref="E78:AH78" si="29">SUM(E79:E92)</f>
        <v>243726</v>
      </c>
      <c r="F78" s="234">
        <f t="shared" si="29"/>
        <v>111039</v>
      </c>
      <c r="G78" s="234">
        <f t="shared" si="29"/>
        <v>132687</v>
      </c>
      <c r="H78" s="245">
        <f t="shared" si="29"/>
        <v>76556</v>
      </c>
      <c r="I78" s="234">
        <f t="shared" si="29"/>
        <v>4854</v>
      </c>
      <c r="J78" s="234">
        <f t="shared" si="29"/>
        <v>13016</v>
      </c>
      <c r="K78" s="234">
        <f t="shared" si="29"/>
        <v>8815</v>
      </c>
      <c r="L78" s="234">
        <f t="shared" si="29"/>
        <v>13220</v>
      </c>
      <c r="M78" s="234">
        <f t="shared" si="29"/>
        <v>13264</v>
      </c>
      <c r="N78" s="234">
        <f t="shared" si="29"/>
        <v>19181</v>
      </c>
      <c r="O78" s="234">
        <f t="shared" si="29"/>
        <v>4206</v>
      </c>
      <c r="P78" s="245">
        <f t="shared" si="29"/>
        <v>158607</v>
      </c>
      <c r="Q78" s="234">
        <f t="shared" si="29"/>
        <v>7858</v>
      </c>
      <c r="R78" s="234">
        <f t="shared" si="29"/>
        <v>9190</v>
      </c>
      <c r="S78" s="234">
        <f t="shared" si="29"/>
        <v>12224</v>
      </c>
      <c r="T78" s="234">
        <f t="shared" si="29"/>
        <v>8854</v>
      </c>
      <c r="U78" s="234">
        <f t="shared" si="29"/>
        <v>9649</v>
      </c>
      <c r="V78" s="234">
        <f t="shared" si="29"/>
        <v>7053</v>
      </c>
      <c r="W78" s="234">
        <f t="shared" si="29"/>
        <v>11696</v>
      </c>
      <c r="X78" s="234">
        <f t="shared" si="29"/>
        <v>26483</v>
      </c>
      <c r="Y78" s="234">
        <f t="shared" si="29"/>
        <v>21522</v>
      </c>
      <c r="Z78" s="234">
        <f t="shared" si="29"/>
        <v>12273</v>
      </c>
      <c r="AA78" s="234">
        <f t="shared" si="29"/>
        <v>6562</v>
      </c>
      <c r="AB78" s="234">
        <f t="shared" si="29"/>
        <v>2672</v>
      </c>
      <c r="AC78" s="234">
        <f t="shared" si="29"/>
        <v>4635</v>
      </c>
      <c r="AD78" s="234">
        <f t="shared" si="29"/>
        <v>2084</v>
      </c>
      <c r="AE78" s="234">
        <f t="shared" si="29"/>
        <v>15852</v>
      </c>
      <c r="AF78" s="245">
        <f t="shared" si="29"/>
        <v>8563</v>
      </c>
      <c r="AG78" s="234">
        <f t="shared" si="29"/>
        <v>4831</v>
      </c>
      <c r="AH78" s="234">
        <f t="shared" si="29"/>
        <v>3732</v>
      </c>
      <c r="AI78" s="197">
        <f t="shared" si="28"/>
        <v>0</v>
      </c>
    </row>
    <row r="79" spans="1:35" s="198" customFormat="1" ht="26.1" customHeight="1">
      <c r="A79" s="190" t="s">
        <v>116</v>
      </c>
      <c r="B79" s="264" t="s">
        <v>247</v>
      </c>
      <c r="C79" s="230" t="s">
        <v>248</v>
      </c>
      <c r="D79" s="238">
        <v>1</v>
      </c>
      <c r="E79" s="234">
        <f t="shared" ref="E79:E92" si="30">SUM(H79,P79,AF79)</f>
        <v>3000</v>
      </c>
      <c r="F79" s="234">
        <v>3000</v>
      </c>
      <c r="G79" s="234"/>
      <c r="H79" s="240">
        <f t="shared" ref="H79:H92" si="31">SUM(I79:O79)</f>
        <v>0</v>
      </c>
      <c r="I79" s="234"/>
      <c r="J79" s="234"/>
      <c r="K79" s="234"/>
      <c r="L79" s="234"/>
      <c r="M79" s="234"/>
      <c r="N79" s="234"/>
      <c r="O79" s="235"/>
      <c r="P79" s="235">
        <f t="shared" ref="P79:P92" si="32">SUM(Q79:AE79)</f>
        <v>3000</v>
      </c>
      <c r="Q79" s="234"/>
      <c r="R79" s="234"/>
      <c r="S79" s="234">
        <v>750</v>
      </c>
      <c r="T79" s="234"/>
      <c r="U79" s="234"/>
      <c r="V79" s="234"/>
      <c r="W79" s="234"/>
      <c r="X79" s="234"/>
      <c r="Y79" s="234"/>
      <c r="Z79" s="234"/>
      <c r="AA79" s="234">
        <v>750</v>
      </c>
      <c r="AB79" s="234"/>
      <c r="AC79" s="234"/>
      <c r="AD79" s="234"/>
      <c r="AE79" s="234">
        <v>1500</v>
      </c>
      <c r="AF79" s="234">
        <f t="shared" ref="AF79:AF92" si="33">SUM(AG79:AH79)</f>
        <v>0</v>
      </c>
      <c r="AG79" s="234"/>
      <c r="AH79" s="234"/>
      <c r="AI79" s="197">
        <f t="shared" si="28"/>
        <v>0</v>
      </c>
    </row>
    <row r="80" spans="1:35" s="198" customFormat="1" ht="26.1" customHeight="1">
      <c r="A80" s="190" t="s">
        <v>116</v>
      </c>
      <c r="B80" s="191" t="s">
        <v>247</v>
      </c>
      <c r="C80" s="230" t="s">
        <v>249</v>
      </c>
      <c r="D80" s="238">
        <v>1</v>
      </c>
      <c r="E80" s="234">
        <f t="shared" si="30"/>
        <v>123122</v>
      </c>
      <c r="F80" s="234">
        <v>92340</v>
      </c>
      <c r="G80" s="234">
        <v>30782</v>
      </c>
      <c r="H80" s="240">
        <f t="shared" si="31"/>
        <v>47981</v>
      </c>
      <c r="I80" s="234">
        <v>3757</v>
      </c>
      <c r="J80" s="234">
        <v>9606</v>
      </c>
      <c r="K80" s="234">
        <v>6362</v>
      </c>
      <c r="L80" s="234">
        <v>7864</v>
      </c>
      <c r="M80" s="234">
        <v>8576</v>
      </c>
      <c r="N80" s="234">
        <v>11816</v>
      </c>
      <c r="O80" s="235"/>
      <c r="P80" s="235">
        <f t="shared" si="32"/>
        <v>69251</v>
      </c>
      <c r="Q80" s="234">
        <v>4964</v>
      </c>
      <c r="R80" s="234">
        <v>4489</v>
      </c>
      <c r="S80" s="234">
        <v>5045</v>
      </c>
      <c r="T80" s="234">
        <v>6829</v>
      </c>
      <c r="U80" s="234">
        <v>5902</v>
      </c>
      <c r="V80" s="234">
        <v>5096</v>
      </c>
      <c r="W80" s="234">
        <v>4970</v>
      </c>
      <c r="X80" s="234">
        <v>10338</v>
      </c>
      <c r="Y80" s="234">
        <v>6904</v>
      </c>
      <c r="Z80" s="234">
        <v>5196</v>
      </c>
      <c r="AA80" s="234">
        <v>3591</v>
      </c>
      <c r="AB80" s="234">
        <v>2191</v>
      </c>
      <c r="AC80" s="234">
        <v>1891</v>
      </c>
      <c r="AD80" s="234">
        <v>1845</v>
      </c>
      <c r="AE80" s="234"/>
      <c r="AF80" s="234">
        <f t="shared" si="33"/>
        <v>5890</v>
      </c>
      <c r="AG80" s="234">
        <v>3016</v>
      </c>
      <c r="AH80" s="234">
        <v>2874</v>
      </c>
      <c r="AI80" s="197">
        <f t="shared" si="28"/>
        <v>0</v>
      </c>
    </row>
    <row r="81" spans="1:35" s="198" customFormat="1" ht="26.1" customHeight="1">
      <c r="A81" s="190" t="s">
        <v>116</v>
      </c>
      <c r="B81" s="191" t="s">
        <v>247</v>
      </c>
      <c r="C81" s="230" t="s">
        <v>250</v>
      </c>
      <c r="D81" s="238">
        <v>1</v>
      </c>
      <c r="E81" s="234">
        <f t="shared" si="30"/>
        <v>5187</v>
      </c>
      <c r="F81" s="234"/>
      <c r="G81" s="234">
        <v>5187</v>
      </c>
      <c r="H81" s="240">
        <f t="shared" si="31"/>
        <v>0</v>
      </c>
      <c r="I81" s="234"/>
      <c r="J81" s="234"/>
      <c r="K81" s="234"/>
      <c r="L81" s="234"/>
      <c r="M81" s="234"/>
      <c r="N81" s="234"/>
      <c r="O81" s="235"/>
      <c r="P81" s="235">
        <f t="shared" si="32"/>
        <v>3843</v>
      </c>
      <c r="Q81" s="234"/>
      <c r="R81" s="234"/>
      <c r="S81" s="234"/>
      <c r="T81" s="234"/>
      <c r="U81" s="234"/>
      <c r="V81" s="234"/>
      <c r="W81" s="234"/>
      <c r="X81" s="234"/>
      <c r="Y81" s="234">
        <v>1281</v>
      </c>
      <c r="Z81" s="234">
        <v>1281</v>
      </c>
      <c r="AA81" s="234">
        <v>1281</v>
      </c>
      <c r="AB81" s="234"/>
      <c r="AC81" s="234"/>
      <c r="AD81" s="234"/>
      <c r="AE81" s="234"/>
      <c r="AF81" s="234">
        <f t="shared" si="33"/>
        <v>1344</v>
      </c>
      <c r="AG81" s="234">
        <v>1344</v>
      </c>
      <c r="AH81" s="234"/>
      <c r="AI81" s="197">
        <f t="shared" si="28"/>
        <v>0</v>
      </c>
    </row>
    <row r="82" spans="1:35" s="198" customFormat="1" ht="26.1" customHeight="1">
      <c r="A82" s="190" t="s">
        <v>116</v>
      </c>
      <c r="B82" s="191" t="s">
        <v>247</v>
      </c>
      <c r="C82" s="230" t="s">
        <v>251</v>
      </c>
      <c r="D82" s="238">
        <v>1</v>
      </c>
      <c r="E82" s="234">
        <f t="shared" si="30"/>
        <v>4437</v>
      </c>
      <c r="F82" s="234">
        <v>4437</v>
      </c>
      <c r="G82" s="234"/>
      <c r="H82" s="240">
        <f t="shared" si="31"/>
        <v>2982</v>
      </c>
      <c r="I82" s="234">
        <v>600</v>
      </c>
      <c r="J82" s="234">
        <v>708</v>
      </c>
      <c r="K82" s="234">
        <v>489</v>
      </c>
      <c r="L82" s="234">
        <v>585</v>
      </c>
      <c r="M82" s="234">
        <v>252</v>
      </c>
      <c r="N82" s="234">
        <v>348</v>
      </c>
      <c r="O82" s="235"/>
      <c r="P82" s="235">
        <f t="shared" si="32"/>
        <v>1395</v>
      </c>
      <c r="Q82" s="234">
        <v>75</v>
      </c>
      <c r="R82" s="234">
        <v>252</v>
      </c>
      <c r="S82" s="234">
        <v>102</v>
      </c>
      <c r="T82" s="234">
        <v>138</v>
      </c>
      <c r="U82" s="234">
        <v>66</v>
      </c>
      <c r="V82" s="234">
        <v>111</v>
      </c>
      <c r="W82" s="234">
        <v>75</v>
      </c>
      <c r="X82" s="234">
        <v>78</v>
      </c>
      <c r="Y82" s="234">
        <v>48</v>
      </c>
      <c r="Z82" s="234">
        <v>60</v>
      </c>
      <c r="AA82" s="234">
        <v>33</v>
      </c>
      <c r="AB82" s="234">
        <v>90</v>
      </c>
      <c r="AC82" s="234">
        <v>162</v>
      </c>
      <c r="AD82" s="234">
        <v>105</v>
      </c>
      <c r="AE82" s="234">
        <v>0</v>
      </c>
      <c r="AF82" s="234">
        <f t="shared" si="33"/>
        <v>60</v>
      </c>
      <c r="AG82" s="234">
        <v>60</v>
      </c>
      <c r="AH82" s="234">
        <v>0</v>
      </c>
      <c r="AI82" s="197">
        <f t="shared" si="28"/>
        <v>0</v>
      </c>
    </row>
    <row r="83" spans="1:35" s="198" customFormat="1" ht="26.1" customHeight="1">
      <c r="A83" s="190" t="s">
        <v>116</v>
      </c>
      <c r="B83" s="191" t="s">
        <v>247</v>
      </c>
      <c r="C83" s="230" t="s">
        <v>517</v>
      </c>
      <c r="D83" s="238">
        <v>1</v>
      </c>
      <c r="E83" s="234">
        <f t="shared" si="30"/>
        <v>5233</v>
      </c>
      <c r="F83" s="234">
        <v>5233</v>
      </c>
      <c r="G83" s="234"/>
      <c r="H83" s="240">
        <f t="shared" si="31"/>
        <v>3350</v>
      </c>
      <c r="I83" s="234">
        <v>497</v>
      </c>
      <c r="J83" s="234">
        <v>732</v>
      </c>
      <c r="K83" s="234">
        <v>425</v>
      </c>
      <c r="L83" s="234">
        <v>575</v>
      </c>
      <c r="M83" s="234">
        <v>471</v>
      </c>
      <c r="N83" s="234">
        <v>650</v>
      </c>
      <c r="O83" s="235"/>
      <c r="P83" s="235">
        <f t="shared" si="32"/>
        <v>1823</v>
      </c>
      <c r="Q83" s="234">
        <v>117</v>
      </c>
      <c r="R83" s="234">
        <v>118</v>
      </c>
      <c r="S83" s="234">
        <v>143</v>
      </c>
      <c r="T83" s="234">
        <v>316</v>
      </c>
      <c r="U83" s="234">
        <v>135</v>
      </c>
      <c r="V83" s="234">
        <v>178</v>
      </c>
      <c r="W83" s="234">
        <v>146</v>
      </c>
      <c r="X83" s="234">
        <v>230</v>
      </c>
      <c r="Y83" s="234">
        <v>61</v>
      </c>
      <c r="Z83" s="234">
        <v>94</v>
      </c>
      <c r="AA83" s="234">
        <v>30</v>
      </c>
      <c r="AB83" s="234">
        <v>94</v>
      </c>
      <c r="AC83" s="234">
        <v>94</v>
      </c>
      <c r="AD83" s="234">
        <v>67</v>
      </c>
      <c r="AE83" s="234"/>
      <c r="AF83" s="234">
        <f t="shared" si="33"/>
        <v>60</v>
      </c>
      <c r="AG83" s="234">
        <v>30</v>
      </c>
      <c r="AH83" s="234">
        <v>30</v>
      </c>
      <c r="AI83" s="197">
        <f t="shared" si="28"/>
        <v>0</v>
      </c>
    </row>
    <row r="84" spans="1:35" s="198" customFormat="1" ht="26.1" customHeight="1">
      <c r="A84" s="190" t="s">
        <v>116</v>
      </c>
      <c r="B84" s="191" t="s">
        <v>247</v>
      </c>
      <c r="C84" s="230" t="s">
        <v>252</v>
      </c>
      <c r="D84" s="238">
        <v>1</v>
      </c>
      <c r="E84" s="234">
        <f t="shared" si="30"/>
        <v>1500</v>
      </c>
      <c r="F84" s="234"/>
      <c r="G84" s="234">
        <v>1500</v>
      </c>
      <c r="H84" s="240">
        <f t="shared" si="31"/>
        <v>400</v>
      </c>
      <c r="I84" s="234"/>
      <c r="J84" s="234"/>
      <c r="K84" s="234">
        <v>400</v>
      </c>
      <c r="L84" s="234"/>
      <c r="M84" s="234"/>
      <c r="N84" s="234"/>
      <c r="O84" s="235"/>
      <c r="P84" s="235">
        <f t="shared" si="32"/>
        <v>1100</v>
      </c>
      <c r="Q84" s="234">
        <v>500</v>
      </c>
      <c r="R84" s="234"/>
      <c r="S84" s="234">
        <v>600</v>
      </c>
      <c r="T84" s="234"/>
      <c r="U84" s="234"/>
      <c r="V84" s="234"/>
      <c r="W84" s="234"/>
      <c r="X84" s="234"/>
      <c r="Y84" s="234"/>
      <c r="Z84" s="234"/>
      <c r="AA84" s="234"/>
      <c r="AB84" s="234"/>
      <c r="AC84" s="234"/>
      <c r="AD84" s="234"/>
      <c r="AE84" s="234"/>
      <c r="AF84" s="234">
        <f t="shared" si="33"/>
        <v>0</v>
      </c>
      <c r="AG84" s="234"/>
      <c r="AH84" s="234"/>
      <c r="AI84" s="197">
        <f t="shared" si="28"/>
        <v>0</v>
      </c>
    </row>
    <row r="85" spans="1:35" s="198" customFormat="1" ht="26.1" customHeight="1">
      <c r="A85" s="190" t="s">
        <v>116</v>
      </c>
      <c r="B85" s="191" t="s">
        <v>247</v>
      </c>
      <c r="C85" s="230" t="s">
        <v>678</v>
      </c>
      <c r="D85" s="238">
        <v>1</v>
      </c>
      <c r="E85" s="234">
        <f t="shared" si="30"/>
        <v>1000</v>
      </c>
      <c r="F85" s="234">
        <v>500</v>
      </c>
      <c r="G85" s="234">
        <v>500</v>
      </c>
      <c r="H85" s="240">
        <f t="shared" si="31"/>
        <v>500</v>
      </c>
      <c r="I85" s="234"/>
      <c r="J85" s="234"/>
      <c r="K85" s="234"/>
      <c r="L85" s="234">
        <v>500</v>
      </c>
      <c r="M85" s="234"/>
      <c r="N85" s="234"/>
      <c r="O85" s="235"/>
      <c r="P85" s="235">
        <f t="shared" si="32"/>
        <v>500</v>
      </c>
      <c r="Q85" s="234"/>
      <c r="R85" s="234"/>
      <c r="S85" s="234"/>
      <c r="T85" s="234"/>
      <c r="U85" s="234">
        <v>500</v>
      </c>
      <c r="V85" s="234"/>
      <c r="W85" s="234"/>
      <c r="X85" s="234"/>
      <c r="Y85" s="234"/>
      <c r="Z85" s="234"/>
      <c r="AA85" s="234"/>
      <c r="AB85" s="234"/>
      <c r="AC85" s="234"/>
      <c r="AD85" s="234"/>
      <c r="AE85" s="234"/>
      <c r="AF85" s="234">
        <f t="shared" si="33"/>
        <v>0</v>
      </c>
      <c r="AG85" s="234"/>
      <c r="AH85" s="234"/>
      <c r="AI85" s="197">
        <f t="shared" si="28"/>
        <v>0</v>
      </c>
    </row>
    <row r="86" spans="1:35" s="198" customFormat="1" ht="26.1" customHeight="1">
      <c r="A86" s="190" t="s">
        <v>116</v>
      </c>
      <c r="B86" s="191" t="s">
        <v>247</v>
      </c>
      <c r="C86" s="230" t="s">
        <v>518</v>
      </c>
      <c r="D86" s="238">
        <v>1</v>
      </c>
      <c r="E86" s="234">
        <f t="shared" si="30"/>
        <v>225</v>
      </c>
      <c r="F86" s="234"/>
      <c r="G86" s="234">
        <v>225</v>
      </c>
      <c r="H86" s="240">
        <f t="shared" si="31"/>
        <v>0</v>
      </c>
      <c r="I86" s="234"/>
      <c r="J86" s="234"/>
      <c r="K86" s="234"/>
      <c r="L86" s="234"/>
      <c r="M86" s="234"/>
      <c r="N86" s="234"/>
      <c r="O86" s="235"/>
      <c r="P86" s="235">
        <f t="shared" si="32"/>
        <v>225</v>
      </c>
      <c r="Q86" s="234"/>
      <c r="R86" s="234"/>
      <c r="S86" s="234"/>
      <c r="T86" s="234"/>
      <c r="U86" s="234"/>
      <c r="V86" s="234"/>
      <c r="W86" s="234"/>
      <c r="X86" s="234"/>
      <c r="Y86" s="234"/>
      <c r="Z86" s="234"/>
      <c r="AA86" s="234">
        <v>225</v>
      </c>
      <c r="AB86" s="234"/>
      <c r="AC86" s="234"/>
      <c r="AD86" s="234"/>
      <c r="AE86" s="234"/>
      <c r="AF86" s="234">
        <f t="shared" si="33"/>
        <v>0</v>
      </c>
      <c r="AG86" s="234"/>
      <c r="AH86" s="234"/>
      <c r="AI86" s="197">
        <f t="shared" si="28"/>
        <v>0</v>
      </c>
    </row>
    <row r="87" spans="1:35" s="198" customFormat="1" ht="26.1" customHeight="1">
      <c r="A87" s="190" t="s">
        <v>116</v>
      </c>
      <c r="B87" s="191" t="s">
        <v>247</v>
      </c>
      <c r="C87" s="230" t="s">
        <v>253</v>
      </c>
      <c r="D87" s="238">
        <v>1</v>
      </c>
      <c r="E87" s="234">
        <f t="shared" si="30"/>
        <v>54234</v>
      </c>
      <c r="F87" s="234"/>
      <c r="G87" s="234">
        <v>54234</v>
      </c>
      <c r="H87" s="240">
        <f t="shared" si="31"/>
        <v>7793</v>
      </c>
      <c r="I87" s="234"/>
      <c r="J87" s="234">
        <v>1970</v>
      </c>
      <c r="K87" s="234"/>
      <c r="L87" s="234">
        <v>584</v>
      </c>
      <c r="M87" s="234">
        <v>1276</v>
      </c>
      <c r="N87" s="234">
        <v>3963</v>
      </c>
      <c r="O87" s="235">
        <v>0</v>
      </c>
      <c r="P87" s="235">
        <f t="shared" si="32"/>
        <v>45763</v>
      </c>
      <c r="Q87" s="234">
        <v>1482</v>
      </c>
      <c r="R87" s="234">
        <v>3601</v>
      </c>
      <c r="S87" s="234">
        <v>4860</v>
      </c>
      <c r="T87" s="234"/>
      <c r="U87" s="234">
        <v>2571</v>
      </c>
      <c r="V87" s="234"/>
      <c r="W87" s="234">
        <v>5541</v>
      </c>
      <c r="X87" s="234">
        <v>14818</v>
      </c>
      <c r="Y87" s="234">
        <v>7248</v>
      </c>
      <c r="Z87" s="234">
        <v>5642</v>
      </c>
      <c r="AA87" s="234"/>
      <c r="AB87" s="234"/>
      <c r="AC87" s="234"/>
      <c r="AD87" s="234"/>
      <c r="AE87" s="234">
        <v>0</v>
      </c>
      <c r="AF87" s="234">
        <f t="shared" si="33"/>
        <v>678</v>
      </c>
      <c r="AG87" s="234"/>
      <c r="AH87" s="234">
        <v>678</v>
      </c>
      <c r="AI87" s="197">
        <f t="shared" si="28"/>
        <v>0</v>
      </c>
    </row>
    <row r="88" spans="1:35" s="198" customFormat="1" ht="26.1" customHeight="1">
      <c r="A88" s="190" t="s">
        <v>116</v>
      </c>
      <c r="B88" s="191" t="s">
        <v>247</v>
      </c>
      <c r="C88" s="230" t="s">
        <v>679</v>
      </c>
      <c r="D88" s="238">
        <v>1</v>
      </c>
      <c r="E88" s="234">
        <f t="shared" si="30"/>
        <v>353</v>
      </c>
      <c r="F88" s="234"/>
      <c r="G88" s="234">
        <v>353</v>
      </c>
      <c r="H88" s="240">
        <f t="shared" si="31"/>
        <v>0</v>
      </c>
      <c r="I88" s="234"/>
      <c r="J88" s="234"/>
      <c r="K88" s="234"/>
      <c r="L88" s="234"/>
      <c r="M88" s="234"/>
      <c r="N88" s="234"/>
      <c r="O88" s="235"/>
      <c r="P88" s="235">
        <f t="shared" si="32"/>
        <v>353</v>
      </c>
      <c r="Q88" s="234"/>
      <c r="R88" s="234"/>
      <c r="S88" s="234"/>
      <c r="T88" s="234"/>
      <c r="U88" s="234"/>
      <c r="V88" s="234"/>
      <c r="W88" s="234"/>
      <c r="X88" s="234"/>
      <c r="Y88" s="234"/>
      <c r="Z88" s="234"/>
      <c r="AA88" s="234">
        <v>353</v>
      </c>
      <c r="AB88" s="234"/>
      <c r="AC88" s="234"/>
      <c r="AD88" s="234"/>
      <c r="AE88" s="234"/>
      <c r="AF88" s="234">
        <f t="shared" si="33"/>
        <v>0</v>
      </c>
      <c r="AG88" s="234"/>
      <c r="AH88" s="234"/>
      <c r="AI88" s="197">
        <f t="shared" si="28"/>
        <v>0</v>
      </c>
    </row>
    <row r="89" spans="1:35" s="198" customFormat="1" ht="26.1" customHeight="1">
      <c r="A89" s="190" t="s">
        <v>116</v>
      </c>
      <c r="B89" s="191" t="s">
        <v>247</v>
      </c>
      <c r="C89" s="230" t="s">
        <v>519</v>
      </c>
      <c r="D89" s="238">
        <v>1</v>
      </c>
      <c r="E89" s="234">
        <f t="shared" si="30"/>
        <v>900</v>
      </c>
      <c r="F89" s="234"/>
      <c r="G89" s="234">
        <v>900</v>
      </c>
      <c r="H89" s="240">
        <f t="shared" si="31"/>
        <v>0</v>
      </c>
      <c r="I89" s="234"/>
      <c r="J89" s="234"/>
      <c r="K89" s="234"/>
      <c r="L89" s="234"/>
      <c r="M89" s="234"/>
      <c r="N89" s="234"/>
      <c r="O89" s="235"/>
      <c r="P89" s="235">
        <f t="shared" si="32"/>
        <v>900</v>
      </c>
      <c r="Q89" s="234"/>
      <c r="R89" s="234"/>
      <c r="S89" s="234"/>
      <c r="T89" s="234"/>
      <c r="U89" s="234"/>
      <c r="V89" s="234"/>
      <c r="W89" s="234"/>
      <c r="X89" s="234"/>
      <c r="Y89" s="234">
        <v>900</v>
      </c>
      <c r="Z89" s="234"/>
      <c r="AA89" s="234"/>
      <c r="AB89" s="234"/>
      <c r="AC89" s="234"/>
      <c r="AD89" s="234"/>
      <c r="AE89" s="234"/>
      <c r="AF89" s="234">
        <f t="shared" si="33"/>
        <v>0</v>
      </c>
      <c r="AG89" s="234"/>
      <c r="AH89" s="234"/>
      <c r="AI89" s="197">
        <f t="shared" si="28"/>
        <v>0</v>
      </c>
    </row>
    <row r="90" spans="1:35" s="198" customFormat="1" ht="26.1" customHeight="1">
      <c r="A90" s="190" t="s">
        <v>116</v>
      </c>
      <c r="B90" s="191" t="s">
        <v>247</v>
      </c>
      <c r="C90" s="230" t="s">
        <v>520</v>
      </c>
      <c r="D90" s="238">
        <v>1</v>
      </c>
      <c r="E90" s="234">
        <f t="shared" si="30"/>
        <v>25510</v>
      </c>
      <c r="F90" s="234">
        <v>4401</v>
      </c>
      <c r="G90" s="234">
        <v>21109</v>
      </c>
      <c r="H90" s="240">
        <f t="shared" si="31"/>
        <v>9344</v>
      </c>
      <c r="I90" s="234"/>
      <c r="J90" s="234"/>
      <c r="K90" s="234">
        <v>1139</v>
      </c>
      <c r="L90" s="234">
        <v>3112</v>
      </c>
      <c r="M90" s="234">
        <v>2689</v>
      </c>
      <c r="N90" s="234">
        <v>2404</v>
      </c>
      <c r="O90" s="235"/>
      <c r="P90" s="235">
        <f t="shared" si="32"/>
        <v>16102</v>
      </c>
      <c r="Q90" s="234">
        <v>720</v>
      </c>
      <c r="R90" s="234">
        <v>730</v>
      </c>
      <c r="S90" s="234">
        <v>724</v>
      </c>
      <c r="T90" s="234">
        <v>1571</v>
      </c>
      <c r="U90" s="234">
        <v>475</v>
      </c>
      <c r="V90" s="234">
        <v>1668</v>
      </c>
      <c r="W90" s="234">
        <v>964</v>
      </c>
      <c r="X90" s="234">
        <v>1019</v>
      </c>
      <c r="Y90" s="234">
        <v>5080</v>
      </c>
      <c r="Z90" s="234"/>
      <c r="AA90" s="234">
        <v>299</v>
      </c>
      <c r="AB90" s="234">
        <v>297</v>
      </c>
      <c r="AC90" s="234">
        <v>2488</v>
      </c>
      <c r="AD90" s="234">
        <v>67</v>
      </c>
      <c r="AE90" s="234"/>
      <c r="AF90" s="234">
        <f t="shared" si="33"/>
        <v>64</v>
      </c>
      <c r="AG90" s="234">
        <v>64</v>
      </c>
      <c r="AH90" s="234"/>
      <c r="AI90" s="197">
        <f t="shared" si="28"/>
        <v>0</v>
      </c>
    </row>
    <row r="91" spans="1:35" s="198" customFormat="1" ht="26.1" customHeight="1">
      <c r="A91" s="190" t="s">
        <v>116</v>
      </c>
      <c r="B91" s="191" t="s">
        <v>247</v>
      </c>
      <c r="C91" s="230" t="s">
        <v>521</v>
      </c>
      <c r="D91" s="238">
        <v>1</v>
      </c>
      <c r="E91" s="234">
        <f t="shared" si="30"/>
        <v>18875</v>
      </c>
      <c r="F91" s="234">
        <v>1028</v>
      </c>
      <c r="G91" s="234">
        <v>17847</v>
      </c>
      <c r="H91" s="240">
        <f t="shared" si="31"/>
        <v>4206</v>
      </c>
      <c r="I91" s="234"/>
      <c r="J91" s="234"/>
      <c r="K91" s="234"/>
      <c r="L91" s="234"/>
      <c r="M91" s="234"/>
      <c r="N91" s="234"/>
      <c r="O91" s="235">
        <v>4206</v>
      </c>
      <c r="P91" s="235">
        <f t="shared" si="32"/>
        <v>14352</v>
      </c>
      <c r="Q91" s="234"/>
      <c r="R91" s="234"/>
      <c r="S91" s="234"/>
      <c r="T91" s="234"/>
      <c r="U91" s="234"/>
      <c r="V91" s="234"/>
      <c r="W91" s="234"/>
      <c r="X91" s="234"/>
      <c r="Y91" s="234"/>
      <c r="Z91" s="234"/>
      <c r="AA91" s="234"/>
      <c r="AB91" s="234"/>
      <c r="AC91" s="234"/>
      <c r="AD91" s="234"/>
      <c r="AE91" s="234">
        <v>14352</v>
      </c>
      <c r="AF91" s="234">
        <f t="shared" si="33"/>
        <v>317</v>
      </c>
      <c r="AG91" s="234">
        <v>317</v>
      </c>
      <c r="AH91" s="234"/>
      <c r="AI91" s="197">
        <f t="shared" si="28"/>
        <v>0</v>
      </c>
    </row>
    <row r="92" spans="1:35" s="198" customFormat="1" ht="26.1" customHeight="1">
      <c r="A92" s="190" t="s">
        <v>116</v>
      </c>
      <c r="B92" s="191" t="s">
        <v>247</v>
      </c>
      <c r="C92" s="230" t="s">
        <v>522</v>
      </c>
      <c r="D92" s="238">
        <v>1</v>
      </c>
      <c r="E92" s="234">
        <f t="shared" si="30"/>
        <v>150</v>
      </c>
      <c r="F92" s="234">
        <v>100</v>
      </c>
      <c r="G92" s="234">
        <v>50</v>
      </c>
      <c r="H92" s="240">
        <f t="shared" si="31"/>
        <v>0</v>
      </c>
      <c r="I92" s="234"/>
      <c r="J92" s="234"/>
      <c r="K92" s="234"/>
      <c r="L92" s="234"/>
      <c r="M92" s="234"/>
      <c r="N92" s="234"/>
      <c r="O92" s="235"/>
      <c r="P92" s="235">
        <f t="shared" si="32"/>
        <v>0</v>
      </c>
      <c r="Q92" s="234"/>
      <c r="R92" s="234"/>
      <c r="S92" s="234"/>
      <c r="T92" s="234"/>
      <c r="U92" s="234"/>
      <c r="V92" s="234"/>
      <c r="W92" s="234"/>
      <c r="X92" s="234"/>
      <c r="Y92" s="234"/>
      <c r="Z92" s="234"/>
      <c r="AA92" s="234"/>
      <c r="AB92" s="234"/>
      <c r="AC92" s="234"/>
      <c r="AD92" s="234"/>
      <c r="AE92" s="234"/>
      <c r="AF92" s="234">
        <f t="shared" si="33"/>
        <v>150</v>
      </c>
      <c r="AG92" s="234"/>
      <c r="AH92" s="234">
        <v>150</v>
      </c>
      <c r="AI92" s="197">
        <f t="shared" si="28"/>
        <v>0</v>
      </c>
    </row>
    <row r="93" spans="1:35" s="198" customFormat="1" ht="26.1" customHeight="1">
      <c r="A93" s="190"/>
      <c r="B93" s="191"/>
      <c r="C93" s="230"/>
      <c r="D93" s="238"/>
      <c r="E93" s="245">
        <f t="shared" ref="E93:AH93" si="34">SUM(E94:E97)</f>
        <v>440991</v>
      </c>
      <c r="F93" s="234">
        <f t="shared" si="34"/>
        <v>434235</v>
      </c>
      <c r="G93" s="234">
        <f t="shared" si="34"/>
        <v>6756</v>
      </c>
      <c r="H93" s="245">
        <f t="shared" si="34"/>
        <v>266803</v>
      </c>
      <c r="I93" s="234">
        <f t="shared" si="34"/>
        <v>43847</v>
      </c>
      <c r="J93" s="234">
        <f t="shared" si="34"/>
        <v>63891</v>
      </c>
      <c r="K93" s="234">
        <f t="shared" si="34"/>
        <v>27004</v>
      </c>
      <c r="L93" s="234">
        <f t="shared" si="34"/>
        <v>47824</v>
      </c>
      <c r="M93" s="234">
        <f t="shared" si="34"/>
        <v>34393</v>
      </c>
      <c r="N93" s="234">
        <f t="shared" si="34"/>
        <v>49060</v>
      </c>
      <c r="O93" s="234">
        <f t="shared" si="34"/>
        <v>784</v>
      </c>
      <c r="P93" s="245">
        <f t="shared" si="34"/>
        <v>170323</v>
      </c>
      <c r="Q93" s="234">
        <f t="shared" si="34"/>
        <v>14950</v>
      </c>
      <c r="R93" s="234">
        <f t="shared" si="34"/>
        <v>8208</v>
      </c>
      <c r="S93" s="234">
        <f t="shared" si="34"/>
        <v>10844</v>
      </c>
      <c r="T93" s="234">
        <f t="shared" si="34"/>
        <v>26649</v>
      </c>
      <c r="U93" s="234">
        <f t="shared" si="34"/>
        <v>13778</v>
      </c>
      <c r="V93" s="234">
        <f t="shared" si="34"/>
        <v>15449</v>
      </c>
      <c r="W93" s="234">
        <f t="shared" si="34"/>
        <v>13639</v>
      </c>
      <c r="X93" s="234">
        <f t="shared" si="34"/>
        <v>16882</v>
      </c>
      <c r="Y93" s="234">
        <f t="shared" si="34"/>
        <v>7916</v>
      </c>
      <c r="Z93" s="234">
        <f t="shared" si="34"/>
        <v>12648</v>
      </c>
      <c r="AA93" s="234">
        <f t="shared" si="34"/>
        <v>7404</v>
      </c>
      <c r="AB93" s="234">
        <f t="shared" si="34"/>
        <v>7884</v>
      </c>
      <c r="AC93" s="234">
        <f t="shared" si="34"/>
        <v>6679</v>
      </c>
      <c r="AD93" s="234">
        <f t="shared" si="34"/>
        <v>6635</v>
      </c>
      <c r="AE93" s="234">
        <f t="shared" si="34"/>
        <v>758</v>
      </c>
      <c r="AF93" s="245">
        <f t="shared" si="34"/>
        <v>3865</v>
      </c>
      <c r="AG93" s="234">
        <f t="shared" si="34"/>
        <v>2691</v>
      </c>
      <c r="AH93" s="234">
        <f t="shared" si="34"/>
        <v>1174</v>
      </c>
      <c r="AI93" s="197">
        <f t="shared" si="28"/>
        <v>0</v>
      </c>
    </row>
    <row r="94" spans="1:35" s="198" customFormat="1" ht="26.1" customHeight="1">
      <c r="A94" s="190" t="s">
        <v>116</v>
      </c>
      <c r="B94" s="264" t="s">
        <v>89</v>
      </c>
      <c r="C94" s="230" t="s">
        <v>254</v>
      </c>
      <c r="D94" s="238" t="s">
        <v>81</v>
      </c>
      <c r="E94" s="234">
        <f>SUM(H94,P94,AF94)</f>
        <v>255938</v>
      </c>
      <c r="F94" s="234">
        <v>255938</v>
      </c>
      <c r="G94" s="234">
        <v>0</v>
      </c>
      <c r="H94" s="240">
        <f>SUM(I94:O94)</f>
        <v>179294</v>
      </c>
      <c r="I94" s="234">
        <v>26300</v>
      </c>
      <c r="J94" s="234">
        <v>44350</v>
      </c>
      <c r="K94" s="234">
        <v>22400</v>
      </c>
      <c r="L94" s="234">
        <v>30200</v>
      </c>
      <c r="M94" s="234">
        <v>22144</v>
      </c>
      <c r="N94" s="234">
        <v>33900</v>
      </c>
      <c r="O94" s="235">
        <v>0</v>
      </c>
      <c r="P94" s="235">
        <f>SUM(Q94:AE94)</f>
        <v>75829</v>
      </c>
      <c r="Q94" s="234">
        <v>5835</v>
      </c>
      <c r="R94" s="234">
        <v>4800</v>
      </c>
      <c r="S94" s="234">
        <v>6000</v>
      </c>
      <c r="T94" s="234">
        <v>13800</v>
      </c>
      <c r="U94" s="234">
        <v>5440</v>
      </c>
      <c r="V94" s="234">
        <v>7383</v>
      </c>
      <c r="W94" s="234">
        <v>5389</v>
      </c>
      <c r="X94" s="234">
        <v>8358</v>
      </c>
      <c r="Y94" s="234">
        <v>2900</v>
      </c>
      <c r="Z94" s="234">
        <v>3728</v>
      </c>
      <c r="AA94" s="234">
        <v>900</v>
      </c>
      <c r="AB94" s="234">
        <v>4100</v>
      </c>
      <c r="AC94" s="234">
        <v>3900</v>
      </c>
      <c r="AD94" s="234">
        <v>3296</v>
      </c>
      <c r="AE94" s="234">
        <v>0</v>
      </c>
      <c r="AF94" s="234">
        <f>SUM(AG94:AH94)</f>
        <v>815</v>
      </c>
      <c r="AG94" s="234">
        <v>750</v>
      </c>
      <c r="AH94" s="234">
        <v>65</v>
      </c>
      <c r="AI94" s="197">
        <f t="shared" si="28"/>
        <v>0</v>
      </c>
    </row>
    <row r="95" spans="1:35" s="198" customFormat="1" ht="26.1" customHeight="1">
      <c r="A95" s="190" t="s">
        <v>116</v>
      </c>
      <c r="B95" s="191" t="s">
        <v>89</v>
      </c>
      <c r="C95" s="230" t="s">
        <v>255</v>
      </c>
      <c r="D95" s="238" t="s">
        <v>81</v>
      </c>
      <c r="E95" s="234">
        <f>SUM(H95,P95,AF95)</f>
        <v>26384</v>
      </c>
      <c r="F95" s="234">
        <v>19628</v>
      </c>
      <c r="G95" s="234">
        <v>6756</v>
      </c>
      <c r="H95" s="240">
        <f>SUM(I95:O95)</f>
        <v>10376</v>
      </c>
      <c r="I95" s="234">
        <v>2507</v>
      </c>
      <c r="J95" s="234">
        <v>1880</v>
      </c>
      <c r="K95" s="234">
        <v>0</v>
      </c>
      <c r="L95" s="234">
        <v>1126</v>
      </c>
      <c r="M95" s="234">
        <v>2445</v>
      </c>
      <c r="N95" s="234">
        <v>2418</v>
      </c>
      <c r="O95" s="235">
        <v>0</v>
      </c>
      <c r="P95" s="235">
        <f>SUM(Q95:AE95)</f>
        <v>13860</v>
      </c>
      <c r="Q95" s="234">
        <v>2890</v>
      </c>
      <c r="R95" s="234">
        <v>0</v>
      </c>
      <c r="S95" s="234">
        <v>0</v>
      </c>
      <c r="T95" s="234">
        <v>2418</v>
      </c>
      <c r="U95" s="234">
        <v>0</v>
      </c>
      <c r="V95" s="234">
        <v>0</v>
      </c>
      <c r="W95" s="234">
        <v>1424</v>
      </c>
      <c r="X95" s="234">
        <v>0</v>
      </c>
      <c r="Y95" s="234">
        <v>1220</v>
      </c>
      <c r="Z95" s="234">
        <v>1220</v>
      </c>
      <c r="AA95" s="234">
        <v>3683</v>
      </c>
      <c r="AB95" s="234">
        <v>0</v>
      </c>
      <c r="AC95" s="234">
        <v>1005</v>
      </c>
      <c r="AD95" s="234">
        <v>0</v>
      </c>
      <c r="AE95" s="234">
        <v>0</v>
      </c>
      <c r="AF95" s="234">
        <f>SUM(AG95:AH95)</f>
        <v>2148</v>
      </c>
      <c r="AG95" s="234">
        <v>1312</v>
      </c>
      <c r="AH95" s="234">
        <v>836</v>
      </c>
      <c r="AI95" s="197">
        <f t="shared" si="28"/>
        <v>0</v>
      </c>
    </row>
    <row r="96" spans="1:35" s="198" customFormat="1" ht="26.1" customHeight="1">
      <c r="A96" s="190" t="s">
        <v>116</v>
      </c>
      <c r="B96" s="191" t="s">
        <v>89</v>
      </c>
      <c r="C96" s="230" t="s">
        <v>256</v>
      </c>
      <c r="D96" s="238" t="s">
        <v>81</v>
      </c>
      <c r="E96" s="234">
        <f>SUM(H96,P96,AF96)</f>
        <v>92170</v>
      </c>
      <c r="F96" s="234">
        <v>92170</v>
      </c>
      <c r="G96" s="234">
        <v>0</v>
      </c>
      <c r="H96" s="240">
        <f>SUM(I96:O96)</f>
        <v>33560</v>
      </c>
      <c r="I96" s="234">
        <v>5757</v>
      </c>
      <c r="J96" s="234">
        <v>7905</v>
      </c>
      <c r="K96" s="234">
        <v>1934</v>
      </c>
      <c r="L96" s="234">
        <v>6940</v>
      </c>
      <c r="M96" s="234">
        <v>4176</v>
      </c>
      <c r="N96" s="234">
        <v>6064</v>
      </c>
      <c r="O96" s="235">
        <v>784</v>
      </c>
      <c r="P96" s="235">
        <f>SUM(Q96:AE96)</f>
        <v>58460</v>
      </c>
      <c r="Q96" s="234">
        <v>4600</v>
      </c>
      <c r="R96" s="234">
        <v>2630</v>
      </c>
      <c r="S96" s="234">
        <v>3415</v>
      </c>
      <c r="T96" s="234">
        <v>6569</v>
      </c>
      <c r="U96" s="234">
        <v>6272</v>
      </c>
      <c r="V96" s="234">
        <v>6475</v>
      </c>
      <c r="W96" s="234">
        <v>5216</v>
      </c>
      <c r="X96" s="234">
        <v>5983</v>
      </c>
      <c r="Y96" s="234">
        <v>2962</v>
      </c>
      <c r="Z96" s="234">
        <v>5700</v>
      </c>
      <c r="AA96" s="234">
        <v>2177</v>
      </c>
      <c r="AB96" s="234">
        <v>2484</v>
      </c>
      <c r="AC96" s="234">
        <v>1140</v>
      </c>
      <c r="AD96" s="234">
        <v>2079</v>
      </c>
      <c r="AE96" s="234">
        <v>758</v>
      </c>
      <c r="AF96" s="234">
        <f>SUM(AG96:AH96)</f>
        <v>150</v>
      </c>
      <c r="AG96" s="234">
        <v>100</v>
      </c>
      <c r="AH96" s="234">
        <v>50</v>
      </c>
      <c r="AI96" s="197">
        <f t="shared" si="28"/>
        <v>0</v>
      </c>
    </row>
    <row r="97" spans="1:35" s="198" customFormat="1" ht="26.1" customHeight="1">
      <c r="A97" s="190" t="s">
        <v>116</v>
      </c>
      <c r="B97" s="191" t="s">
        <v>89</v>
      </c>
      <c r="C97" s="230" t="s">
        <v>257</v>
      </c>
      <c r="D97" s="238" t="s">
        <v>81</v>
      </c>
      <c r="E97" s="234">
        <f>SUM(H97,P97,AF97)</f>
        <v>66499</v>
      </c>
      <c r="F97" s="234">
        <v>66499</v>
      </c>
      <c r="G97" s="234">
        <v>0</v>
      </c>
      <c r="H97" s="240">
        <f>SUM(I97:O97)</f>
        <v>43573</v>
      </c>
      <c r="I97" s="234">
        <v>9283</v>
      </c>
      <c r="J97" s="234">
        <v>9756</v>
      </c>
      <c r="K97" s="234">
        <v>2670</v>
      </c>
      <c r="L97" s="234">
        <v>9558</v>
      </c>
      <c r="M97" s="234">
        <v>5628</v>
      </c>
      <c r="N97" s="234">
        <v>6678</v>
      </c>
      <c r="O97" s="235">
        <v>0</v>
      </c>
      <c r="P97" s="235">
        <f>SUM(Q97:AE97)</f>
        <v>22174</v>
      </c>
      <c r="Q97" s="234">
        <v>1625</v>
      </c>
      <c r="R97" s="234">
        <v>778</v>
      </c>
      <c r="S97" s="234">
        <v>1429</v>
      </c>
      <c r="T97" s="234">
        <v>3862</v>
      </c>
      <c r="U97" s="234">
        <v>2066</v>
      </c>
      <c r="V97" s="234">
        <v>1591</v>
      </c>
      <c r="W97" s="234">
        <v>1610</v>
      </c>
      <c r="X97" s="234">
        <v>2541</v>
      </c>
      <c r="Y97" s="234">
        <v>834</v>
      </c>
      <c r="Z97" s="234">
        <v>2000</v>
      </c>
      <c r="AA97" s="234">
        <v>644</v>
      </c>
      <c r="AB97" s="234">
        <v>1300</v>
      </c>
      <c r="AC97" s="234">
        <v>634</v>
      </c>
      <c r="AD97" s="234">
        <v>1260</v>
      </c>
      <c r="AE97" s="234">
        <v>0</v>
      </c>
      <c r="AF97" s="234">
        <f>SUM(AG97:AH97)</f>
        <v>752</v>
      </c>
      <c r="AG97" s="234">
        <v>529</v>
      </c>
      <c r="AH97" s="234">
        <v>223</v>
      </c>
      <c r="AI97" s="197">
        <f t="shared" si="28"/>
        <v>0</v>
      </c>
    </row>
    <row r="98" spans="1:35" s="198" customFormat="1" ht="26.1" customHeight="1">
      <c r="A98" s="190" t="s">
        <v>758</v>
      </c>
      <c r="B98" s="264" t="s">
        <v>258</v>
      </c>
      <c r="C98" s="230" t="s">
        <v>259</v>
      </c>
      <c r="D98" s="238">
        <v>1</v>
      </c>
      <c r="E98" s="245">
        <f>SUM(H98,P98,AF98)</f>
        <v>4583</v>
      </c>
      <c r="F98" s="234">
        <v>4583</v>
      </c>
      <c r="G98" s="234">
        <v>0</v>
      </c>
      <c r="H98" s="233">
        <f>SUM(I98:O98)</f>
        <v>2400</v>
      </c>
      <c r="I98" s="234">
        <v>430</v>
      </c>
      <c r="J98" s="234">
        <v>480</v>
      </c>
      <c r="K98" s="234">
        <v>320</v>
      </c>
      <c r="L98" s="234">
        <v>410</v>
      </c>
      <c r="M98" s="234">
        <v>320</v>
      </c>
      <c r="N98" s="234">
        <v>440</v>
      </c>
      <c r="O98" s="235">
        <v>0</v>
      </c>
      <c r="P98" s="246">
        <f>SUM(Q98:AE98)</f>
        <v>2083</v>
      </c>
      <c r="Q98" s="234">
        <v>150</v>
      </c>
      <c r="R98" s="234">
        <v>170</v>
      </c>
      <c r="S98" s="234">
        <v>170</v>
      </c>
      <c r="T98" s="234">
        <v>210</v>
      </c>
      <c r="U98" s="234">
        <v>160</v>
      </c>
      <c r="V98" s="234">
        <v>188</v>
      </c>
      <c r="W98" s="234">
        <v>170</v>
      </c>
      <c r="X98" s="234">
        <v>200</v>
      </c>
      <c r="Y98" s="234">
        <v>55</v>
      </c>
      <c r="Z98" s="234">
        <v>150</v>
      </c>
      <c r="AA98" s="234">
        <v>60</v>
      </c>
      <c r="AB98" s="234">
        <v>160</v>
      </c>
      <c r="AC98" s="234">
        <v>170</v>
      </c>
      <c r="AD98" s="234">
        <v>70</v>
      </c>
      <c r="AE98" s="234">
        <v>0</v>
      </c>
      <c r="AF98" s="245">
        <f>SUM(AG98:AH98)</f>
        <v>100</v>
      </c>
      <c r="AG98" s="234">
        <v>60</v>
      </c>
      <c r="AH98" s="234">
        <v>40</v>
      </c>
      <c r="AI98" s="197">
        <f t="shared" si="28"/>
        <v>0</v>
      </c>
    </row>
    <row r="99" spans="1:35" s="198" customFormat="1" ht="26.1" customHeight="1">
      <c r="A99" s="190"/>
      <c r="B99" s="191"/>
      <c r="C99" s="230"/>
      <c r="D99" s="238"/>
      <c r="E99" s="232">
        <f t="shared" ref="E99:AH99" si="35">E100+E101+E104</f>
        <v>14400846</v>
      </c>
      <c r="F99" s="232">
        <f t="shared" si="35"/>
        <v>14400846</v>
      </c>
      <c r="G99" s="232">
        <f t="shared" si="35"/>
        <v>0</v>
      </c>
      <c r="H99" s="232">
        <f t="shared" si="35"/>
        <v>10379331</v>
      </c>
      <c r="I99" s="232">
        <f t="shared" si="35"/>
        <v>3657693</v>
      </c>
      <c r="J99" s="232">
        <f t="shared" si="35"/>
        <v>1784903</v>
      </c>
      <c r="K99" s="232">
        <f t="shared" si="35"/>
        <v>1171016</v>
      </c>
      <c r="L99" s="232">
        <f t="shared" si="35"/>
        <v>1304740</v>
      </c>
      <c r="M99" s="232">
        <f t="shared" si="35"/>
        <v>1010505</v>
      </c>
      <c r="N99" s="232">
        <f t="shared" si="35"/>
        <v>1450474</v>
      </c>
      <c r="O99" s="232">
        <f t="shared" si="35"/>
        <v>0</v>
      </c>
      <c r="P99" s="232">
        <f t="shared" si="35"/>
        <v>3916476</v>
      </c>
      <c r="Q99" s="232">
        <f t="shared" si="35"/>
        <v>244865</v>
      </c>
      <c r="R99" s="232">
        <f t="shared" si="35"/>
        <v>234062</v>
      </c>
      <c r="S99" s="232">
        <f t="shared" si="35"/>
        <v>301421</v>
      </c>
      <c r="T99" s="232">
        <f t="shared" si="35"/>
        <v>578047</v>
      </c>
      <c r="U99" s="232">
        <f t="shared" si="35"/>
        <v>299194</v>
      </c>
      <c r="V99" s="232">
        <f t="shared" si="35"/>
        <v>397708</v>
      </c>
      <c r="W99" s="232">
        <f t="shared" si="35"/>
        <v>274992</v>
      </c>
      <c r="X99" s="232">
        <f t="shared" si="35"/>
        <v>464696</v>
      </c>
      <c r="Y99" s="232">
        <f t="shared" si="35"/>
        <v>201586</v>
      </c>
      <c r="Z99" s="232">
        <f t="shared" si="35"/>
        <v>221020</v>
      </c>
      <c r="AA99" s="232">
        <f t="shared" si="35"/>
        <v>109634</v>
      </c>
      <c r="AB99" s="232">
        <f t="shared" si="35"/>
        <v>238454</v>
      </c>
      <c r="AC99" s="232">
        <f t="shared" si="35"/>
        <v>216504</v>
      </c>
      <c r="AD99" s="232">
        <f t="shared" si="35"/>
        <v>134293</v>
      </c>
      <c r="AE99" s="232">
        <f t="shared" si="35"/>
        <v>0</v>
      </c>
      <c r="AF99" s="232">
        <f t="shared" si="35"/>
        <v>105039</v>
      </c>
      <c r="AG99" s="232">
        <f t="shared" si="35"/>
        <v>79438</v>
      </c>
      <c r="AH99" s="232">
        <f t="shared" si="35"/>
        <v>25601</v>
      </c>
      <c r="AI99" s="197">
        <f t="shared" si="28"/>
        <v>0</v>
      </c>
    </row>
    <row r="100" spans="1:35" s="198" customFormat="1" ht="26.1" customHeight="1">
      <c r="A100" s="200" t="s">
        <v>759</v>
      </c>
      <c r="B100" s="264" t="s">
        <v>275</v>
      </c>
      <c r="C100" s="230" t="s">
        <v>276</v>
      </c>
      <c r="D100" s="238">
        <v>1</v>
      </c>
      <c r="E100" s="245">
        <f>SUM(H100,P100,AF100)</f>
        <v>32884</v>
      </c>
      <c r="F100" s="234">
        <v>32884</v>
      </c>
      <c r="G100" s="234"/>
      <c r="H100" s="245">
        <f>SUM(I100:O100)</f>
        <v>6417</v>
      </c>
      <c r="I100" s="234">
        <v>1070</v>
      </c>
      <c r="J100" s="234">
        <v>1069</v>
      </c>
      <c r="K100" s="234">
        <v>1069</v>
      </c>
      <c r="L100" s="234">
        <v>1070</v>
      </c>
      <c r="M100" s="234">
        <v>1069</v>
      </c>
      <c r="N100" s="234">
        <v>1070</v>
      </c>
      <c r="O100" s="235">
        <v>0</v>
      </c>
      <c r="P100" s="246">
        <f>SUM(Q100:AE100)</f>
        <v>26061</v>
      </c>
      <c r="Q100" s="234">
        <v>1862</v>
      </c>
      <c r="R100" s="234">
        <v>1862</v>
      </c>
      <c r="S100" s="234">
        <v>1861</v>
      </c>
      <c r="T100" s="234">
        <v>1861</v>
      </c>
      <c r="U100" s="234">
        <v>1861</v>
      </c>
      <c r="V100" s="234">
        <v>1862</v>
      </c>
      <c r="W100" s="234">
        <v>1862</v>
      </c>
      <c r="X100" s="234">
        <v>1862</v>
      </c>
      <c r="Y100" s="234">
        <v>1861</v>
      </c>
      <c r="Z100" s="234">
        <v>1861</v>
      </c>
      <c r="AA100" s="234">
        <v>1861</v>
      </c>
      <c r="AB100" s="234">
        <v>1862</v>
      </c>
      <c r="AC100" s="234">
        <v>1862</v>
      </c>
      <c r="AD100" s="234">
        <v>1861</v>
      </c>
      <c r="AE100" s="234"/>
      <c r="AF100" s="245">
        <f>SUM(AG100:AH100)</f>
        <v>406</v>
      </c>
      <c r="AG100" s="234">
        <v>203</v>
      </c>
      <c r="AH100" s="234">
        <v>203</v>
      </c>
      <c r="AI100" s="197">
        <f t="shared" si="28"/>
        <v>0</v>
      </c>
    </row>
    <row r="101" spans="1:35" s="198" customFormat="1" ht="26.1" customHeight="1">
      <c r="A101" s="200"/>
      <c r="B101" s="191"/>
      <c r="C101" s="230"/>
      <c r="D101" s="238"/>
      <c r="E101" s="245">
        <f t="shared" ref="E101:AH101" si="36">SUM(E102:E103)</f>
        <v>9366100</v>
      </c>
      <c r="F101" s="240">
        <f t="shared" si="36"/>
        <v>9366100</v>
      </c>
      <c r="G101" s="240">
        <f t="shared" si="36"/>
        <v>0</v>
      </c>
      <c r="H101" s="245">
        <f t="shared" si="36"/>
        <v>6125826</v>
      </c>
      <c r="I101" s="240">
        <f t="shared" si="36"/>
        <v>1515197</v>
      </c>
      <c r="J101" s="240">
        <f t="shared" si="36"/>
        <v>1111386</v>
      </c>
      <c r="K101" s="240">
        <f t="shared" si="36"/>
        <v>723050</v>
      </c>
      <c r="L101" s="240">
        <f t="shared" si="36"/>
        <v>928188</v>
      </c>
      <c r="M101" s="240">
        <f t="shared" si="36"/>
        <v>741580</v>
      </c>
      <c r="N101" s="240">
        <f t="shared" si="36"/>
        <v>1106425</v>
      </c>
      <c r="O101" s="240">
        <f t="shared" si="36"/>
        <v>0</v>
      </c>
      <c r="P101" s="245">
        <f t="shared" si="36"/>
        <v>3136711</v>
      </c>
      <c r="Q101" s="240">
        <f t="shared" si="36"/>
        <v>173287</v>
      </c>
      <c r="R101" s="240">
        <f t="shared" si="36"/>
        <v>171858</v>
      </c>
      <c r="S101" s="240">
        <f t="shared" si="36"/>
        <v>234968</v>
      </c>
      <c r="T101" s="240">
        <f t="shared" si="36"/>
        <v>417344</v>
      </c>
      <c r="U101" s="240">
        <f t="shared" si="36"/>
        <v>267315</v>
      </c>
      <c r="V101" s="240">
        <f t="shared" si="36"/>
        <v>338743</v>
      </c>
      <c r="W101" s="240">
        <f t="shared" si="36"/>
        <v>254742</v>
      </c>
      <c r="X101" s="240">
        <f t="shared" si="36"/>
        <v>415979</v>
      </c>
      <c r="Y101" s="240">
        <f t="shared" si="36"/>
        <v>192728</v>
      </c>
      <c r="Z101" s="240">
        <f t="shared" si="36"/>
        <v>201697</v>
      </c>
      <c r="AA101" s="240">
        <f t="shared" si="36"/>
        <v>94828</v>
      </c>
      <c r="AB101" s="240">
        <f t="shared" si="36"/>
        <v>154579</v>
      </c>
      <c r="AC101" s="240">
        <f t="shared" si="36"/>
        <v>132344</v>
      </c>
      <c r="AD101" s="240">
        <f t="shared" si="36"/>
        <v>86299</v>
      </c>
      <c r="AE101" s="240">
        <f t="shared" si="36"/>
        <v>0</v>
      </c>
      <c r="AF101" s="245">
        <f t="shared" si="36"/>
        <v>103563</v>
      </c>
      <c r="AG101" s="240">
        <f t="shared" si="36"/>
        <v>78334</v>
      </c>
      <c r="AH101" s="240">
        <f t="shared" si="36"/>
        <v>25229</v>
      </c>
      <c r="AI101" s="197">
        <f t="shared" si="28"/>
        <v>0</v>
      </c>
    </row>
    <row r="102" spans="1:35" s="198" customFormat="1" ht="26.1" customHeight="1">
      <c r="A102" s="190" t="s">
        <v>759</v>
      </c>
      <c r="B102" s="264" t="s">
        <v>277</v>
      </c>
      <c r="C102" s="230" t="s">
        <v>90</v>
      </c>
      <c r="D102" s="238">
        <v>1</v>
      </c>
      <c r="E102" s="234">
        <f>SUM(H102,P102,AF102)</f>
        <v>170100</v>
      </c>
      <c r="F102" s="234">
        <v>170100</v>
      </c>
      <c r="G102" s="234"/>
      <c r="H102" s="240">
        <f>SUM(I102:O102)</f>
        <v>84171</v>
      </c>
      <c r="I102" s="234">
        <v>6273</v>
      </c>
      <c r="J102" s="234">
        <v>9363</v>
      </c>
      <c r="K102" s="234">
        <v>8245</v>
      </c>
      <c r="L102" s="234">
        <v>8579</v>
      </c>
      <c r="M102" s="234">
        <v>16997</v>
      </c>
      <c r="N102" s="234">
        <v>34714</v>
      </c>
      <c r="O102" s="235"/>
      <c r="P102" s="235">
        <f>SUM(Q102:AE102)</f>
        <v>79914</v>
      </c>
      <c r="Q102" s="234">
        <v>6005</v>
      </c>
      <c r="R102" s="234">
        <v>3945</v>
      </c>
      <c r="S102" s="234">
        <v>3720</v>
      </c>
      <c r="T102" s="234">
        <v>4589</v>
      </c>
      <c r="U102" s="234">
        <v>5437</v>
      </c>
      <c r="V102" s="234">
        <v>4348</v>
      </c>
      <c r="W102" s="234">
        <v>4249</v>
      </c>
      <c r="X102" s="234">
        <v>14428</v>
      </c>
      <c r="Y102" s="234">
        <v>6274</v>
      </c>
      <c r="Z102" s="234">
        <v>5333</v>
      </c>
      <c r="AA102" s="234">
        <v>2827</v>
      </c>
      <c r="AB102" s="234">
        <v>14190</v>
      </c>
      <c r="AC102" s="234">
        <v>2483</v>
      </c>
      <c r="AD102" s="234">
        <v>2086</v>
      </c>
      <c r="AE102" s="234"/>
      <c r="AF102" s="234">
        <f>SUM(AG102:AH102)</f>
        <v>6015</v>
      </c>
      <c r="AG102" s="234">
        <v>4067</v>
      </c>
      <c r="AH102" s="234">
        <v>1948</v>
      </c>
      <c r="AI102" s="197">
        <f t="shared" si="28"/>
        <v>0</v>
      </c>
    </row>
    <row r="103" spans="1:35" s="198" customFormat="1" ht="26.1" customHeight="1">
      <c r="A103" s="247" t="s">
        <v>759</v>
      </c>
      <c r="B103" s="248" t="s">
        <v>277</v>
      </c>
      <c r="C103" s="249" t="s">
        <v>91</v>
      </c>
      <c r="D103" s="238">
        <v>9</v>
      </c>
      <c r="E103" s="234">
        <f>H103+P103+AF103</f>
        <v>9196000</v>
      </c>
      <c r="F103" s="234">
        <v>9196000</v>
      </c>
      <c r="G103" s="234"/>
      <c r="H103" s="240">
        <f>SUM(I103:O103)</f>
        <v>6041655</v>
      </c>
      <c r="I103" s="234">
        <v>1508924</v>
      </c>
      <c r="J103" s="234">
        <v>1102023</v>
      </c>
      <c r="K103" s="234">
        <v>714805</v>
      </c>
      <c r="L103" s="234">
        <v>919609</v>
      </c>
      <c r="M103" s="234">
        <v>724583</v>
      </c>
      <c r="N103" s="234">
        <v>1071711</v>
      </c>
      <c r="O103" s="235"/>
      <c r="P103" s="235">
        <f>SUM(Q103:AE103)</f>
        <v>3056797</v>
      </c>
      <c r="Q103" s="234">
        <v>167282</v>
      </c>
      <c r="R103" s="234">
        <v>167913</v>
      </c>
      <c r="S103" s="234">
        <v>231248</v>
      </c>
      <c r="T103" s="234">
        <v>412755</v>
      </c>
      <c r="U103" s="234">
        <v>261878</v>
      </c>
      <c r="V103" s="234">
        <v>334395</v>
      </c>
      <c r="W103" s="234">
        <v>250493</v>
      </c>
      <c r="X103" s="234">
        <v>401551</v>
      </c>
      <c r="Y103" s="234">
        <v>186454</v>
      </c>
      <c r="Z103" s="234">
        <v>196364</v>
      </c>
      <c r="AA103" s="234">
        <v>92001</v>
      </c>
      <c r="AB103" s="234">
        <v>140389</v>
      </c>
      <c r="AC103" s="234">
        <v>129861</v>
      </c>
      <c r="AD103" s="234">
        <v>84213</v>
      </c>
      <c r="AE103" s="234"/>
      <c r="AF103" s="234">
        <f>SUM(AG103:AH103)</f>
        <v>97548</v>
      </c>
      <c r="AG103" s="234">
        <v>74267</v>
      </c>
      <c r="AH103" s="234">
        <v>23281</v>
      </c>
      <c r="AI103" s="197">
        <f t="shared" si="28"/>
        <v>0</v>
      </c>
    </row>
    <row r="104" spans="1:35" s="198" customFormat="1" ht="26.1" customHeight="1">
      <c r="A104" s="190"/>
      <c r="B104" s="191"/>
      <c r="C104" s="230"/>
      <c r="D104" s="238"/>
      <c r="E104" s="245">
        <f t="shared" ref="E104:AH104" si="37">SUM(E105:E106)</f>
        <v>5001862</v>
      </c>
      <c r="F104" s="240">
        <f t="shared" si="37"/>
        <v>5001862</v>
      </c>
      <c r="G104" s="240">
        <f t="shared" si="37"/>
        <v>0</v>
      </c>
      <c r="H104" s="245">
        <f t="shared" si="37"/>
        <v>4247088</v>
      </c>
      <c r="I104" s="240">
        <f t="shared" si="37"/>
        <v>2141426</v>
      </c>
      <c r="J104" s="240">
        <f t="shared" si="37"/>
        <v>672448</v>
      </c>
      <c r="K104" s="240">
        <f t="shared" si="37"/>
        <v>446897</v>
      </c>
      <c r="L104" s="240">
        <f t="shared" si="37"/>
        <v>375482</v>
      </c>
      <c r="M104" s="240">
        <f t="shared" si="37"/>
        <v>267856</v>
      </c>
      <c r="N104" s="240">
        <f t="shared" si="37"/>
        <v>342979</v>
      </c>
      <c r="O104" s="240">
        <f t="shared" si="37"/>
        <v>0</v>
      </c>
      <c r="P104" s="245">
        <f t="shared" si="37"/>
        <v>753704</v>
      </c>
      <c r="Q104" s="240">
        <f t="shared" si="37"/>
        <v>69716</v>
      </c>
      <c r="R104" s="240">
        <f t="shared" si="37"/>
        <v>60342</v>
      </c>
      <c r="S104" s="240">
        <f t="shared" si="37"/>
        <v>64592</v>
      </c>
      <c r="T104" s="240">
        <f t="shared" si="37"/>
        <v>158842</v>
      </c>
      <c r="U104" s="240">
        <f t="shared" si="37"/>
        <v>30018</v>
      </c>
      <c r="V104" s="240">
        <f t="shared" si="37"/>
        <v>57103</v>
      </c>
      <c r="W104" s="240">
        <f t="shared" si="37"/>
        <v>18388</v>
      </c>
      <c r="X104" s="240">
        <f t="shared" si="37"/>
        <v>46855</v>
      </c>
      <c r="Y104" s="240">
        <f t="shared" si="37"/>
        <v>6997</v>
      </c>
      <c r="Z104" s="240">
        <f t="shared" si="37"/>
        <v>17462</v>
      </c>
      <c r="AA104" s="240">
        <f t="shared" si="37"/>
        <v>12945</v>
      </c>
      <c r="AB104" s="240">
        <f t="shared" si="37"/>
        <v>82013</v>
      </c>
      <c r="AC104" s="240">
        <f t="shared" si="37"/>
        <v>82298</v>
      </c>
      <c r="AD104" s="240">
        <f t="shared" si="37"/>
        <v>46133</v>
      </c>
      <c r="AE104" s="240">
        <f t="shared" si="37"/>
        <v>0</v>
      </c>
      <c r="AF104" s="245">
        <f t="shared" si="37"/>
        <v>1070</v>
      </c>
      <c r="AG104" s="240">
        <f t="shared" si="37"/>
        <v>901</v>
      </c>
      <c r="AH104" s="240">
        <f t="shared" si="37"/>
        <v>169</v>
      </c>
      <c r="AI104" s="197">
        <f t="shared" si="28"/>
        <v>0</v>
      </c>
    </row>
    <row r="105" spans="1:35" s="198" customFormat="1" ht="26.1" customHeight="1">
      <c r="A105" s="190" t="s">
        <v>759</v>
      </c>
      <c r="B105" s="264" t="s">
        <v>278</v>
      </c>
      <c r="C105" s="230" t="s">
        <v>92</v>
      </c>
      <c r="D105" s="238">
        <v>9</v>
      </c>
      <c r="E105" s="234">
        <f>SUM(H105,P105,AF105)</f>
        <v>504472</v>
      </c>
      <c r="F105" s="234">
        <v>504472</v>
      </c>
      <c r="G105" s="234">
        <v>0</v>
      </c>
      <c r="H105" s="240">
        <f>SUM(I105:O105)</f>
        <v>469428</v>
      </c>
      <c r="I105" s="234">
        <v>242506</v>
      </c>
      <c r="J105" s="234">
        <v>121778</v>
      </c>
      <c r="K105" s="234">
        <v>28447</v>
      </c>
      <c r="L105" s="234">
        <v>32192</v>
      </c>
      <c r="M105" s="234">
        <v>9486</v>
      </c>
      <c r="N105" s="234">
        <v>35019</v>
      </c>
      <c r="O105" s="235">
        <v>0</v>
      </c>
      <c r="P105" s="235">
        <f>SUM(Q105:AE105)</f>
        <v>34854</v>
      </c>
      <c r="Q105" s="234">
        <v>8086</v>
      </c>
      <c r="R105" s="234">
        <v>2742</v>
      </c>
      <c r="S105" s="234">
        <v>4472</v>
      </c>
      <c r="T105" s="234">
        <v>3682</v>
      </c>
      <c r="U105" s="234">
        <v>1708</v>
      </c>
      <c r="V105" s="234">
        <v>1613</v>
      </c>
      <c r="W105" s="234">
        <v>928</v>
      </c>
      <c r="X105" s="234">
        <v>1295</v>
      </c>
      <c r="Y105" s="234">
        <v>577</v>
      </c>
      <c r="Z105" s="234">
        <v>2102</v>
      </c>
      <c r="AA105" s="234">
        <v>355</v>
      </c>
      <c r="AB105" s="234">
        <v>1303</v>
      </c>
      <c r="AC105" s="234">
        <v>3028</v>
      </c>
      <c r="AD105" s="234">
        <v>2963</v>
      </c>
      <c r="AE105" s="234">
        <v>0</v>
      </c>
      <c r="AF105" s="234">
        <f>SUM(AG105:AH105)</f>
        <v>190</v>
      </c>
      <c r="AG105" s="234">
        <v>41</v>
      </c>
      <c r="AH105" s="234">
        <v>149</v>
      </c>
      <c r="AI105" s="197">
        <f t="shared" si="28"/>
        <v>0</v>
      </c>
    </row>
    <row r="106" spans="1:35" s="198" customFormat="1" ht="26.1" customHeight="1">
      <c r="A106" s="190" t="s">
        <v>759</v>
      </c>
      <c r="B106" s="191" t="s">
        <v>278</v>
      </c>
      <c r="C106" s="230" t="s">
        <v>93</v>
      </c>
      <c r="D106" s="238">
        <v>9</v>
      </c>
      <c r="E106" s="234">
        <f>SUM(H106,P106,AF106)</f>
        <v>4497390</v>
      </c>
      <c r="F106" s="234">
        <v>4497390</v>
      </c>
      <c r="G106" s="234">
        <v>0</v>
      </c>
      <c r="H106" s="240">
        <f>SUM(I106:O106)</f>
        <v>3777660</v>
      </c>
      <c r="I106" s="234">
        <v>1898920</v>
      </c>
      <c r="J106" s="234">
        <v>550670</v>
      </c>
      <c r="K106" s="234">
        <v>418450</v>
      </c>
      <c r="L106" s="234">
        <v>343290</v>
      </c>
      <c r="M106" s="234">
        <v>258370</v>
      </c>
      <c r="N106" s="234">
        <v>307960</v>
      </c>
      <c r="O106" s="235">
        <v>0</v>
      </c>
      <c r="P106" s="235">
        <f>SUM(Q106:AE106)</f>
        <v>718850</v>
      </c>
      <c r="Q106" s="234">
        <v>61630</v>
      </c>
      <c r="R106" s="234">
        <v>57600</v>
      </c>
      <c r="S106" s="234">
        <v>60120</v>
      </c>
      <c r="T106" s="234">
        <v>155160</v>
      </c>
      <c r="U106" s="234">
        <v>28310</v>
      </c>
      <c r="V106" s="234">
        <v>55490</v>
      </c>
      <c r="W106" s="234">
        <v>17460</v>
      </c>
      <c r="X106" s="234">
        <v>45560</v>
      </c>
      <c r="Y106" s="234">
        <v>6420</v>
      </c>
      <c r="Z106" s="234">
        <v>15360</v>
      </c>
      <c r="AA106" s="234">
        <v>12590</v>
      </c>
      <c r="AB106" s="234">
        <v>80710</v>
      </c>
      <c r="AC106" s="234">
        <v>79270</v>
      </c>
      <c r="AD106" s="234">
        <v>43170</v>
      </c>
      <c r="AE106" s="234">
        <v>0</v>
      </c>
      <c r="AF106" s="234">
        <f>SUM(AG106:AH106)</f>
        <v>880</v>
      </c>
      <c r="AG106" s="234">
        <v>860</v>
      </c>
      <c r="AH106" s="234">
        <v>20</v>
      </c>
      <c r="AI106" s="197">
        <f t="shared" si="28"/>
        <v>0</v>
      </c>
    </row>
    <row r="107" spans="1:35" s="198" customFormat="1" ht="26.1" customHeight="1">
      <c r="A107" s="190"/>
      <c r="B107" s="191"/>
      <c r="C107" s="230"/>
      <c r="D107" s="238"/>
      <c r="E107" s="232">
        <f t="shared" ref="E107:AH107" si="38">E108+E133+E142</f>
        <v>40501328.799999997</v>
      </c>
      <c r="F107" s="232">
        <f t="shared" si="38"/>
        <v>31742687</v>
      </c>
      <c r="G107" s="232">
        <f t="shared" si="38"/>
        <v>8758641.8000000007</v>
      </c>
      <c r="H107" s="232">
        <f t="shared" si="38"/>
        <v>23877688.800000001</v>
      </c>
      <c r="I107" s="232">
        <f t="shared" si="38"/>
        <v>3516490.7</v>
      </c>
      <c r="J107" s="232">
        <f t="shared" si="38"/>
        <v>6391997.7999999998</v>
      </c>
      <c r="K107" s="232">
        <f t="shared" si="38"/>
        <v>2410819</v>
      </c>
      <c r="L107" s="232">
        <f t="shared" si="38"/>
        <v>2995014.8</v>
      </c>
      <c r="M107" s="232">
        <f t="shared" si="38"/>
        <v>1937961</v>
      </c>
      <c r="N107" s="232">
        <f t="shared" si="38"/>
        <v>2827775.5</v>
      </c>
      <c r="O107" s="232">
        <f t="shared" si="38"/>
        <v>3797630</v>
      </c>
      <c r="P107" s="232">
        <f t="shared" si="38"/>
        <v>16148397</v>
      </c>
      <c r="Q107" s="232">
        <f t="shared" si="38"/>
        <v>716238</v>
      </c>
      <c r="R107" s="232">
        <f t="shared" si="38"/>
        <v>797242</v>
      </c>
      <c r="S107" s="232">
        <f t="shared" si="38"/>
        <v>762751</v>
      </c>
      <c r="T107" s="232">
        <f t="shared" si="38"/>
        <v>1382979</v>
      </c>
      <c r="U107" s="232">
        <f t="shared" si="38"/>
        <v>778140</v>
      </c>
      <c r="V107" s="232">
        <f t="shared" si="38"/>
        <v>947787</v>
      </c>
      <c r="W107" s="232">
        <f t="shared" si="38"/>
        <v>791439</v>
      </c>
      <c r="X107" s="232">
        <f t="shared" si="38"/>
        <v>1162740</v>
      </c>
      <c r="Y107" s="232">
        <f t="shared" si="38"/>
        <v>554146</v>
      </c>
      <c r="Z107" s="232">
        <f t="shared" si="38"/>
        <v>628225</v>
      </c>
      <c r="AA107" s="232">
        <f t="shared" si="38"/>
        <v>400302</v>
      </c>
      <c r="AB107" s="232">
        <f t="shared" si="38"/>
        <v>589749</v>
      </c>
      <c r="AC107" s="232">
        <f t="shared" si="38"/>
        <v>654787</v>
      </c>
      <c r="AD107" s="232">
        <f t="shared" si="38"/>
        <v>493795</v>
      </c>
      <c r="AE107" s="232">
        <f t="shared" si="38"/>
        <v>5488077</v>
      </c>
      <c r="AF107" s="232">
        <f t="shared" si="38"/>
        <v>475243</v>
      </c>
      <c r="AG107" s="232">
        <f t="shared" si="38"/>
        <v>270917</v>
      </c>
      <c r="AH107" s="232">
        <f t="shared" si="38"/>
        <v>204326</v>
      </c>
      <c r="AI107" s="197">
        <f t="shared" si="28"/>
        <v>0</v>
      </c>
    </row>
    <row r="108" spans="1:35" s="198" customFormat="1" ht="26.1" customHeight="1">
      <c r="A108" s="199"/>
      <c r="B108" s="108"/>
      <c r="C108" s="265"/>
      <c r="D108" s="266"/>
      <c r="E108" s="267">
        <f t="shared" ref="E108:AH108" si="39">SUM(E109:E132)</f>
        <v>1648471</v>
      </c>
      <c r="F108" s="268">
        <f t="shared" si="39"/>
        <v>1252765</v>
      </c>
      <c r="G108" s="268">
        <f t="shared" si="39"/>
        <v>395706</v>
      </c>
      <c r="H108" s="267">
        <f t="shared" si="39"/>
        <v>564418</v>
      </c>
      <c r="I108" s="268">
        <f t="shared" si="39"/>
        <v>38970</v>
      </c>
      <c r="J108" s="268">
        <f t="shared" si="39"/>
        <v>36670</v>
      </c>
      <c r="K108" s="268">
        <f t="shared" si="39"/>
        <v>33450</v>
      </c>
      <c r="L108" s="268">
        <f t="shared" si="39"/>
        <v>31490</v>
      </c>
      <c r="M108" s="268">
        <f t="shared" si="39"/>
        <v>33670</v>
      </c>
      <c r="N108" s="268">
        <f t="shared" si="39"/>
        <v>32270</v>
      </c>
      <c r="O108" s="268">
        <f t="shared" si="39"/>
        <v>357898</v>
      </c>
      <c r="P108" s="267">
        <f t="shared" si="39"/>
        <v>1026380</v>
      </c>
      <c r="Q108" s="268">
        <f t="shared" si="39"/>
        <v>14486</v>
      </c>
      <c r="R108" s="268">
        <f t="shared" si="39"/>
        <v>13726</v>
      </c>
      <c r="S108" s="268">
        <f t="shared" si="39"/>
        <v>14726</v>
      </c>
      <c r="T108" s="268">
        <f t="shared" si="39"/>
        <v>14726</v>
      </c>
      <c r="U108" s="268">
        <f t="shared" si="39"/>
        <v>15726</v>
      </c>
      <c r="V108" s="268">
        <f t="shared" si="39"/>
        <v>15489</v>
      </c>
      <c r="W108" s="268">
        <f t="shared" si="39"/>
        <v>16972</v>
      </c>
      <c r="X108" s="268">
        <f t="shared" si="39"/>
        <v>17983</v>
      </c>
      <c r="Y108" s="268">
        <f t="shared" si="39"/>
        <v>14386</v>
      </c>
      <c r="Z108" s="268">
        <f t="shared" si="39"/>
        <v>13726</v>
      </c>
      <c r="AA108" s="268">
        <f t="shared" si="39"/>
        <v>12726</v>
      </c>
      <c r="AB108" s="268">
        <f t="shared" si="39"/>
        <v>12728</v>
      </c>
      <c r="AC108" s="268">
        <f t="shared" si="39"/>
        <v>12526</v>
      </c>
      <c r="AD108" s="268">
        <f t="shared" si="39"/>
        <v>12526</v>
      </c>
      <c r="AE108" s="268">
        <f t="shared" si="39"/>
        <v>823928</v>
      </c>
      <c r="AF108" s="267">
        <f t="shared" si="39"/>
        <v>57673</v>
      </c>
      <c r="AG108" s="268">
        <f t="shared" si="39"/>
        <v>31946</v>
      </c>
      <c r="AH108" s="268">
        <f t="shared" si="39"/>
        <v>25727</v>
      </c>
      <c r="AI108" s="197">
        <f t="shared" si="28"/>
        <v>0</v>
      </c>
    </row>
    <row r="109" spans="1:35" s="198" customFormat="1" ht="26.1" customHeight="1">
      <c r="A109" s="269" t="s">
        <v>760</v>
      </c>
      <c r="B109" s="270" t="s">
        <v>433</v>
      </c>
      <c r="C109" s="265" t="s">
        <v>434</v>
      </c>
      <c r="D109" s="266">
        <v>3</v>
      </c>
      <c r="E109" s="268">
        <f t="shared" ref="E109:E132" si="40">SUM(H109,P109,AF109)</f>
        <v>763</v>
      </c>
      <c r="F109" s="268">
        <v>763</v>
      </c>
      <c r="G109" s="268">
        <v>0</v>
      </c>
      <c r="H109" s="258">
        <f t="shared" ref="H109:H132" si="41">SUM(I109:O109)</f>
        <v>0</v>
      </c>
      <c r="I109" s="268">
        <v>0</v>
      </c>
      <c r="J109" s="268">
        <v>0</v>
      </c>
      <c r="K109" s="268">
        <v>0</v>
      </c>
      <c r="L109" s="268">
        <v>0</v>
      </c>
      <c r="M109" s="268">
        <v>0</v>
      </c>
      <c r="N109" s="268">
        <v>0</v>
      </c>
      <c r="O109" s="271">
        <v>0</v>
      </c>
      <c r="P109" s="153">
        <f t="shared" ref="P109:P132" si="42">SUM(Q109:AE109)</f>
        <v>763</v>
      </c>
      <c r="Q109" s="268">
        <v>0</v>
      </c>
      <c r="R109" s="268">
        <v>0</v>
      </c>
      <c r="S109" s="268">
        <v>0</v>
      </c>
      <c r="T109" s="268">
        <v>0</v>
      </c>
      <c r="U109" s="268">
        <v>0</v>
      </c>
      <c r="V109" s="268">
        <v>763</v>
      </c>
      <c r="W109" s="268">
        <v>0</v>
      </c>
      <c r="X109" s="268">
        <v>0</v>
      </c>
      <c r="Y109" s="268">
        <v>0</v>
      </c>
      <c r="Z109" s="268">
        <v>0</v>
      </c>
      <c r="AA109" s="268">
        <v>0</v>
      </c>
      <c r="AB109" s="268">
        <v>0</v>
      </c>
      <c r="AC109" s="268">
        <v>0</v>
      </c>
      <c r="AD109" s="268">
        <v>0</v>
      </c>
      <c r="AE109" s="268">
        <v>0</v>
      </c>
      <c r="AF109" s="154">
        <f t="shared" ref="AF109:AF132" si="43">SUM(AG109:AH109)</f>
        <v>0</v>
      </c>
      <c r="AG109" s="268">
        <v>0</v>
      </c>
      <c r="AH109" s="268">
        <v>0</v>
      </c>
      <c r="AI109" s="197">
        <f t="shared" si="28"/>
        <v>0</v>
      </c>
    </row>
    <row r="110" spans="1:35" s="198" customFormat="1" ht="26.1" customHeight="1">
      <c r="A110" s="272" t="s">
        <v>760</v>
      </c>
      <c r="B110" s="108" t="s">
        <v>433</v>
      </c>
      <c r="C110" s="265" t="s">
        <v>155</v>
      </c>
      <c r="D110" s="266">
        <v>3</v>
      </c>
      <c r="E110" s="268">
        <f t="shared" si="40"/>
        <v>12900</v>
      </c>
      <c r="F110" s="268">
        <v>12900</v>
      </c>
      <c r="G110" s="268">
        <v>0</v>
      </c>
      <c r="H110" s="258">
        <f t="shared" si="41"/>
        <v>6000</v>
      </c>
      <c r="I110" s="268">
        <v>0</v>
      </c>
      <c r="J110" s="268">
        <v>0</v>
      </c>
      <c r="K110" s="268">
        <v>0</v>
      </c>
      <c r="L110" s="268">
        <v>0</v>
      </c>
      <c r="M110" s="268">
        <v>0</v>
      </c>
      <c r="N110" s="268">
        <v>0</v>
      </c>
      <c r="O110" s="271">
        <v>6000</v>
      </c>
      <c r="P110" s="153">
        <f t="shared" si="42"/>
        <v>6200</v>
      </c>
      <c r="Q110" s="268">
        <v>0</v>
      </c>
      <c r="R110" s="268">
        <v>0</v>
      </c>
      <c r="S110" s="268">
        <v>0</v>
      </c>
      <c r="T110" s="268">
        <v>0</v>
      </c>
      <c r="U110" s="268">
        <v>0</v>
      </c>
      <c r="V110" s="268">
        <v>0</v>
      </c>
      <c r="W110" s="268">
        <v>0</v>
      </c>
      <c r="X110" s="268">
        <v>0</v>
      </c>
      <c r="Y110" s="268">
        <v>0</v>
      </c>
      <c r="Z110" s="268">
        <v>0</v>
      </c>
      <c r="AA110" s="268">
        <v>0</v>
      </c>
      <c r="AB110" s="268">
        <v>0</v>
      </c>
      <c r="AC110" s="268">
        <v>0</v>
      </c>
      <c r="AD110" s="268">
        <v>0</v>
      </c>
      <c r="AE110" s="268">
        <v>6200</v>
      </c>
      <c r="AF110" s="154">
        <f t="shared" si="43"/>
        <v>700</v>
      </c>
      <c r="AG110" s="268">
        <v>350</v>
      </c>
      <c r="AH110" s="268">
        <v>350</v>
      </c>
      <c r="AI110" s="197">
        <f t="shared" si="28"/>
        <v>0</v>
      </c>
    </row>
    <row r="111" spans="1:35" s="198" customFormat="1" ht="26.1" customHeight="1">
      <c r="A111" s="272" t="s">
        <v>760</v>
      </c>
      <c r="B111" s="108" t="s">
        <v>433</v>
      </c>
      <c r="C111" s="265" t="s">
        <v>94</v>
      </c>
      <c r="D111" s="266">
        <v>3</v>
      </c>
      <c r="E111" s="268">
        <f t="shared" si="40"/>
        <v>16919</v>
      </c>
      <c r="F111" s="268">
        <v>16279</v>
      </c>
      <c r="G111" s="268">
        <v>640</v>
      </c>
      <c r="H111" s="258">
        <f t="shared" si="41"/>
        <v>13114</v>
      </c>
      <c r="I111" s="268">
        <v>0</v>
      </c>
      <c r="J111" s="268">
        <v>0</v>
      </c>
      <c r="K111" s="268">
        <v>0</v>
      </c>
      <c r="L111" s="268">
        <v>0</v>
      </c>
      <c r="M111" s="268">
        <v>0</v>
      </c>
      <c r="N111" s="268">
        <v>0</v>
      </c>
      <c r="O111" s="271">
        <v>13114</v>
      </c>
      <c r="P111" s="153">
        <f t="shared" si="42"/>
        <v>3805</v>
      </c>
      <c r="Q111" s="268">
        <v>0</v>
      </c>
      <c r="R111" s="268">
        <v>0</v>
      </c>
      <c r="S111" s="268">
        <v>0</v>
      </c>
      <c r="T111" s="268">
        <v>0</v>
      </c>
      <c r="U111" s="268">
        <v>0</v>
      </c>
      <c r="V111" s="268">
        <v>0</v>
      </c>
      <c r="W111" s="268">
        <v>0</v>
      </c>
      <c r="X111" s="268">
        <v>0</v>
      </c>
      <c r="Y111" s="268">
        <v>0</v>
      </c>
      <c r="Z111" s="268">
        <v>0</v>
      </c>
      <c r="AA111" s="268">
        <v>0</v>
      </c>
      <c r="AB111" s="268">
        <v>0</v>
      </c>
      <c r="AC111" s="268">
        <v>0</v>
      </c>
      <c r="AD111" s="268">
        <v>0</v>
      </c>
      <c r="AE111" s="268">
        <v>3805</v>
      </c>
      <c r="AF111" s="154">
        <f t="shared" si="43"/>
        <v>0</v>
      </c>
      <c r="AG111" s="268">
        <v>0</v>
      </c>
      <c r="AH111" s="268">
        <v>0</v>
      </c>
      <c r="AI111" s="197">
        <f t="shared" si="28"/>
        <v>0</v>
      </c>
    </row>
    <row r="112" spans="1:35" s="198" customFormat="1" ht="26.1" customHeight="1">
      <c r="A112" s="272" t="s">
        <v>760</v>
      </c>
      <c r="B112" s="108" t="s">
        <v>433</v>
      </c>
      <c r="C112" s="265" t="s">
        <v>549</v>
      </c>
      <c r="D112" s="266">
        <v>3</v>
      </c>
      <c r="E112" s="268">
        <f t="shared" si="40"/>
        <v>194109</v>
      </c>
      <c r="F112" s="268">
        <v>148961</v>
      </c>
      <c r="G112" s="268">
        <v>45148</v>
      </c>
      <c r="H112" s="258">
        <f t="shared" si="41"/>
        <v>45597</v>
      </c>
      <c r="I112" s="268">
        <v>0</v>
      </c>
      <c r="J112" s="268">
        <v>0</v>
      </c>
      <c r="K112" s="268">
        <v>0</v>
      </c>
      <c r="L112" s="268">
        <v>0</v>
      </c>
      <c r="M112" s="268">
        <v>0</v>
      </c>
      <c r="N112" s="268">
        <v>0</v>
      </c>
      <c r="O112" s="271">
        <v>45597</v>
      </c>
      <c r="P112" s="153">
        <f t="shared" si="42"/>
        <v>147242</v>
      </c>
      <c r="Q112" s="268">
        <v>0</v>
      </c>
      <c r="R112" s="268">
        <v>0</v>
      </c>
      <c r="S112" s="268">
        <v>0</v>
      </c>
      <c r="T112" s="268">
        <v>0</v>
      </c>
      <c r="U112" s="268">
        <v>0</v>
      </c>
      <c r="V112" s="268">
        <v>0</v>
      </c>
      <c r="W112" s="268">
        <v>0</v>
      </c>
      <c r="X112" s="268">
        <v>0</v>
      </c>
      <c r="Y112" s="268">
        <v>0</v>
      </c>
      <c r="Z112" s="268">
        <v>0</v>
      </c>
      <c r="AA112" s="268">
        <v>0</v>
      </c>
      <c r="AB112" s="268">
        <v>0</v>
      </c>
      <c r="AC112" s="268">
        <v>0</v>
      </c>
      <c r="AD112" s="268">
        <v>0</v>
      </c>
      <c r="AE112" s="268">
        <v>147242</v>
      </c>
      <c r="AF112" s="154">
        <f t="shared" si="43"/>
        <v>1270</v>
      </c>
      <c r="AG112" s="268">
        <v>635</v>
      </c>
      <c r="AH112" s="268">
        <v>635</v>
      </c>
      <c r="AI112" s="197">
        <f t="shared" si="28"/>
        <v>0</v>
      </c>
    </row>
    <row r="113" spans="1:35" s="198" customFormat="1" ht="26.1" customHeight="1">
      <c r="A113" s="272" t="s">
        <v>760</v>
      </c>
      <c r="B113" s="108" t="s">
        <v>433</v>
      </c>
      <c r="C113" s="265" t="s">
        <v>95</v>
      </c>
      <c r="D113" s="266">
        <v>3</v>
      </c>
      <c r="E113" s="268">
        <f t="shared" si="40"/>
        <v>31651</v>
      </c>
      <c r="F113" s="268">
        <v>31431</v>
      </c>
      <c r="G113" s="268">
        <v>220</v>
      </c>
      <c r="H113" s="258">
        <f t="shared" si="41"/>
        <v>11505</v>
      </c>
      <c r="I113" s="268">
        <v>1370</v>
      </c>
      <c r="J113" s="268">
        <v>1370</v>
      </c>
      <c r="K113" s="268">
        <v>1370</v>
      </c>
      <c r="L113" s="268">
        <v>1370</v>
      </c>
      <c r="M113" s="268">
        <v>1370</v>
      </c>
      <c r="N113" s="268">
        <v>1370</v>
      </c>
      <c r="O113" s="271">
        <v>3285</v>
      </c>
      <c r="P113" s="153">
        <f t="shared" si="42"/>
        <v>17176</v>
      </c>
      <c r="Q113" s="268">
        <v>815</v>
      </c>
      <c r="R113" s="268">
        <v>815</v>
      </c>
      <c r="S113" s="268">
        <v>815</v>
      </c>
      <c r="T113" s="268">
        <v>815</v>
      </c>
      <c r="U113" s="268">
        <v>815</v>
      </c>
      <c r="V113" s="268">
        <v>815</v>
      </c>
      <c r="W113" s="268">
        <v>815</v>
      </c>
      <c r="X113" s="268">
        <v>815</v>
      </c>
      <c r="Y113" s="268">
        <v>815</v>
      </c>
      <c r="Z113" s="268">
        <v>815</v>
      </c>
      <c r="AA113" s="268">
        <v>815</v>
      </c>
      <c r="AB113" s="268">
        <v>815</v>
      </c>
      <c r="AC113" s="268">
        <v>815</v>
      </c>
      <c r="AD113" s="268">
        <v>815</v>
      </c>
      <c r="AE113" s="268">
        <v>5766</v>
      </c>
      <c r="AF113" s="154">
        <f t="shared" si="43"/>
        <v>2970</v>
      </c>
      <c r="AG113" s="268">
        <v>1485</v>
      </c>
      <c r="AH113" s="268">
        <v>1485</v>
      </c>
      <c r="AI113" s="197">
        <f t="shared" si="28"/>
        <v>0</v>
      </c>
    </row>
    <row r="114" spans="1:35" s="198" customFormat="1" ht="26.1" customHeight="1">
      <c r="A114" s="272" t="s">
        <v>760</v>
      </c>
      <c r="B114" s="108" t="s">
        <v>433</v>
      </c>
      <c r="C114" s="265" t="s">
        <v>435</v>
      </c>
      <c r="D114" s="266">
        <v>3</v>
      </c>
      <c r="E114" s="268">
        <f t="shared" si="40"/>
        <v>253412</v>
      </c>
      <c r="F114" s="268">
        <v>238312</v>
      </c>
      <c r="G114" s="268">
        <v>15100</v>
      </c>
      <c r="H114" s="258">
        <f t="shared" si="41"/>
        <v>135359</v>
      </c>
      <c r="I114" s="268">
        <v>18600</v>
      </c>
      <c r="J114" s="268">
        <v>18600</v>
      </c>
      <c r="K114" s="268">
        <v>18600</v>
      </c>
      <c r="L114" s="268">
        <v>18600</v>
      </c>
      <c r="M114" s="268">
        <v>18600</v>
      </c>
      <c r="N114" s="268">
        <v>18600</v>
      </c>
      <c r="O114" s="271">
        <v>23759</v>
      </c>
      <c r="P114" s="153">
        <f t="shared" si="42"/>
        <v>117553</v>
      </c>
      <c r="Q114" s="268">
        <v>7350</v>
      </c>
      <c r="R114" s="268">
        <v>7350</v>
      </c>
      <c r="S114" s="268">
        <v>7350</v>
      </c>
      <c r="T114" s="268">
        <v>7350</v>
      </c>
      <c r="U114" s="268">
        <v>7350</v>
      </c>
      <c r="V114" s="268">
        <v>7350</v>
      </c>
      <c r="W114" s="268">
        <v>7350</v>
      </c>
      <c r="X114" s="268">
        <v>7350</v>
      </c>
      <c r="Y114" s="268">
        <v>7350</v>
      </c>
      <c r="Z114" s="268">
        <v>7350</v>
      </c>
      <c r="AA114" s="268">
        <v>7350</v>
      </c>
      <c r="AB114" s="268">
        <v>7350</v>
      </c>
      <c r="AC114" s="268">
        <v>7350</v>
      </c>
      <c r="AD114" s="268">
        <v>7350</v>
      </c>
      <c r="AE114" s="268">
        <v>14653</v>
      </c>
      <c r="AF114" s="154">
        <f t="shared" si="43"/>
        <v>500</v>
      </c>
      <c r="AG114" s="268">
        <v>250</v>
      </c>
      <c r="AH114" s="268">
        <v>250</v>
      </c>
      <c r="AI114" s="197">
        <f t="shared" si="28"/>
        <v>0</v>
      </c>
    </row>
    <row r="115" spans="1:35" s="198" customFormat="1" ht="26.1" customHeight="1">
      <c r="A115" s="272" t="s">
        <v>760</v>
      </c>
      <c r="B115" s="108" t="s">
        <v>433</v>
      </c>
      <c r="C115" s="265" t="s">
        <v>436</v>
      </c>
      <c r="D115" s="266">
        <v>3</v>
      </c>
      <c r="E115" s="268">
        <f t="shared" si="40"/>
        <v>181614</v>
      </c>
      <c r="F115" s="268">
        <v>176446</v>
      </c>
      <c r="G115" s="268">
        <v>5168</v>
      </c>
      <c r="H115" s="258">
        <f t="shared" si="41"/>
        <v>41700</v>
      </c>
      <c r="I115" s="268">
        <v>5500</v>
      </c>
      <c r="J115" s="268">
        <v>5500</v>
      </c>
      <c r="K115" s="268">
        <v>5500</v>
      </c>
      <c r="L115" s="268">
        <v>5500</v>
      </c>
      <c r="M115" s="268">
        <v>5500</v>
      </c>
      <c r="N115" s="268">
        <v>5500</v>
      </c>
      <c r="O115" s="271">
        <v>8700</v>
      </c>
      <c r="P115" s="153">
        <f t="shared" si="42"/>
        <v>132346</v>
      </c>
      <c r="Q115" s="268">
        <v>3500</v>
      </c>
      <c r="R115" s="268">
        <v>3500</v>
      </c>
      <c r="S115" s="268">
        <v>3500</v>
      </c>
      <c r="T115" s="268">
        <v>3500</v>
      </c>
      <c r="U115" s="268">
        <v>3500</v>
      </c>
      <c r="V115" s="268">
        <v>3500</v>
      </c>
      <c r="W115" s="268">
        <v>3500</v>
      </c>
      <c r="X115" s="268">
        <v>3500</v>
      </c>
      <c r="Y115" s="268">
        <v>3500</v>
      </c>
      <c r="Z115" s="268">
        <v>3500</v>
      </c>
      <c r="AA115" s="268">
        <v>2500</v>
      </c>
      <c r="AB115" s="268">
        <v>2500</v>
      </c>
      <c r="AC115" s="268">
        <v>2500</v>
      </c>
      <c r="AD115" s="268">
        <v>2500</v>
      </c>
      <c r="AE115" s="268">
        <v>87346</v>
      </c>
      <c r="AF115" s="154">
        <f t="shared" si="43"/>
        <v>7568</v>
      </c>
      <c r="AG115" s="268">
        <v>4368</v>
      </c>
      <c r="AH115" s="268">
        <v>3200</v>
      </c>
      <c r="AI115" s="197">
        <f t="shared" si="28"/>
        <v>0</v>
      </c>
    </row>
    <row r="116" spans="1:35" s="198" customFormat="1" ht="26.1" customHeight="1">
      <c r="A116" s="272" t="s">
        <v>760</v>
      </c>
      <c r="B116" s="108" t="s">
        <v>433</v>
      </c>
      <c r="C116" s="265" t="s">
        <v>550</v>
      </c>
      <c r="D116" s="266">
        <v>3</v>
      </c>
      <c r="E116" s="268">
        <f t="shared" si="40"/>
        <v>123323</v>
      </c>
      <c r="F116" s="268">
        <v>120423</v>
      </c>
      <c r="G116" s="268">
        <v>2900</v>
      </c>
      <c r="H116" s="258">
        <f t="shared" si="41"/>
        <v>47200</v>
      </c>
      <c r="I116" s="268">
        <v>5000</v>
      </c>
      <c r="J116" s="268">
        <v>6000</v>
      </c>
      <c r="K116" s="268">
        <v>5000</v>
      </c>
      <c r="L116" s="268">
        <v>5000</v>
      </c>
      <c r="M116" s="268">
        <v>6000</v>
      </c>
      <c r="N116" s="268">
        <v>6000</v>
      </c>
      <c r="O116" s="271">
        <v>14200</v>
      </c>
      <c r="P116" s="153">
        <f t="shared" si="42"/>
        <v>73123</v>
      </c>
      <c r="Q116" s="268">
        <v>2000</v>
      </c>
      <c r="R116" s="268">
        <v>2000</v>
      </c>
      <c r="S116" s="268">
        <v>3000</v>
      </c>
      <c r="T116" s="268">
        <v>3000</v>
      </c>
      <c r="U116" s="268">
        <v>3000</v>
      </c>
      <c r="V116" s="268">
        <v>3000</v>
      </c>
      <c r="W116" s="268">
        <v>3000</v>
      </c>
      <c r="X116" s="268">
        <v>4000</v>
      </c>
      <c r="Y116" s="268">
        <v>2000</v>
      </c>
      <c r="Z116" s="268">
        <v>2000</v>
      </c>
      <c r="AA116" s="268">
        <v>2000</v>
      </c>
      <c r="AB116" s="268">
        <v>2000</v>
      </c>
      <c r="AC116" s="268">
        <v>1800</v>
      </c>
      <c r="AD116" s="268">
        <v>1800</v>
      </c>
      <c r="AE116" s="268">
        <v>38523</v>
      </c>
      <c r="AF116" s="154">
        <f t="shared" si="43"/>
        <v>3000</v>
      </c>
      <c r="AG116" s="268">
        <v>2100</v>
      </c>
      <c r="AH116" s="268">
        <v>900</v>
      </c>
      <c r="AI116" s="197">
        <f t="shared" si="28"/>
        <v>0</v>
      </c>
    </row>
    <row r="117" spans="1:35" s="198" customFormat="1" ht="26.1" customHeight="1">
      <c r="A117" s="272" t="s">
        <v>760</v>
      </c>
      <c r="B117" s="108" t="s">
        <v>433</v>
      </c>
      <c r="C117" s="265" t="s">
        <v>551</v>
      </c>
      <c r="D117" s="266">
        <v>3</v>
      </c>
      <c r="E117" s="268">
        <f t="shared" si="40"/>
        <v>7580</v>
      </c>
      <c r="F117" s="268">
        <v>7580</v>
      </c>
      <c r="G117" s="268">
        <v>0</v>
      </c>
      <c r="H117" s="258">
        <f t="shared" si="41"/>
        <v>2300</v>
      </c>
      <c r="I117" s="268">
        <v>0</v>
      </c>
      <c r="J117" s="268">
        <v>0</v>
      </c>
      <c r="K117" s="268">
        <v>0</v>
      </c>
      <c r="L117" s="268">
        <v>0</v>
      </c>
      <c r="M117" s="268">
        <v>0</v>
      </c>
      <c r="N117" s="268">
        <v>0</v>
      </c>
      <c r="O117" s="271">
        <v>2300</v>
      </c>
      <c r="P117" s="153">
        <f t="shared" si="42"/>
        <v>4480</v>
      </c>
      <c r="Q117" s="268">
        <v>0</v>
      </c>
      <c r="R117" s="268">
        <v>0</v>
      </c>
      <c r="S117" s="268">
        <v>0</v>
      </c>
      <c r="T117" s="268">
        <v>0</v>
      </c>
      <c r="U117" s="268">
        <v>0</v>
      </c>
      <c r="V117" s="268">
        <v>0</v>
      </c>
      <c r="W117" s="268">
        <v>0</v>
      </c>
      <c r="X117" s="268">
        <v>0</v>
      </c>
      <c r="Y117" s="268">
        <v>0</v>
      </c>
      <c r="Z117" s="268">
        <v>0</v>
      </c>
      <c r="AA117" s="268">
        <v>0</v>
      </c>
      <c r="AB117" s="268">
        <v>0</v>
      </c>
      <c r="AC117" s="268">
        <v>0</v>
      </c>
      <c r="AD117" s="268">
        <v>0</v>
      </c>
      <c r="AE117" s="268">
        <v>4480</v>
      </c>
      <c r="AF117" s="154">
        <f t="shared" si="43"/>
        <v>800</v>
      </c>
      <c r="AG117" s="268">
        <v>400</v>
      </c>
      <c r="AH117" s="268">
        <v>400</v>
      </c>
      <c r="AI117" s="197">
        <f t="shared" si="28"/>
        <v>0</v>
      </c>
    </row>
    <row r="118" spans="1:35" s="198" customFormat="1" ht="26.1" customHeight="1">
      <c r="A118" s="272" t="s">
        <v>760</v>
      </c>
      <c r="B118" s="108" t="s">
        <v>433</v>
      </c>
      <c r="C118" s="265" t="s">
        <v>437</v>
      </c>
      <c r="D118" s="266">
        <v>3</v>
      </c>
      <c r="E118" s="268">
        <f t="shared" si="40"/>
        <v>5921</v>
      </c>
      <c r="F118" s="268">
        <v>3246</v>
      </c>
      <c r="G118" s="268">
        <v>2675</v>
      </c>
      <c r="H118" s="258">
        <f t="shared" si="41"/>
        <v>2000</v>
      </c>
      <c r="I118" s="268">
        <v>0</v>
      </c>
      <c r="J118" s="268">
        <v>0</v>
      </c>
      <c r="K118" s="268">
        <v>0</v>
      </c>
      <c r="L118" s="268">
        <v>0</v>
      </c>
      <c r="M118" s="268">
        <v>2000</v>
      </c>
      <c r="N118" s="268">
        <v>0</v>
      </c>
      <c r="O118" s="271">
        <v>0</v>
      </c>
      <c r="P118" s="153">
        <f t="shared" si="42"/>
        <v>3921</v>
      </c>
      <c r="Q118" s="268">
        <v>760</v>
      </c>
      <c r="R118" s="268">
        <v>0</v>
      </c>
      <c r="S118" s="268">
        <v>0</v>
      </c>
      <c r="T118" s="268">
        <v>0</v>
      </c>
      <c r="U118" s="268">
        <v>0</v>
      </c>
      <c r="V118" s="268">
        <v>0</v>
      </c>
      <c r="W118" s="268">
        <v>1246</v>
      </c>
      <c r="X118" s="268">
        <v>1255</v>
      </c>
      <c r="Y118" s="268">
        <v>660</v>
      </c>
      <c r="Z118" s="268">
        <v>0</v>
      </c>
      <c r="AA118" s="268">
        <v>0</v>
      </c>
      <c r="AB118" s="268">
        <v>0</v>
      </c>
      <c r="AC118" s="268">
        <v>0</v>
      </c>
      <c r="AD118" s="268">
        <v>0</v>
      </c>
      <c r="AE118" s="268">
        <v>0</v>
      </c>
      <c r="AF118" s="154">
        <f t="shared" si="43"/>
        <v>0</v>
      </c>
      <c r="AG118" s="268">
        <v>0</v>
      </c>
      <c r="AH118" s="268">
        <v>0</v>
      </c>
      <c r="AI118" s="197">
        <f t="shared" si="28"/>
        <v>0</v>
      </c>
    </row>
    <row r="119" spans="1:35" s="198" customFormat="1" ht="26.1" customHeight="1">
      <c r="A119" s="272" t="s">
        <v>760</v>
      </c>
      <c r="B119" s="108" t="s">
        <v>433</v>
      </c>
      <c r="C119" s="265" t="s">
        <v>552</v>
      </c>
      <c r="D119" s="266">
        <v>3</v>
      </c>
      <c r="E119" s="268">
        <f t="shared" si="40"/>
        <v>22000</v>
      </c>
      <c r="F119" s="268">
        <v>22000</v>
      </c>
      <c r="G119" s="268">
        <v>0</v>
      </c>
      <c r="H119" s="258">
        <f t="shared" si="41"/>
        <v>8000</v>
      </c>
      <c r="I119" s="268">
        <v>0</v>
      </c>
      <c r="J119" s="268">
        <v>0</v>
      </c>
      <c r="K119" s="268">
        <v>0</v>
      </c>
      <c r="L119" s="268">
        <v>0</v>
      </c>
      <c r="M119" s="268">
        <v>0</v>
      </c>
      <c r="N119" s="268">
        <v>0</v>
      </c>
      <c r="O119" s="271">
        <v>8000</v>
      </c>
      <c r="P119" s="153">
        <f t="shared" si="42"/>
        <v>14000</v>
      </c>
      <c r="Q119" s="268">
        <v>0</v>
      </c>
      <c r="R119" s="268">
        <v>0</v>
      </c>
      <c r="S119" s="268">
        <v>0</v>
      </c>
      <c r="T119" s="268">
        <v>0</v>
      </c>
      <c r="U119" s="268">
        <v>0</v>
      </c>
      <c r="V119" s="268">
        <v>0</v>
      </c>
      <c r="W119" s="268">
        <v>0</v>
      </c>
      <c r="X119" s="268">
        <v>0</v>
      </c>
      <c r="Y119" s="268">
        <v>0</v>
      </c>
      <c r="Z119" s="268">
        <v>0</v>
      </c>
      <c r="AA119" s="268">
        <v>0</v>
      </c>
      <c r="AB119" s="268">
        <v>0</v>
      </c>
      <c r="AC119" s="268">
        <v>0</v>
      </c>
      <c r="AD119" s="268">
        <v>0</v>
      </c>
      <c r="AE119" s="268">
        <v>14000</v>
      </c>
      <c r="AF119" s="154">
        <f t="shared" si="43"/>
        <v>0</v>
      </c>
      <c r="AG119" s="268">
        <v>0</v>
      </c>
      <c r="AH119" s="268">
        <v>0</v>
      </c>
      <c r="AI119" s="197">
        <f t="shared" si="28"/>
        <v>0</v>
      </c>
    </row>
    <row r="120" spans="1:35" s="198" customFormat="1" ht="26.1" customHeight="1">
      <c r="A120" s="272" t="s">
        <v>760</v>
      </c>
      <c r="B120" s="108" t="s">
        <v>433</v>
      </c>
      <c r="C120" s="265" t="s">
        <v>438</v>
      </c>
      <c r="D120" s="266">
        <v>3</v>
      </c>
      <c r="E120" s="268">
        <f t="shared" si="40"/>
        <v>2074</v>
      </c>
      <c r="F120" s="268">
        <v>2074</v>
      </c>
      <c r="G120" s="268">
        <v>0</v>
      </c>
      <c r="H120" s="258">
        <f t="shared" si="41"/>
        <v>274</v>
      </c>
      <c r="I120" s="268">
        <v>0</v>
      </c>
      <c r="J120" s="268">
        <v>0</v>
      </c>
      <c r="K120" s="268">
        <v>0</v>
      </c>
      <c r="L120" s="268">
        <v>0</v>
      </c>
      <c r="M120" s="268">
        <v>0</v>
      </c>
      <c r="N120" s="268">
        <v>0</v>
      </c>
      <c r="O120" s="271">
        <v>274</v>
      </c>
      <c r="P120" s="153">
        <f t="shared" si="42"/>
        <v>1800</v>
      </c>
      <c r="Q120" s="268">
        <v>0</v>
      </c>
      <c r="R120" s="268">
        <v>0</v>
      </c>
      <c r="S120" s="268">
        <v>0</v>
      </c>
      <c r="T120" s="268">
        <v>0</v>
      </c>
      <c r="U120" s="268">
        <v>0</v>
      </c>
      <c r="V120" s="268">
        <v>0</v>
      </c>
      <c r="W120" s="268">
        <v>0</v>
      </c>
      <c r="X120" s="268">
        <v>0</v>
      </c>
      <c r="Y120" s="268">
        <v>0</v>
      </c>
      <c r="Z120" s="268">
        <v>0</v>
      </c>
      <c r="AA120" s="268">
        <v>0</v>
      </c>
      <c r="AB120" s="268">
        <v>0</v>
      </c>
      <c r="AC120" s="268">
        <v>0</v>
      </c>
      <c r="AD120" s="268">
        <v>0</v>
      </c>
      <c r="AE120" s="268">
        <v>1800</v>
      </c>
      <c r="AF120" s="154">
        <f t="shared" si="43"/>
        <v>0</v>
      </c>
      <c r="AG120" s="268">
        <v>0</v>
      </c>
      <c r="AH120" s="268">
        <v>0</v>
      </c>
      <c r="AI120" s="197">
        <f t="shared" si="28"/>
        <v>0</v>
      </c>
    </row>
    <row r="121" spans="1:35" s="198" customFormat="1" ht="26.1" customHeight="1">
      <c r="A121" s="272" t="s">
        <v>760</v>
      </c>
      <c r="B121" s="108" t="s">
        <v>433</v>
      </c>
      <c r="C121" s="265" t="s">
        <v>439</v>
      </c>
      <c r="D121" s="266">
        <v>3</v>
      </c>
      <c r="E121" s="268">
        <f t="shared" si="40"/>
        <v>2500</v>
      </c>
      <c r="F121" s="268">
        <v>2500</v>
      </c>
      <c r="G121" s="268">
        <v>0</v>
      </c>
      <c r="H121" s="258">
        <f t="shared" si="41"/>
        <v>2500</v>
      </c>
      <c r="I121" s="268">
        <v>2500</v>
      </c>
      <c r="J121" s="268">
        <v>0</v>
      </c>
      <c r="K121" s="268">
        <v>0</v>
      </c>
      <c r="L121" s="268">
        <v>0</v>
      </c>
      <c r="M121" s="268">
        <v>0</v>
      </c>
      <c r="N121" s="268">
        <v>0</v>
      </c>
      <c r="O121" s="271">
        <v>0</v>
      </c>
      <c r="P121" s="153">
        <f t="shared" si="42"/>
        <v>0</v>
      </c>
      <c r="Q121" s="268">
        <v>0</v>
      </c>
      <c r="R121" s="268">
        <v>0</v>
      </c>
      <c r="S121" s="268">
        <v>0</v>
      </c>
      <c r="T121" s="268">
        <v>0</v>
      </c>
      <c r="U121" s="268">
        <v>0</v>
      </c>
      <c r="V121" s="268">
        <v>0</v>
      </c>
      <c r="W121" s="268">
        <v>0</v>
      </c>
      <c r="X121" s="268">
        <v>0</v>
      </c>
      <c r="Y121" s="268">
        <v>0</v>
      </c>
      <c r="Z121" s="268">
        <v>0</v>
      </c>
      <c r="AA121" s="268">
        <v>0</v>
      </c>
      <c r="AB121" s="268">
        <v>0</v>
      </c>
      <c r="AC121" s="268">
        <v>0</v>
      </c>
      <c r="AD121" s="268">
        <v>0</v>
      </c>
      <c r="AE121" s="268">
        <v>0</v>
      </c>
      <c r="AF121" s="154">
        <f t="shared" si="43"/>
        <v>0</v>
      </c>
      <c r="AG121" s="268">
        <v>0</v>
      </c>
      <c r="AH121" s="268">
        <v>0</v>
      </c>
      <c r="AI121" s="197">
        <f t="shared" si="28"/>
        <v>0</v>
      </c>
    </row>
    <row r="122" spans="1:35" s="198" customFormat="1" ht="26.1" customHeight="1">
      <c r="A122" s="272" t="s">
        <v>760</v>
      </c>
      <c r="B122" s="108" t="s">
        <v>433</v>
      </c>
      <c r="C122" s="265" t="s">
        <v>440</v>
      </c>
      <c r="D122" s="266">
        <v>3</v>
      </c>
      <c r="E122" s="268">
        <f t="shared" si="40"/>
        <v>24291</v>
      </c>
      <c r="F122" s="268">
        <v>21151</v>
      </c>
      <c r="G122" s="268">
        <v>3140</v>
      </c>
      <c r="H122" s="258">
        <f t="shared" si="41"/>
        <v>8485</v>
      </c>
      <c r="I122" s="268">
        <v>0</v>
      </c>
      <c r="J122" s="268">
        <v>0</v>
      </c>
      <c r="K122" s="268">
        <v>0</v>
      </c>
      <c r="L122" s="268">
        <v>0</v>
      </c>
      <c r="M122" s="268">
        <v>0</v>
      </c>
      <c r="N122" s="268">
        <v>0</v>
      </c>
      <c r="O122" s="271">
        <v>8485</v>
      </c>
      <c r="P122" s="153">
        <f t="shared" si="42"/>
        <v>13206</v>
      </c>
      <c r="Q122" s="268">
        <v>0</v>
      </c>
      <c r="R122" s="268">
        <v>0</v>
      </c>
      <c r="S122" s="268">
        <v>0</v>
      </c>
      <c r="T122" s="268">
        <v>0</v>
      </c>
      <c r="U122" s="268">
        <v>0</v>
      </c>
      <c r="V122" s="268">
        <v>0</v>
      </c>
      <c r="W122" s="268">
        <v>0</v>
      </c>
      <c r="X122" s="268">
        <v>0</v>
      </c>
      <c r="Y122" s="268">
        <v>0</v>
      </c>
      <c r="Z122" s="268">
        <v>0</v>
      </c>
      <c r="AA122" s="268">
        <v>0</v>
      </c>
      <c r="AB122" s="268">
        <v>0</v>
      </c>
      <c r="AC122" s="268">
        <v>0</v>
      </c>
      <c r="AD122" s="268">
        <v>0</v>
      </c>
      <c r="AE122" s="268">
        <v>13206</v>
      </c>
      <c r="AF122" s="154">
        <f t="shared" si="43"/>
        <v>2600</v>
      </c>
      <c r="AG122" s="268">
        <v>1300</v>
      </c>
      <c r="AH122" s="268">
        <v>1300</v>
      </c>
      <c r="AI122" s="197">
        <f t="shared" si="28"/>
        <v>0</v>
      </c>
    </row>
    <row r="123" spans="1:35" s="198" customFormat="1" ht="26.1" customHeight="1">
      <c r="A123" s="272" t="s">
        <v>760</v>
      </c>
      <c r="B123" s="108" t="s">
        <v>433</v>
      </c>
      <c r="C123" s="265" t="s">
        <v>466</v>
      </c>
      <c r="D123" s="266">
        <v>3</v>
      </c>
      <c r="E123" s="268">
        <f t="shared" si="40"/>
        <v>54100</v>
      </c>
      <c r="F123" s="268">
        <v>39650</v>
      </c>
      <c r="G123" s="268">
        <v>14450</v>
      </c>
      <c r="H123" s="258">
        <f t="shared" si="41"/>
        <v>18600</v>
      </c>
      <c r="I123" s="268">
        <v>0</v>
      </c>
      <c r="J123" s="268">
        <v>0</v>
      </c>
      <c r="K123" s="268">
        <v>0</v>
      </c>
      <c r="L123" s="268">
        <v>0</v>
      </c>
      <c r="M123" s="268">
        <v>0</v>
      </c>
      <c r="N123" s="268">
        <v>0</v>
      </c>
      <c r="O123" s="271">
        <v>18600</v>
      </c>
      <c r="P123" s="153">
        <f t="shared" si="42"/>
        <v>31100</v>
      </c>
      <c r="Q123" s="268">
        <v>0</v>
      </c>
      <c r="R123" s="268">
        <v>0</v>
      </c>
      <c r="S123" s="268">
        <v>0</v>
      </c>
      <c r="T123" s="268">
        <v>0</v>
      </c>
      <c r="U123" s="268">
        <v>0</v>
      </c>
      <c r="V123" s="268">
        <v>0</v>
      </c>
      <c r="W123" s="268">
        <v>0</v>
      </c>
      <c r="X123" s="268">
        <v>0</v>
      </c>
      <c r="Y123" s="268">
        <v>0</v>
      </c>
      <c r="Z123" s="268">
        <v>0</v>
      </c>
      <c r="AA123" s="268">
        <v>0</v>
      </c>
      <c r="AB123" s="268">
        <v>0</v>
      </c>
      <c r="AC123" s="268">
        <v>0</v>
      </c>
      <c r="AD123" s="268">
        <v>0</v>
      </c>
      <c r="AE123" s="268">
        <v>31100</v>
      </c>
      <c r="AF123" s="154">
        <f t="shared" si="43"/>
        <v>4400</v>
      </c>
      <c r="AG123" s="268">
        <v>2150</v>
      </c>
      <c r="AH123" s="268">
        <v>2250</v>
      </c>
      <c r="AI123" s="197">
        <f t="shared" si="28"/>
        <v>0</v>
      </c>
    </row>
    <row r="124" spans="1:35" s="198" customFormat="1" ht="26.1" customHeight="1">
      <c r="A124" s="272" t="s">
        <v>760</v>
      </c>
      <c r="B124" s="108" t="s">
        <v>433</v>
      </c>
      <c r="C124" s="265" t="s">
        <v>441</v>
      </c>
      <c r="D124" s="266">
        <v>3</v>
      </c>
      <c r="E124" s="268">
        <f t="shared" si="40"/>
        <v>226030</v>
      </c>
      <c r="F124" s="268">
        <v>145030</v>
      </c>
      <c r="G124" s="268">
        <v>81000</v>
      </c>
      <c r="H124" s="258">
        <f t="shared" si="41"/>
        <v>63457</v>
      </c>
      <c r="I124" s="268">
        <v>0</v>
      </c>
      <c r="J124" s="268">
        <v>0</v>
      </c>
      <c r="K124" s="268">
        <v>0</v>
      </c>
      <c r="L124" s="268">
        <v>0</v>
      </c>
      <c r="M124" s="268">
        <v>0</v>
      </c>
      <c r="N124" s="268">
        <v>0</v>
      </c>
      <c r="O124" s="271">
        <v>63457</v>
      </c>
      <c r="P124" s="153">
        <f t="shared" si="42"/>
        <v>146353</v>
      </c>
      <c r="Q124" s="268">
        <v>0</v>
      </c>
      <c r="R124" s="268">
        <v>0</v>
      </c>
      <c r="S124" s="268">
        <v>0</v>
      </c>
      <c r="T124" s="268">
        <v>0</v>
      </c>
      <c r="U124" s="268">
        <v>0</v>
      </c>
      <c r="V124" s="268">
        <v>0</v>
      </c>
      <c r="W124" s="268">
        <v>0</v>
      </c>
      <c r="X124" s="268">
        <v>0</v>
      </c>
      <c r="Y124" s="268">
        <v>0</v>
      </c>
      <c r="Z124" s="268">
        <v>0</v>
      </c>
      <c r="AA124" s="268">
        <v>0</v>
      </c>
      <c r="AB124" s="268">
        <v>0</v>
      </c>
      <c r="AC124" s="268">
        <v>0</v>
      </c>
      <c r="AD124" s="268">
        <v>0</v>
      </c>
      <c r="AE124" s="268">
        <v>146353</v>
      </c>
      <c r="AF124" s="154">
        <f t="shared" si="43"/>
        <v>16220</v>
      </c>
      <c r="AG124" s="268">
        <v>8220</v>
      </c>
      <c r="AH124" s="268">
        <v>8000</v>
      </c>
      <c r="AI124" s="197">
        <f t="shared" si="28"/>
        <v>0</v>
      </c>
    </row>
    <row r="125" spans="1:35" s="198" customFormat="1" ht="26.1" customHeight="1">
      <c r="A125" s="272" t="s">
        <v>760</v>
      </c>
      <c r="B125" s="108" t="s">
        <v>433</v>
      </c>
      <c r="C125" s="265" t="s">
        <v>442</v>
      </c>
      <c r="D125" s="266">
        <v>3</v>
      </c>
      <c r="E125" s="268">
        <f t="shared" si="40"/>
        <v>70230</v>
      </c>
      <c r="F125" s="268">
        <v>41765</v>
      </c>
      <c r="G125" s="268">
        <v>28465</v>
      </c>
      <c r="H125" s="258">
        <f t="shared" si="41"/>
        <v>30346</v>
      </c>
      <c r="I125" s="268">
        <v>0</v>
      </c>
      <c r="J125" s="268">
        <v>0</v>
      </c>
      <c r="K125" s="268">
        <v>0</v>
      </c>
      <c r="L125" s="268">
        <v>0</v>
      </c>
      <c r="M125" s="268">
        <v>0</v>
      </c>
      <c r="N125" s="268">
        <v>0</v>
      </c>
      <c r="O125" s="271">
        <v>30346</v>
      </c>
      <c r="P125" s="153">
        <f t="shared" si="42"/>
        <v>37874</v>
      </c>
      <c r="Q125" s="268">
        <v>0</v>
      </c>
      <c r="R125" s="268">
        <v>0</v>
      </c>
      <c r="S125" s="268">
        <v>0</v>
      </c>
      <c r="T125" s="268">
        <v>0</v>
      </c>
      <c r="U125" s="268">
        <v>0</v>
      </c>
      <c r="V125" s="268">
        <v>0</v>
      </c>
      <c r="W125" s="268">
        <v>0</v>
      </c>
      <c r="X125" s="268">
        <v>0</v>
      </c>
      <c r="Y125" s="268">
        <v>0</v>
      </c>
      <c r="Z125" s="268">
        <v>0</v>
      </c>
      <c r="AA125" s="268">
        <v>0</v>
      </c>
      <c r="AB125" s="268">
        <v>0</v>
      </c>
      <c r="AC125" s="268">
        <v>0</v>
      </c>
      <c r="AD125" s="268">
        <v>0</v>
      </c>
      <c r="AE125" s="268">
        <v>37874</v>
      </c>
      <c r="AF125" s="154">
        <f t="shared" si="43"/>
        <v>2010</v>
      </c>
      <c r="AG125" s="268">
        <v>900</v>
      </c>
      <c r="AH125" s="268">
        <v>1110</v>
      </c>
      <c r="AI125" s="197">
        <f t="shared" si="28"/>
        <v>0</v>
      </c>
    </row>
    <row r="126" spans="1:35" s="198" customFormat="1" ht="26.1" customHeight="1">
      <c r="A126" s="272" t="s">
        <v>760</v>
      </c>
      <c r="B126" s="108" t="s">
        <v>433</v>
      </c>
      <c r="C126" s="265" t="s">
        <v>443</v>
      </c>
      <c r="D126" s="266">
        <v>3</v>
      </c>
      <c r="E126" s="268">
        <f t="shared" si="40"/>
        <v>58300</v>
      </c>
      <c r="F126" s="268">
        <v>54750</v>
      </c>
      <c r="G126" s="268">
        <v>3550</v>
      </c>
      <c r="H126" s="258">
        <f t="shared" si="41"/>
        <v>16325</v>
      </c>
      <c r="I126" s="268">
        <v>0</v>
      </c>
      <c r="J126" s="268">
        <v>0</v>
      </c>
      <c r="K126" s="268">
        <v>0</v>
      </c>
      <c r="L126" s="268">
        <v>0</v>
      </c>
      <c r="M126" s="268">
        <v>0</v>
      </c>
      <c r="N126" s="268">
        <v>0</v>
      </c>
      <c r="O126" s="271">
        <v>16325</v>
      </c>
      <c r="P126" s="153">
        <f t="shared" si="42"/>
        <v>40835</v>
      </c>
      <c r="Q126" s="268">
        <v>0</v>
      </c>
      <c r="R126" s="268">
        <v>0</v>
      </c>
      <c r="S126" s="268">
        <v>0</v>
      </c>
      <c r="T126" s="268">
        <v>0</v>
      </c>
      <c r="U126" s="268">
        <v>0</v>
      </c>
      <c r="V126" s="268">
        <v>0</v>
      </c>
      <c r="W126" s="268">
        <v>0</v>
      </c>
      <c r="X126" s="268">
        <v>0</v>
      </c>
      <c r="Y126" s="268">
        <v>0</v>
      </c>
      <c r="Z126" s="268">
        <v>0</v>
      </c>
      <c r="AA126" s="268">
        <v>0</v>
      </c>
      <c r="AB126" s="268">
        <v>0</v>
      </c>
      <c r="AC126" s="268">
        <v>0</v>
      </c>
      <c r="AD126" s="268">
        <v>0</v>
      </c>
      <c r="AE126" s="268">
        <v>40835</v>
      </c>
      <c r="AF126" s="154">
        <f t="shared" si="43"/>
        <v>1140</v>
      </c>
      <c r="AG126" s="268">
        <v>1040</v>
      </c>
      <c r="AH126" s="268">
        <v>100</v>
      </c>
      <c r="AI126" s="197">
        <f t="shared" si="28"/>
        <v>0</v>
      </c>
    </row>
    <row r="127" spans="1:35" s="198" customFormat="1" ht="26.1" customHeight="1">
      <c r="A127" s="272" t="s">
        <v>760</v>
      </c>
      <c r="B127" s="108" t="s">
        <v>433</v>
      </c>
      <c r="C127" s="265" t="s">
        <v>444</v>
      </c>
      <c r="D127" s="266">
        <v>3</v>
      </c>
      <c r="E127" s="268">
        <f t="shared" si="40"/>
        <v>67980</v>
      </c>
      <c r="F127" s="268">
        <v>60280</v>
      </c>
      <c r="G127" s="268">
        <v>7700</v>
      </c>
      <c r="H127" s="258">
        <f t="shared" si="41"/>
        <v>35870</v>
      </c>
      <c r="I127" s="268">
        <v>0</v>
      </c>
      <c r="J127" s="268">
        <v>0</v>
      </c>
      <c r="K127" s="268">
        <v>0</v>
      </c>
      <c r="L127" s="268">
        <v>0</v>
      </c>
      <c r="M127" s="268">
        <v>0</v>
      </c>
      <c r="N127" s="268">
        <v>0</v>
      </c>
      <c r="O127" s="271">
        <v>35870</v>
      </c>
      <c r="P127" s="153">
        <f t="shared" si="42"/>
        <v>29610</v>
      </c>
      <c r="Q127" s="268">
        <v>0</v>
      </c>
      <c r="R127" s="268">
        <v>0</v>
      </c>
      <c r="S127" s="268">
        <v>0</v>
      </c>
      <c r="T127" s="268">
        <v>0</v>
      </c>
      <c r="U127" s="268">
        <v>0</v>
      </c>
      <c r="V127" s="268">
        <v>0</v>
      </c>
      <c r="W127" s="268">
        <v>0</v>
      </c>
      <c r="X127" s="268">
        <v>0</v>
      </c>
      <c r="Y127" s="268">
        <v>0</v>
      </c>
      <c r="Z127" s="268">
        <v>0</v>
      </c>
      <c r="AA127" s="268">
        <v>0</v>
      </c>
      <c r="AB127" s="268">
        <v>0</v>
      </c>
      <c r="AC127" s="268">
        <v>0</v>
      </c>
      <c r="AD127" s="268">
        <v>0</v>
      </c>
      <c r="AE127" s="268">
        <v>29610</v>
      </c>
      <c r="AF127" s="154">
        <f t="shared" si="43"/>
        <v>2500</v>
      </c>
      <c r="AG127" s="268">
        <v>1250</v>
      </c>
      <c r="AH127" s="268">
        <v>1250</v>
      </c>
      <c r="AI127" s="197">
        <f t="shared" si="28"/>
        <v>0</v>
      </c>
    </row>
    <row r="128" spans="1:35" s="198" customFormat="1" ht="26.1" customHeight="1">
      <c r="A128" s="272" t="s">
        <v>760</v>
      </c>
      <c r="B128" s="108" t="s">
        <v>433</v>
      </c>
      <c r="C128" s="265" t="s">
        <v>445</v>
      </c>
      <c r="D128" s="266">
        <v>3</v>
      </c>
      <c r="E128" s="268">
        <f t="shared" si="40"/>
        <v>79500</v>
      </c>
      <c r="F128" s="268">
        <v>37750</v>
      </c>
      <c r="G128" s="268">
        <v>41750</v>
      </c>
      <c r="H128" s="258">
        <f t="shared" si="41"/>
        <v>11765</v>
      </c>
      <c r="I128" s="268">
        <v>0</v>
      </c>
      <c r="J128" s="268">
        <v>0</v>
      </c>
      <c r="K128" s="268">
        <v>0</v>
      </c>
      <c r="L128" s="268">
        <v>0</v>
      </c>
      <c r="M128" s="268">
        <v>0</v>
      </c>
      <c r="N128" s="268">
        <v>0</v>
      </c>
      <c r="O128" s="271">
        <v>11765</v>
      </c>
      <c r="P128" s="153">
        <f t="shared" si="42"/>
        <v>62335</v>
      </c>
      <c r="Q128" s="268">
        <v>0</v>
      </c>
      <c r="R128" s="268">
        <v>0</v>
      </c>
      <c r="S128" s="268">
        <v>0</v>
      </c>
      <c r="T128" s="268">
        <v>0</v>
      </c>
      <c r="U128" s="268">
        <v>0</v>
      </c>
      <c r="V128" s="268">
        <v>0</v>
      </c>
      <c r="W128" s="268">
        <v>0</v>
      </c>
      <c r="X128" s="268">
        <v>0</v>
      </c>
      <c r="Y128" s="268">
        <v>0</v>
      </c>
      <c r="Z128" s="268">
        <v>0</v>
      </c>
      <c r="AA128" s="268">
        <v>0</v>
      </c>
      <c r="AB128" s="268">
        <v>0</v>
      </c>
      <c r="AC128" s="268">
        <v>0</v>
      </c>
      <c r="AD128" s="268">
        <v>0</v>
      </c>
      <c r="AE128" s="268">
        <v>62335</v>
      </c>
      <c r="AF128" s="154">
        <f t="shared" si="43"/>
        <v>5400</v>
      </c>
      <c r="AG128" s="268">
        <v>2700</v>
      </c>
      <c r="AH128" s="268">
        <v>2700</v>
      </c>
      <c r="AI128" s="197">
        <f t="shared" si="28"/>
        <v>0</v>
      </c>
    </row>
    <row r="129" spans="1:35" s="198" customFormat="1" ht="26.1" customHeight="1">
      <c r="A129" s="272" t="s">
        <v>760</v>
      </c>
      <c r="B129" s="108" t="s">
        <v>433</v>
      </c>
      <c r="C129" s="265" t="s">
        <v>446</v>
      </c>
      <c r="D129" s="266">
        <v>3</v>
      </c>
      <c r="E129" s="268">
        <f t="shared" si="40"/>
        <v>2153</v>
      </c>
      <c r="F129" s="268">
        <v>2153</v>
      </c>
      <c r="G129" s="268">
        <v>0</v>
      </c>
      <c r="H129" s="258">
        <f t="shared" si="41"/>
        <v>1200</v>
      </c>
      <c r="I129" s="268">
        <v>200</v>
      </c>
      <c r="J129" s="268">
        <v>200</v>
      </c>
      <c r="K129" s="268">
        <v>200</v>
      </c>
      <c r="L129" s="268">
        <v>200</v>
      </c>
      <c r="M129" s="268">
        <v>200</v>
      </c>
      <c r="N129" s="268">
        <v>200</v>
      </c>
      <c r="O129" s="271">
        <v>0</v>
      </c>
      <c r="P129" s="153">
        <f t="shared" si="42"/>
        <v>858</v>
      </c>
      <c r="Q129" s="268">
        <v>61</v>
      </c>
      <c r="R129" s="268">
        <v>61</v>
      </c>
      <c r="S129" s="268">
        <v>61</v>
      </c>
      <c r="T129" s="268">
        <v>61</v>
      </c>
      <c r="U129" s="268">
        <v>61</v>
      </c>
      <c r="V129" s="268">
        <v>61</v>
      </c>
      <c r="W129" s="268">
        <v>61</v>
      </c>
      <c r="X129" s="268">
        <v>63</v>
      </c>
      <c r="Y129" s="268">
        <v>61</v>
      </c>
      <c r="Z129" s="268">
        <v>61</v>
      </c>
      <c r="AA129" s="268">
        <v>61</v>
      </c>
      <c r="AB129" s="268">
        <v>63</v>
      </c>
      <c r="AC129" s="268">
        <v>61</v>
      </c>
      <c r="AD129" s="268">
        <v>61</v>
      </c>
      <c r="AE129" s="268">
        <v>0</v>
      </c>
      <c r="AF129" s="154">
        <f t="shared" si="43"/>
        <v>95</v>
      </c>
      <c r="AG129" s="268">
        <v>48</v>
      </c>
      <c r="AH129" s="268">
        <v>47</v>
      </c>
      <c r="AI129" s="197">
        <f t="shared" si="28"/>
        <v>0</v>
      </c>
    </row>
    <row r="130" spans="1:35" s="198" customFormat="1" ht="26.1" customHeight="1">
      <c r="A130" s="272" t="s">
        <v>760</v>
      </c>
      <c r="B130" s="108" t="s">
        <v>433</v>
      </c>
      <c r="C130" s="265" t="s">
        <v>692</v>
      </c>
      <c r="D130" s="266">
        <v>3</v>
      </c>
      <c r="E130" s="268">
        <f t="shared" si="40"/>
        <v>10000</v>
      </c>
      <c r="F130" s="268">
        <v>10000</v>
      </c>
      <c r="G130" s="268">
        <v>0</v>
      </c>
      <c r="H130" s="258">
        <f t="shared" si="41"/>
        <v>8000</v>
      </c>
      <c r="I130" s="268">
        <v>3000</v>
      </c>
      <c r="J130" s="268">
        <v>2000</v>
      </c>
      <c r="K130" s="268">
        <v>2180</v>
      </c>
      <c r="L130" s="268">
        <v>820</v>
      </c>
      <c r="M130" s="268">
        <v>0</v>
      </c>
      <c r="N130" s="268">
        <v>0</v>
      </c>
      <c r="O130" s="271">
        <v>0</v>
      </c>
      <c r="P130" s="153">
        <f t="shared" si="42"/>
        <v>2000</v>
      </c>
      <c r="Q130" s="268">
        <v>0</v>
      </c>
      <c r="R130" s="268">
        <v>0</v>
      </c>
      <c r="S130" s="268">
        <v>0</v>
      </c>
      <c r="T130" s="268">
        <v>0</v>
      </c>
      <c r="U130" s="268">
        <v>0</v>
      </c>
      <c r="V130" s="268">
        <v>0</v>
      </c>
      <c r="W130" s="268">
        <v>1000</v>
      </c>
      <c r="X130" s="268">
        <v>1000</v>
      </c>
      <c r="Y130" s="268">
        <v>0</v>
      </c>
      <c r="Z130" s="268">
        <v>0</v>
      </c>
      <c r="AA130" s="268">
        <v>0</v>
      </c>
      <c r="AB130" s="268">
        <v>0</v>
      </c>
      <c r="AC130" s="268">
        <v>0</v>
      </c>
      <c r="AD130" s="268">
        <v>0</v>
      </c>
      <c r="AE130" s="268">
        <v>0</v>
      </c>
      <c r="AF130" s="154">
        <f t="shared" si="43"/>
        <v>0</v>
      </c>
      <c r="AG130" s="268">
        <v>0</v>
      </c>
      <c r="AH130" s="268">
        <v>0</v>
      </c>
      <c r="AI130" s="197">
        <f t="shared" si="28"/>
        <v>0</v>
      </c>
    </row>
    <row r="131" spans="1:35" s="198" customFormat="1" ht="26.1" customHeight="1">
      <c r="A131" s="272" t="s">
        <v>760</v>
      </c>
      <c r="B131" s="108" t="s">
        <v>433</v>
      </c>
      <c r="C131" s="265" t="s">
        <v>693</v>
      </c>
      <c r="D131" s="266">
        <v>3</v>
      </c>
      <c r="E131" s="268">
        <f t="shared" si="40"/>
        <v>11000</v>
      </c>
      <c r="F131" s="268">
        <v>11000</v>
      </c>
      <c r="G131" s="268">
        <v>0</v>
      </c>
      <c r="H131" s="258">
        <f t="shared" si="41"/>
        <v>7000</v>
      </c>
      <c r="I131" s="268">
        <v>2800</v>
      </c>
      <c r="J131" s="268">
        <v>3000</v>
      </c>
      <c r="K131" s="268">
        <v>600</v>
      </c>
      <c r="L131" s="268">
        <v>0</v>
      </c>
      <c r="M131" s="268">
        <v>0</v>
      </c>
      <c r="N131" s="268">
        <v>600</v>
      </c>
      <c r="O131" s="271">
        <v>0</v>
      </c>
      <c r="P131" s="153">
        <f t="shared" si="42"/>
        <v>1000</v>
      </c>
      <c r="Q131" s="268">
        <v>0</v>
      </c>
      <c r="R131" s="268">
        <v>0</v>
      </c>
      <c r="S131" s="268">
        <v>0</v>
      </c>
      <c r="T131" s="268">
        <v>0</v>
      </c>
      <c r="U131" s="268">
        <v>1000</v>
      </c>
      <c r="V131" s="268">
        <v>0</v>
      </c>
      <c r="W131" s="268">
        <v>0</v>
      </c>
      <c r="X131" s="268">
        <v>0</v>
      </c>
      <c r="Y131" s="268">
        <v>0</v>
      </c>
      <c r="Z131" s="268">
        <v>0</v>
      </c>
      <c r="AA131" s="268">
        <v>0</v>
      </c>
      <c r="AB131" s="268">
        <v>0</v>
      </c>
      <c r="AC131" s="268">
        <v>0</v>
      </c>
      <c r="AD131" s="268">
        <v>0</v>
      </c>
      <c r="AE131" s="268">
        <v>0</v>
      </c>
      <c r="AF131" s="154">
        <f t="shared" si="43"/>
        <v>3000</v>
      </c>
      <c r="AG131" s="268">
        <v>3000</v>
      </c>
      <c r="AH131" s="268">
        <v>0</v>
      </c>
      <c r="AI131" s="197">
        <f t="shared" si="28"/>
        <v>0</v>
      </c>
    </row>
    <row r="132" spans="1:35" s="198" customFormat="1" ht="26.1" customHeight="1">
      <c r="A132" s="272" t="s">
        <v>760</v>
      </c>
      <c r="B132" s="108" t="s">
        <v>433</v>
      </c>
      <c r="C132" s="265" t="s">
        <v>694</v>
      </c>
      <c r="D132" s="266">
        <v>3</v>
      </c>
      <c r="E132" s="268">
        <f t="shared" si="40"/>
        <v>190121</v>
      </c>
      <c r="F132" s="268">
        <v>46321</v>
      </c>
      <c r="G132" s="268">
        <v>143800</v>
      </c>
      <c r="H132" s="258">
        <f t="shared" si="41"/>
        <v>47821</v>
      </c>
      <c r="I132" s="268">
        <v>0</v>
      </c>
      <c r="J132" s="268">
        <v>0</v>
      </c>
      <c r="K132" s="268">
        <v>0</v>
      </c>
      <c r="L132" s="268">
        <v>0</v>
      </c>
      <c r="M132" s="268">
        <v>0</v>
      </c>
      <c r="N132" s="268">
        <v>0</v>
      </c>
      <c r="O132" s="271">
        <v>47821</v>
      </c>
      <c r="P132" s="153">
        <f t="shared" si="42"/>
        <v>138800</v>
      </c>
      <c r="Q132" s="268">
        <v>0</v>
      </c>
      <c r="R132" s="268">
        <v>0</v>
      </c>
      <c r="S132" s="268">
        <v>0</v>
      </c>
      <c r="T132" s="268">
        <v>0</v>
      </c>
      <c r="U132" s="268">
        <v>0</v>
      </c>
      <c r="V132" s="268">
        <v>0</v>
      </c>
      <c r="W132" s="268">
        <v>0</v>
      </c>
      <c r="X132" s="268">
        <v>0</v>
      </c>
      <c r="Y132" s="268">
        <v>0</v>
      </c>
      <c r="Z132" s="268">
        <v>0</v>
      </c>
      <c r="AA132" s="268">
        <v>0</v>
      </c>
      <c r="AB132" s="268">
        <v>0</v>
      </c>
      <c r="AC132" s="268">
        <v>0</v>
      </c>
      <c r="AD132" s="268">
        <v>0</v>
      </c>
      <c r="AE132" s="268">
        <v>138800</v>
      </c>
      <c r="AF132" s="154">
        <f t="shared" si="43"/>
        <v>3500</v>
      </c>
      <c r="AG132" s="268">
        <v>1750</v>
      </c>
      <c r="AH132" s="268">
        <v>1750</v>
      </c>
      <c r="AI132" s="197">
        <f t="shared" si="28"/>
        <v>0</v>
      </c>
    </row>
    <row r="133" spans="1:35" s="198" customFormat="1" ht="26.1" customHeight="1">
      <c r="A133" s="199"/>
      <c r="B133" s="108"/>
      <c r="C133" s="265"/>
      <c r="D133" s="266"/>
      <c r="E133" s="267">
        <f t="shared" ref="E133:AH133" si="44">SUM(E134:E141)</f>
        <v>33998399.799999997</v>
      </c>
      <c r="F133" s="268">
        <f t="shared" si="44"/>
        <v>29758357</v>
      </c>
      <c r="G133" s="268">
        <f t="shared" si="44"/>
        <v>4240042.8</v>
      </c>
      <c r="H133" s="267">
        <f t="shared" si="44"/>
        <v>20379852.800000001</v>
      </c>
      <c r="I133" s="268">
        <f t="shared" si="44"/>
        <v>2056061.7</v>
      </c>
      <c r="J133" s="268">
        <f t="shared" si="44"/>
        <v>6071070.7999999998</v>
      </c>
      <c r="K133" s="268">
        <f t="shared" si="44"/>
        <v>2153133</v>
      </c>
      <c r="L133" s="268">
        <f t="shared" si="44"/>
        <v>2448720.7999999998</v>
      </c>
      <c r="M133" s="268">
        <f t="shared" si="44"/>
        <v>1748075</v>
      </c>
      <c r="N133" s="268">
        <f t="shared" si="44"/>
        <v>2674343.5</v>
      </c>
      <c r="O133" s="268">
        <f t="shared" si="44"/>
        <v>3228448</v>
      </c>
      <c r="P133" s="267">
        <f t="shared" si="44"/>
        <v>13252757</v>
      </c>
      <c r="Q133" s="268">
        <f t="shared" si="44"/>
        <v>589356</v>
      </c>
      <c r="R133" s="268">
        <f t="shared" si="44"/>
        <v>678580</v>
      </c>
      <c r="S133" s="268">
        <f t="shared" si="44"/>
        <v>689790</v>
      </c>
      <c r="T133" s="268">
        <f t="shared" si="44"/>
        <v>1194118</v>
      </c>
      <c r="U133" s="268">
        <f t="shared" si="44"/>
        <v>683199</v>
      </c>
      <c r="V133" s="268">
        <f t="shared" si="44"/>
        <v>775320</v>
      </c>
      <c r="W133" s="268">
        <f t="shared" si="44"/>
        <v>699430</v>
      </c>
      <c r="X133" s="268">
        <f t="shared" si="44"/>
        <v>988701</v>
      </c>
      <c r="Y133" s="268">
        <f t="shared" si="44"/>
        <v>428644</v>
      </c>
      <c r="Z133" s="268">
        <f t="shared" si="44"/>
        <v>514671</v>
      </c>
      <c r="AA133" s="268">
        <f t="shared" si="44"/>
        <v>282640</v>
      </c>
      <c r="AB133" s="268">
        <f t="shared" si="44"/>
        <v>461084</v>
      </c>
      <c r="AC133" s="268">
        <f t="shared" si="44"/>
        <v>521425</v>
      </c>
      <c r="AD133" s="268">
        <f t="shared" si="44"/>
        <v>320685</v>
      </c>
      <c r="AE133" s="268">
        <f t="shared" si="44"/>
        <v>4425114</v>
      </c>
      <c r="AF133" s="267">
        <f t="shared" si="44"/>
        <v>365790</v>
      </c>
      <c r="AG133" s="268">
        <f t="shared" si="44"/>
        <v>219681</v>
      </c>
      <c r="AH133" s="268">
        <f t="shared" si="44"/>
        <v>146109</v>
      </c>
      <c r="AI133" s="197">
        <f t="shared" si="28"/>
        <v>0</v>
      </c>
    </row>
    <row r="134" spans="1:35" s="198" customFormat="1" ht="26.1" customHeight="1">
      <c r="A134" s="272" t="s">
        <v>760</v>
      </c>
      <c r="B134" s="273" t="s">
        <v>448</v>
      </c>
      <c r="C134" s="265" t="s">
        <v>449</v>
      </c>
      <c r="D134" s="266">
        <v>3</v>
      </c>
      <c r="E134" s="268">
        <f t="shared" ref="E134:E141" si="45">SUM(H134,P134,AF134)</f>
        <v>1996489.8</v>
      </c>
      <c r="F134" s="268">
        <v>1161583</v>
      </c>
      <c r="G134" s="268">
        <v>834906.8</v>
      </c>
      <c r="H134" s="258">
        <f t="shared" ref="H134:H141" si="46">SUM(I134:O134)</f>
        <v>1607864.8</v>
      </c>
      <c r="I134" s="268">
        <v>289422.7</v>
      </c>
      <c r="J134" s="268">
        <v>437578.8</v>
      </c>
      <c r="K134" s="268">
        <v>123069</v>
      </c>
      <c r="L134" s="268">
        <v>190549.8</v>
      </c>
      <c r="M134" s="268">
        <v>159908</v>
      </c>
      <c r="N134" s="268">
        <v>407336.5</v>
      </c>
      <c r="O134" s="271">
        <v>0</v>
      </c>
      <c r="P134" s="153">
        <f t="shared" ref="P134:P141" si="47">SUM(Q134:AE134)</f>
        <v>388589</v>
      </c>
      <c r="Q134" s="268">
        <v>24931</v>
      </c>
      <c r="R134" s="268">
        <v>30153</v>
      </c>
      <c r="S134" s="268">
        <v>52826</v>
      </c>
      <c r="T134" s="268">
        <v>38305</v>
      </c>
      <c r="U134" s="268">
        <v>22184</v>
      </c>
      <c r="V134" s="268">
        <v>34094</v>
      </c>
      <c r="W134" s="268">
        <v>18068</v>
      </c>
      <c r="X134" s="268">
        <v>54408</v>
      </c>
      <c r="Y134" s="268">
        <v>21744</v>
      </c>
      <c r="Z134" s="268">
        <v>16040</v>
      </c>
      <c r="AA134" s="268">
        <v>51</v>
      </c>
      <c r="AB134" s="268">
        <v>34975</v>
      </c>
      <c r="AC134" s="268">
        <v>40636</v>
      </c>
      <c r="AD134" s="268">
        <v>174</v>
      </c>
      <c r="AE134" s="268">
        <v>0</v>
      </c>
      <c r="AF134" s="154">
        <f t="shared" ref="AF134:AF141" si="48">SUM(AG134:AH134)</f>
        <v>36</v>
      </c>
      <c r="AG134" s="268">
        <v>18</v>
      </c>
      <c r="AH134" s="268">
        <v>18</v>
      </c>
      <c r="AI134" s="197">
        <f t="shared" ref="AI134:AI197" si="49">IF(+F134+G134=E134,0,FALSE)</f>
        <v>0</v>
      </c>
    </row>
    <row r="135" spans="1:35" s="198" customFormat="1" ht="26.1" customHeight="1">
      <c r="A135" s="272" t="s">
        <v>760</v>
      </c>
      <c r="B135" s="274" t="s">
        <v>448</v>
      </c>
      <c r="C135" s="265" t="s">
        <v>450</v>
      </c>
      <c r="D135" s="266">
        <v>3</v>
      </c>
      <c r="E135" s="268">
        <f t="shared" si="45"/>
        <v>16049140</v>
      </c>
      <c r="F135" s="268">
        <v>13469724</v>
      </c>
      <c r="G135" s="268">
        <v>2579416</v>
      </c>
      <c r="H135" s="258">
        <f t="shared" si="46"/>
        <v>8195820</v>
      </c>
      <c r="I135" s="268">
        <v>1015502</v>
      </c>
      <c r="J135" s="268">
        <v>1142648</v>
      </c>
      <c r="K135" s="268">
        <v>965867</v>
      </c>
      <c r="L135" s="268">
        <v>1027218</v>
      </c>
      <c r="M135" s="268">
        <v>743564</v>
      </c>
      <c r="N135" s="268">
        <v>1088223</v>
      </c>
      <c r="O135" s="271">
        <v>2212798</v>
      </c>
      <c r="P135" s="153">
        <f t="shared" si="47"/>
        <v>7602001</v>
      </c>
      <c r="Q135" s="268">
        <v>274527</v>
      </c>
      <c r="R135" s="268">
        <v>309226</v>
      </c>
      <c r="S135" s="268">
        <v>320796</v>
      </c>
      <c r="T135" s="268">
        <v>517430</v>
      </c>
      <c r="U135" s="268">
        <v>320243</v>
      </c>
      <c r="V135" s="268">
        <v>383126</v>
      </c>
      <c r="W135" s="268">
        <v>398463</v>
      </c>
      <c r="X135" s="268">
        <v>443428</v>
      </c>
      <c r="Y135" s="268">
        <v>163563</v>
      </c>
      <c r="Z135" s="268">
        <v>235784</v>
      </c>
      <c r="AA135" s="268">
        <v>167830</v>
      </c>
      <c r="AB135" s="268">
        <v>222450</v>
      </c>
      <c r="AC135" s="268">
        <v>239926</v>
      </c>
      <c r="AD135" s="268">
        <v>138847</v>
      </c>
      <c r="AE135" s="268">
        <v>3466362</v>
      </c>
      <c r="AF135" s="154">
        <f t="shared" si="48"/>
        <v>251319</v>
      </c>
      <c r="AG135" s="268">
        <v>149193</v>
      </c>
      <c r="AH135" s="268">
        <v>102126</v>
      </c>
      <c r="AI135" s="197">
        <f t="shared" si="49"/>
        <v>0</v>
      </c>
    </row>
    <row r="136" spans="1:35" s="198" customFormat="1" ht="26.1" customHeight="1">
      <c r="A136" s="272" t="s">
        <v>760</v>
      </c>
      <c r="B136" s="274" t="s">
        <v>448</v>
      </c>
      <c r="C136" s="265" t="s">
        <v>451</v>
      </c>
      <c r="D136" s="266">
        <v>3</v>
      </c>
      <c r="E136" s="268">
        <f t="shared" si="45"/>
        <v>9361160</v>
      </c>
      <c r="F136" s="268">
        <v>8809260</v>
      </c>
      <c r="G136" s="268">
        <v>551900</v>
      </c>
      <c r="H136" s="258">
        <f t="shared" si="46"/>
        <v>5660878</v>
      </c>
      <c r="I136" s="268">
        <v>535044</v>
      </c>
      <c r="J136" s="268">
        <v>1125066</v>
      </c>
      <c r="K136" s="268">
        <v>752820</v>
      </c>
      <c r="L136" s="268">
        <v>927584</v>
      </c>
      <c r="M136" s="268">
        <v>570266</v>
      </c>
      <c r="N136" s="268">
        <v>891938</v>
      </c>
      <c r="O136" s="271">
        <v>858160</v>
      </c>
      <c r="P136" s="153">
        <f t="shared" si="47"/>
        <v>3652255</v>
      </c>
      <c r="Q136" s="268">
        <v>188456</v>
      </c>
      <c r="R136" s="268">
        <v>236260</v>
      </c>
      <c r="S136" s="268">
        <v>212328</v>
      </c>
      <c r="T136" s="268">
        <v>484107</v>
      </c>
      <c r="U136" s="268">
        <v>236417</v>
      </c>
      <c r="V136" s="268">
        <v>248852</v>
      </c>
      <c r="W136" s="268">
        <v>198727</v>
      </c>
      <c r="X136" s="268">
        <v>349445</v>
      </c>
      <c r="Y136" s="268">
        <v>148915</v>
      </c>
      <c r="Z136" s="268">
        <v>161865</v>
      </c>
      <c r="AA136" s="268">
        <v>57475</v>
      </c>
      <c r="AB136" s="268">
        <v>122036</v>
      </c>
      <c r="AC136" s="268">
        <v>148751</v>
      </c>
      <c r="AD136" s="268">
        <v>112379</v>
      </c>
      <c r="AE136" s="268">
        <v>746242</v>
      </c>
      <c r="AF136" s="154">
        <f t="shared" si="48"/>
        <v>48027</v>
      </c>
      <c r="AG136" s="268">
        <v>34900</v>
      </c>
      <c r="AH136" s="268">
        <v>13127</v>
      </c>
      <c r="AI136" s="197">
        <f t="shared" si="49"/>
        <v>0</v>
      </c>
    </row>
    <row r="137" spans="1:35" s="198" customFormat="1" ht="26.1" customHeight="1">
      <c r="A137" s="272" t="s">
        <v>760</v>
      </c>
      <c r="B137" s="274" t="s">
        <v>448</v>
      </c>
      <c r="C137" s="265" t="s">
        <v>452</v>
      </c>
      <c r="D137" s="266">
        <v>3</v>
      </c>
      <c r="E137" s="268">
        <f t="shared" si="45"/>
        <v>317891</v>
      </c>
      <c r="F137" s="268">
        <v>262391</v>
      </c>
      <c r="G137" s="268">
        <v>55500</v>
      </c>
      <c r="H137" s="258">
        <f t="shared" si="46"/>
        <v>115289</v>
      </c>
      <c r="I137" s="268">
        <v>8642</v>
      </c>
      <c r="J137" s="268">
        <v>22709</v>
      </c>
      <c r="K137" s="268">
        <v>19870</v>
      </c>
      <c r="L137" s="268">
        <v>9292</v>
      </c>
      <c r="M137" s="268">
        <v>7881</v>
      </c>
      <c r="N137" s="268">
        <v>7745</v>
      </c>
      <c r="O137" s="271">
        <v>39150</v>
      </c>
      <c r="P137" s="153">
        <f t="shared" si="47"/>
        <v>202311</v>
      </c>
      <c r="Q137" s="268">
        <v>5870</v>
      </c>
      <c r="R137" s="268">
        <v>4570</v>
      </c>
      <c r="S137" s="268">
        <v>3170</v>
      </c>
      <c r="T137" s="268">
        <v>2870</v>
      </c>
      <c r="U137" s="268">
        <v>7370</v>
      </c>
      <c r="V137" s="268">
        <v>2870</v>
      </c>
      <c r="W137" s="268">
        <v>2870</v>
      </c>
      <c r="X137" s="268">
        <v>13570</v>
      </c>
      <c r="Y137" s="268">
        <v>15932</v>
      </c>
      <c r="Z137" s="268">
        <v>15370</v>
      </c>
      <c r="AA137" s="268">
        <v>0</v>
      </c>
      <c r="AB137" s="268">
        <v>5666</v>
      </c>
      <c r="AC137" s="268">
        <v>3666</v>
      </c>
      <c r="AD137" s="268">
        <v>2367</v>
      </c>
      <c r="AE137" s="268">
        <v>116150</v>
      </c>
      <c r="AF137" s="154">
        <f t="shared" si="48"/>
        <v>291</v>
      </c>
      <c r="AG137" s="268">
        <v>291</v>
      </c>
      <c r="AH137" s="268">
        <v>0</v>
      </c>
      <c r="AI137" s="197">
        <f t="shared" si="49"/>
        <v>0</v>
      </c>
    </row>
    <row r="138" spans="1:35" s="198" customFormat="1" ht="26.1" customHeight="1">
      <c r="A138" s="272" t="s">
        <v>760</v>
      </c>
      <c r="B138" s="274" t="s">
        <v>448</v>
      </c>
      <c r="C138" s="265" t="s">
        <v>453</v>
      </c>
      <c r="D138" s="266">
        <v>3</v>
      </c>
      <c r="E138" s="268">
        <f t="shared" si="45"/>
        <v>873679</v>
      </c>
      <c r="F138" s="268">
        <v>694359</v>
      </c>
      <c r="G138" s="268">
        <v>179320</v>
      </c>
      <c r="H138" s="258">
        <f t="shared" si="46"/>
        <v>493290</v>
      </c>
      <c r="I138" s="268">
        <v>76455</v>
      </c>
      <c r="J138" s="268">
        <v>61145</v>
      </c>
      <c r="K138" s="268">
        <v>38784</v>
      </c>
      <c r="L138" s="268">
        <v>70667</v>
      </c>
      <c r="M138" s="268">
        <v>46405</v>
      </c>
      <c r="N138" s="268">
        <v>81494</v>
      </c>
      <c r="O138" s="271">
        <v>118340</v>
      </c>
      <c r="P138" s="153">
        <f t="shared" si="47"/>
        <v>365789</v>
      </c>
      <c r="Q138" s="268">
        <v>21540</v>
      </c>
      <c r="R138" s="268">
        <v>19705</v>
      </c>
      <c r="S138" s="268">
        <v>21995</v>
      </c>
      <c r="T138" s="268">
        <v>32030</v>
      </c>
      <c r="U138" s="268">
        <v>16530</v>
      </c>
      <c r="V138" s="268">
        <v>20283</v>
      </c>
      <c r="W138" s="268">
        <v>13406</v>
      </c>
      <c r="X138" s="268">
        <v>23438</v>
      </c>
      <c r="Y138" s="268">
        <v>16781</v>
      </c>
      <c r="Z138" s="268">
        <v>18664</v>
      </c>
      <c r="AA138" s="268">
        <v>12803</v>
      </c>
      <c r="AB138" s="268">
        <v>17783</v>
      </c>
      <c r="AC138" s="268">
        <v>18936</v>
      </c>
      <c r="AD138" s="268">
        <v>15535</v>
      </c>
      <c r="AE138" s="268">
        <v>96360</v>
      </c>
      <c r="AF138" s="154">
        <f t="shared" si="48"/>
        <v>14600</v>
      </c>
      <c r="AG138" s="268">
        <v>7300</v>
      </c>
      <c r="AH138" s="268">
        <v>7300</v>
      </c>
      <c r="AI138" s="197">
        <f t="shared" si="49"/>
        <v>0</v>
      </c>
    </row>
    <row r="139" spans="1:35" s="198" customFormat="1" ht="26.1" customHeight="1">
      <c r="A139" s="272" t="s">
        <v>760</v>
      </c>
      <c r="B139" s="274" t="s">
        <v>448</v>
      </c>
      <c r="C139" s="265" t="s">
        <v>454</v>
      </c>
      <c r="D139" s="266">
        <v>3</v>
      </c>
      <c r="E139" s="268">
        <f t="shared" si="45"/>
        <v>2439044</v>
      </c>
      <c r="F139" s="268">
        <v>2436044</v>
      </c>
      <c r="G139" s="268">
        <v>3000</v>
      </c>
      <c r="H139" s="258">
        <f t="shared" si="46"/>
        <v>1345715</v>
      </c>
      <c r="I139" s="268">
        <v>130996</v>
      </c>
      <c r="J139" s="268">
        <v>320928</v>
      </c>
      <c r="K139" s="268">
        <v>252723</v>
      </c>
      <c r="L139" s="268">
        <v>223410</v>
      </c>
      <c r="M139" s="268">
        <v>220051</v>
      </c>
      <c r="N139" s="268">
        <v>197607</v>
      </c>
      <c r="O139" s="271">
        <v>0</v>
      </c>
      <c r="P139" s="153">
        <f t="shared" si="47"/>
        <v>1041812</v>
      </c>
      <c r="Q139" s="268">
        <v>74032</v>
      </c>
      <c r="R139" s="268">
        <v>78666</v>
      </c>
      <c r="S139" s="268">
        <v>78675</v>
      </c>
      <c r="T139" s="268">
        <v>119376</v>
      </c>
      <c r="U139" s="268">
        <v>80455</v>
      </c>
      <c r="V139" s="268">
        <v>86095</v>
      </c>
      <c r="W139" s="268">
        <v>67896</v>
      </c>
      <c r="X139" s="268">
        <v>104412</v>
      </c>
      <c r="Y139" s="268">
        <v>61709</v>
      </c>
      <c r="Z139" s="268">
        <v>66948</v>
      </c>
      <c r="AA139" s="268">
        <v>44481</v>
      </c>
      <c r="AB139" s="268">
        <v>58174</v>
      </c>
      <c r="AC139" s="268">
        <v>69510</v>
      </c>
      <c r="AD139" s="268">
        <v>51383</v>
      </c>
      <c r="AE139" s="268">
        <v>0</v>
      </c>
      <c r="AF139" s="154">
        <f t="shared" si="48"/>
        <v>51517</v>
      </c>
      <c r="AG139" s="268">
        <v>27979</v>
      </c>
      <c r="AH139" s="268">
        <v>23538</v>
      </c>
      <c r="AI139" s="197">
        <f t="shared" si="49"/>
        <v>0</v>
      </c>
    </row>
    <row r="140" spans="1:35" s="198" customFormat="1" ht="26.1" customHeight="1">
      <c r="A140" s="272" t="s">
        <v>760</v>
      </c>
      <c r="B140" s="274" t="s">
        <v>448</v>
      </c>
      <c r="C140" s="265" t="s">
        <v>455</v>
      </c>
      <c r="D140" s="266">
        <v>3</v>
      </c>
      <c r="E140" s="268">
        <f t="shared" si="45"/>
        <v>44419</v>
      </c>
      <c r="F140" s="268">
        <v>44419</v>
      </c>
      <c r="G140" s="268">
        <v>0</v>
      </c>
      <c r="H140" s="258">
        <f t="shared" si="46"/>
        <v>44419</v>
      </c>
      <c r="I140" s="268">
        <v>0</v>
      </c>
      <c r="J140" s="268">
        <v>44419</v>
      </c>
      <c r="K140" s="268">
        <v>0</v>
      </c>
      <c r="L140" s="268">
        <v>0</v>
      </c>
      <c r="M140" s="268">
        <v>0</v>
      </c>
      <c r="N140" s="268">
        <v>0</v>
      </c>
      <c r="O140" s="271">
        <v>0</v>
      </c>
      <c r="P140" s="153">
        <f t="shared" si="47"/>
        <v>0</v>
      </c>
      <c r="Q140" s="268">
        <v>0</v>
      </c>
      <c r="R140" s="268">
        <v>0</v>
      </c>
      <c r="S140" s="268">
        <v>0</v>
      </c>
      <c r="T140" s="268">
        <v>0</v>
      </c>
      <c r="U140" s="268">
        <v>0</v>
      </c>
      <c r="V140" s="268">
        <v>0</v>
      </c>
      <c r="W140" s="268">
        <v>0</v>
      </c>
      <c r="X140" s="268">
        <v>0</v>
      </c>
      <c r="Y140" s="268">
        <v>0</v>
      </c>
      <c r="Z140" s="268">
        <v>0</v>
      </c>
      <c r="AA140" s="268">
        <v>0</v>
      </c>
      <c r="AB140" s="268">
        <v>0</v>
      </c>
      <c r="AC140" s="268">
        <v>0</v>
      </c>
      <c r="AD140" s="268">
        <v>0</v>
      </c>
      <c r="AE140" s="268">
        <v>0</v>
      </c>
      <c r="AF140" s="154">
        <f t="shared" si="48"/>
        <v>0</v>
      </c>
      <c r="AG140" s="268">
        <v>0</v>
      </c>
      <c r="AH140" s="268">
        <v>0</v>
      </c>
      <c r="AI140" s="197">
        <f t="shared" si="49"/>
        <v>0</v>
      </c>
    </row>
    <row r="141" spans="1:35" s="198" customFormat="1" ht="26.1" customHeight="1">
      <c r="A141" s="272" t="s">
        <v>760</v>
      </c>
      <c r="B141" s="274" t="s">
        <v>448</v>
      </c>
      <c r="C141" s="265" t="s">
        <v>456</v>
      </c>
      <c r="D141" s="266">
        <v>3</v>
      </c>
      <c r="E141" s="268">
        <f t="shared" si="45"/>
        <v>2916577</v>
      </c>
      <c r="F141" s="268">
        <v>2880577</v>
      </c>
      <c r="G141" s="268">
        <v>36000</v>
      </c>
      <c r="H141" s="258">
        <f t="shared" si="46"/>
        <v>2916577</v>
      </c>
      <c r="I141" s="268">
        <v>0</v>
      </c>
      <c r="J141" s="268">
        <v>2916577</v>
      </c>
      <c r="K141" s="268">
        <v>0</v>
      </c>
      <c r="L141" s="268">
        <v>0</v>
      </c>
      <c r="M141" s="268">
        <v>0</v>
      </c>
      <c r="N141" s="268">
        <v>0</v>
      </c>
      <c r="O141" s="271">
        <v>0</v>
      </c>
      <c r="P141" s="153">
        <f t="shared" si="47"/>
        <v>0</v>
      </c>
      <c r="Q141" s="268">
        <v>0</v>
      </c>
      <c r="R141" s="268">
        <v>0</v>
      </c>
      <c r="S141" s="268">
        <v>0</v>
      </c>
      <c r="T141" s="268">
        <v>0</v>
      </c>
      <c r="U141" s="268">
        <v>0</v>
      </c>
      <c r="V141" s="268">
        <v>0</v>
      </c>
      <c r="W141" s="268">
        <v>0</v>
      </c>
      <c r="X141" s="268">
        <v>0</v>
      </c>
      <c r="Y141" s="268">
        <v>0</v>
      </c>
      <c r="Z141" s="268">
        <v>0</v>
      </c>
      <c r="AA141" s="268">
        <v>0</v>
      </c>
      <c r="AB141" s="268">
        <v>0</v>
      </c>
      <c r="AC141" s="268">
        <v>0</v>
      </c>
      <c r="AD141" s="268">
        <v>0</v>
      </c>
      <c r="AE141" s="268">
        <v>0</v>
      </c>
      <c r="AF141" s="154">
        <f t="shared" si="48"/>
        <v>0</v>
      </c>
      <c r="AG141" s="268">
        <v>0</v>
      </c>
      <c r="AH141" s="268">
        <v>0</v>
      </c>
      <c r="AI141" s="197">
        <f t="shared" si="49"/>
        <v>0</v>
      </c>
    </row>
    <row r="142" spans="1:35" s="198" customFormat="1" ht="26.1" customHeight="1">
      <c r="A142" s="199"/>
      <c r="B142" s="108"/>
      <c r="C142" s="265"/>
      <c r="D142" s="266"/>
      <c r="E142" s="267">
        <f t="shared" ref="E142:AH142" si="50">SUM(E143:E148)</f>
        <v>4854458</v>
      </c>
      <c r="F142" s="268">
        <f t="shared" si="50"/>
        <v>731565</v>
      </c>
      <c r="G142" s="268">
        <f t="shared" si="50"/>
        <v>4122893</v>
      </c>
      <c r="H142" s="267">
        <f t="shared" si="50"/>
        <v>2933418</v>
      </c>
      <c r="I142" s="268">
        <f t="shared" si="50"/>
        <v>1421459</v>
      </c>
      <c r="J142" s="268">
        <f t="shared" si="50"/>
        <v>284257</v>
      </c>
      <c r="K142" s="268">
        <f t="shared" si="50"/>
        <v>224236</v>
      </c>
      <c r="L142" s="268">
        <f t="shared" si="50"/>
        <v>514804</v>
      </c>
      <c r="M142" s="268">
        <f t="shared" si="50"/>
        <v>156216</v>
      </c>
      <c r="N142" s="268">
        <f t="shared" si="50"/>
        <v>121162</v>
      </c>
      <c r="O142" s="268">
        <f t="shared" si="50"/>
        <v>211284</v>
      </c>
      <c r="P142" s="267">
        <f t="shared" si="50"/>
        <v>1869260</v>
      </c>
      <c r="Q142" s="268">
        <f t="shared" si="50"/>
        <v>112396</v>
      </c>
      <c r="R142" s="268">
        <f t="shared" si="50"/>
        <v>104936</v>
      </c>
      <c r="S142" s="268">
        <f t="shared" si="50"/>
        <v>58235</v>
      </c>
      <c r="T142" s="268">
        <f t="shared" si="50"/>
        <v>174135</v>
      </c>
      <c r="U142" s="268">
        <f t="shared" si="50"/>
        <v>79215</v>
      </c>
      <c r="V142" s="268">
        <f t="shared" si="50"/>
        <v>156978</v>
      </c>
      <c r="W142" s="268">
        <f t="shared" si="50"/>
        <v>75037</v>
      </c>
      <c r="X142" s="268">
        <f t="shared" si="50"/>
        <v>156056</v>
      </c>
      <c r="Y142" s="268">
        <f t="shared" si="50"/>
        <v>111116</v>
      </c>
      <c r="Z142" s="268">
        <f t="shared" si="50"/>
        <v>99828</v>
      </c>
      <c r="AA142" s="268">
        <f t="shared" si="50"/>
        <v>104936</v>
      </c>
      <c r="AB142" s="268">
        <f t="shared" si="50"/>
        <v>115937</v>
      </c>
      <c r="AC142" s="268">
        <f t="shared" si="50"/>
        <v>120836</v>
      </c>
      <c r="AD142" s="268">
        <f t="shared" si="50"/>
        <v>160584</v>
      </c>
      <c r="AE142" s="268">
        <f t="shared" si="50"/>
        <v>239035</v>
      </c>
      <c r="AF142" s="275">
        <f t="shared" si="50"/>
        <v>51780</v>
      </c>
      <c r="AG142" s="267">
        <f t="shared" si="50"/>
        <v>19290</v>
      </c>
      <c r="AH142" s="268">
        <f t="shared" si="50"/>
        <v>32490</v>
      </c>
      <c r="AI142" s="197">
        <f t="shared" si="49"/>
        <v>0</v>
      </c>
    </row>
    <row r="143" spans="1:35" s="198" customFormat="1" ht="26.1" customHeight="1">
      <c r="A143" s="272" t="s">
        <v>760</v>
      </c>
      <c r="B143" s="276" t="s">
        <v>761</v>
      </c>
      <c r="C143" s="265" t="s">
        <v>458</v>
      </c>
      <c r="D143" s="266">
        <v>3</v>
      </c>
      <c r="E143" s="268">
        <f t="shared" ref="E143:E149" si="51">SUM(H143,P143,AF143)</f>
        <v>1026257</v>
      </c>
      <c r="F143" s="268">
        <v>432117</v>
      </c>
      <c r="G143" s="268">
        <v>594140</v>
      </c>
      <c r="H143" s="258">
        <f t="shared" ref="H143:H149" si="52">SUM(I143:O143)</f>
        <v>260150</v>
      </c>
      <c r="I143" s="268">
        <v>43356</v>
      </c>
      <c r="J143" s="268">
        <v>43357</v>
      </c>
      <c r="K143" s="268">
        <v>43357</v>
      </c>
      <c r="L143" s="268">
        <v>43359</v>
      </c>
      <c r="M143" s="268">
        <v>43360</v>
      </c>
      <c r="N143" s="268">
        <v>43361</v>
      </c>
      <c r="O143" s="271">
        <v>0</v>
      </c>
      <c r="P143" s="153">
        <f t="shared" ref="P143:P149" si="53">SUM(Q143:AE143)</f>
        <v>729727</v>
      </c>
      <c r="Q143" s="268">
        <v>52123</v>
      </c>
      <c r="R143" s="268">
        <v>52122</v>
      </c>
      <c r="S143" s="268">
        <v>52122</v>
      </c>
      <c r="T143" s="268">
        <v>52122</v>
      </c>
      <c r="U143" s="268">
        <v>52122</v>
      </c>
      <c r="V143" s="268">
        <v>52124</v>
      </c>
      <c r="W143" s="268">
        <v>52123</v>
      </c>
      <c r="X143" s="268">
        <v>52123</v>
      </c>
      <c r="Y143" s="268">
        <v>52123</v>
      </c>
      <c r="Z143" s="268">
        <v>52125</v>
      </c>
      <c r="AA143" s="268">
        <v>52125</v>
      </c>
      <c r="AB143" s="268">
        <v>52125</v>
      </c>
      <c r="AC143" s="268">
        <v>52124</v>
      </c>
      <c r="AD143" s="268">
        <v>52124</v>
      </c>
      <c r="AE143" s="268">
        <v>0</v>
      </c>
      <c r="AF143" s="154">
        <f t="shared" ref="AF143:AF149" si="54">SUM(AG143:AH143)</f>
        <v>36380</v>
      </c>
      <c r="AG143" s="268">
        <v>18190</v>
      </c>
      <c r="AH143" s="268">
        <v>18190</v>
      </c>
      <c r="AI143" s="197">
        <f t="shared" si="49"/>
        <v>0</v>
      </c>
    </row>
    <row r="144" spans="1:35" s="198" customFormat="1" ht="26.1" customHeight="1">
      <c r="A144" s="272" t="s">
        <v>760</v>
      </c>
      <c r="B144" s="99" t="s">
        <v>761</v>
      </c>
      <c r="C144" s="265" t="s">
        <v>459</v>
      </c>
      <c r="D144" s="266">
        <v>3</v>
      </c>
      <c r="E144" s="268">
        <f t="shared" si="51"/>
        <v>10400</v>
      </c>
      <c r="F144" s="268">
        <v>5970</v>
      </c>
      <c r="G144" s="268">
        <v>4430</v>
      </c>
      <c r="H144" s="258">
        <f t="shared" si="52"/>
        <v>2880</v>
      </c>
      <c r="I144" s="268">
        <v>480</v>
      </c>
      <c r="J144" s="268">
        <v>480</v>
      </c>
      <c r="K144" s="268">
        <v>479</v>
      </c>
      <c r="L144" s="268">
        <v>479</v>
      </c>
      <c r="M144" s="268">
        <v>481</v>
      </c>
      <c r="N144" s="268">
        <v>481</v>
      </c>
      <c r="O144" s="271">
        <v>0</v>
      </c>
      <c r="P144" s="153">
        <f t="shared" si="53"/>
        <v>7120</v>
      </c>
      <c r="Q144" s="268">
        <v>509</v>
      </c>
      <c r="R144" s="268">
        <v>509</v>
      </c>
      <c r="S144" s="268">
        <v>509</v>
      </c>
      <c r="T144" s="268">
        <v>509</v>
      </c>
      <c r="U144" s="268">
        <v>509</v>
      </c>
      <c r="V144" s="268">
        <v>509</v>
      </c>
      <c r="W144" s="268">
        <v>509</v>
      </c>
      <c r="X144" s="268">
        <v>509</v>
      </c>
      <c r="Y144" s="268">
        <v>509</v>
      </c>
      <c r="Z144" s="268">
        <v>509</v>
      </c>
      <c r="AA144" s="268">
        <v>507</v>
      </c>
      <c r="AB144" s="268">
        <v>508</v>
      </c>
      <c r="AC144" s="268">
        <v>508</v>
      </c>
      <c r="AD144" s="268">
        <v>507</v>
      </c>
      <c r="AE144" s="268">
        <v>0</v>
      </c>
      <c r="AF144" s="154">
        <f t="shared" si="54"/>
        <v>400</v>
      </c>
      <c r="AG144" s="268">
        <v>200</v>
      </c>
      <c r="AH144" s="268">
        <v>200</v>
      </c>
      <c r="AI144" s="197">
        <f t="shared" si="49"/>
        <v>0</v>
      </c>
    </row>
    <row r="145" spans="1:35" s="198" customFormat="1" ht="26.1" customHeight="1">
      <c r="A145" s="272" t="s">
        <v>760</v>
      </c>
      <c r="B145" s="99" t="s">
        <v>761</v>
      </c>
      <c r="C145" s="265" t="s">
        <v>460</v>
      </c>
      <c r="D145" s="266">
        <v>3</v>
      </c>
      <c r="E145" s="268">
        <f t="shared" si="51"/>
        <v>46260</v>
      </c>
      <c r="F145" s="268">
        <v>6260</v>
      </c>
      <c r="G145" s="268">
        <v>40000</v>
      </c>
      <c r="H145" s="258">
        <f t="shared" si="52"/>
        <v>0</v>
      </c>
      <c r="I145" s="268">
        <v>0</v>
      </c>
      <c r="J145" s="268">
        <v>0</v>
      </c>
      <c r="K145" s="268">
        <v>0</v>
      </c>
      <c r="L145" s="268">
        <v>0</v>
      </c>
      <c r="M145" s="268">
        <v>0</v>
      </c>
      <c r="N145" s="268">
        <v>0</v>
      </c>
      <c r="O145" s="271">
        <v>0</v>
      </c>
      <c r="P145" s="153">
        <f t="shared" si="53"/>
        <v>46260</v>
      </c>
      <c r="Q145" s="268">
        <v>3305</v>
      </c>
      <c r="R145" s="268">
        <v>3305</v>
      </c>
      <c r="S145" s="268">
        <v>3304</v>
      </c>
      <c r="T145" s="268">
        <v>3304</v>
      </c>
      <c r="U145" s="268">
        <v>3304</v>
      </c>
      <c r="V145" s="268">
        <v>3305</v>
      </c>
      <c r="W145" s="268">
        <v>3305</v>
      </c>
      <c r="X145" s="268">
        <v>3304</v>
      </c>
      <c r="Y145" s="268">
        <v>3304</v>
      </c>
      <c r="Z145" s="268">
        <v>3304</v>
      </c>
      <c r="AA145" s="268">
        <v>3304</v>
      </c>
      <c r="AB145" s="268">
        <v>3304</v>
      </c>
      <c r="AC145" s="268">
        <v>3304</v>
      </c>
      <c r="AD145" s="268">
        <v>3304</v>
      </c>
      <c r="AE145" s="268">
        <v>0</v>
      </c>
      <c r="AF145" s="154">
        <f t="shared" si="54"/>
        <v>0</v>
      </c>
      <c r="AG145" s="268">
        <v>0</v>
      </c>
      <c r="AH145" s="268">
        <v>0</v>
      </c>
      <c r="AI145" s="197">
        <f t="shared" si="49"/>
        <v>0</v>
      </c>
    </row>
    <row r="146" spans="1:35" s="198" customFormat="1" ht="26.1" customHeight="1">
      <c r="A146" s="272" t="s">
        <v>760</v>
      </c>
      <c r="B146" s="99" t="s">
        <v>761</v>
      </c>
      <c r="C146" s="265" t="s">
        <v>467</v>
      </c>
      <c r="D146" s="266">
        <v>3</v>
      </c>
      <c r="E146" s="268">
        <f t="shared" si="51"/>
        <v>148918</v>
      </c>
      <c r="F146" s="268">
        <v>146218</v>
      </c>
      <c r="G146" s="268">
        <v>2700</v>
      </c>
      <c r="H146" s="258">
        <f t="shared" si="52"/>
        <v>78765</v>
      </c>
      <c r="I146" s="268">
        <v>0</v>
      </c>
      <c r="J146" s="268">
        <v>0</v>
      </c>
      <c r="K146" s="268">
        <v>0</v>
      </c>
      <c r="L146" s="268">
        <v>0</v>
      </c>
      <c r="M146" s="268">
        <v>0</v>
      </c>
      <c r="N146" s="268">
        <v>30000</v>
      </c>
      <c r="O146" s="271">
        <v>48765</v>
      </c>
      <c r="P146" s="153">
        <f t="shared" si="53"/>
        <v>70153</v>
      </c>
      <c r="Q146" s="268">
        <v>0</v>
      </c>
      <c r="R146" s="268">
        <v>0</v>
      </c>
      <c r="S146" s="268">
        <v>0</v>
      </c>
      <c r="T146" s="268">
        <v>0</v>
      </c>
      <c r="U146" s="268">
        <v>0</v>
      </c>
      <c r="V146" s="268">
        <v>0</v>
      </c>
      <c r="W146" s="268">
        <v>0</v>
      </c>
      <c r="X146" s="268">
        <v>0</v>
      </c>
      <c r="Y146" s="268">
        <v>0</v>
      </c>
      <c r="Z146" s="268">
        <v>0</v>
      </c>
      <c r="AA146" s="268">
        <v>0</v>
      </c>
      <c r="AB146" s="268">
        <v>0</v>
      </c>
      <c r="AC146" s="268">
        <v>0</v>
      </c>
      <c r="AD146" s="268">
        <v>0</v>
      </c>
      <c r="AE146" s="268">
        <v>70153</v>
      </c>
      <c r="AF146" s="154">
        <f t="shared" si="54"/>
        <v>0</v>
      </c>
      <c r="AG146" s="268">
        <v>0</v>
      </c>
      <c r="AH146" s="268">
        <v>0</v>
      </c>
      <c r="AI146" s="197">
        <f t="shared" si="49"/>
        <v>0</v>
      </c>
    </row>
    <row r="147" spans="1:35" s="198" customFormat="1" ht="26.1" customHeight="1">
      <c r="A147" s="272" t="s">
        <v>760</v>
      </c>
      <c r="B147" s="99" t="s">
        <v>761</v>
      </c>
      <c r="C147" s="265" t="s">
        <v>695</v>
      </c>
      <c r="D147" s="266">
        <v>3</v>
      </c>
      <c r="E147" s="268">
        <f t="shared" si="51"/>
        <v>141000</v>
      </c>
      <c r="F147" s="268">
        <v>141000</v>
      </c>
      <c r="G147" s="268">
        <v>0</v>
      </c>
      <c r="H147" s="258">
        <f t="shared" si="52"/>
        <v>138000</v>
      </c>
      <c r="I147" s="268">
        <v>136000</v>
      </c>
      <c r="J147" s="268">
        <v>400</v>
      </c>
      <c r="K147" s="268">
        <v>400</v>
      </c>
      <c r="L147" s="268">
        <v>400</v>
      </c>
      <c r="M147" s="268">
        <v>400</v>
      </c>
      <c r="N147" s="268">
        <v>400</v>
      </c>
      <c r="O147" s="271">
        <v>0</v>
      </c>
      <c r="P147" s="153">
        <f t="shared" si="53"/>
        <v>3000</v>
      </c>
      <c r="Q147" s="268">
        <v>200</v>
      </c>
      <c r="R147" s="268">
        <v>0</v>
      </c>
      <c r="S147" s="268">
        <v>200</v>
      </c>
      <c r="T147" s="268">
        <v>300</v>
      </c>
      <c r="U147" s="268">
        <v>200</v>
      </c>
      <c r="V147" s="268">
        <v>0</v>
      </c>
      <c r="W147" s="268">
        <v>0</v>
      </c>
      <c r="X147" s="268">
        <v>200</v>
      </c>
      <c r="Y147" s="268">
        <v>400</v>
      </c>
      <c r="Z147" s="268">
        <v>600</v>
      </c>
      <c r="AA147" s="268">
        <v>300</v>
      </c>
      <c r="AB147" s="268">
        <v>0</v>
      </c>
      <c r="AC147" s="268">
        <v>200</v>
      </c>
      <c r="AD147" s="268">
        <v>400</v>
      </c>
      <c r="AE147" s="268">
        <v>0</v>
      </c>
      <c r="AF147" s="154">
        <f t="shared" si="54"/>
        <v>0</v>
      </c>
      <c r="AG147" s="268">
        <v>0</v>
      </c>
      <c r="AH147" s="268">
        <v>0</v>
      </c>
      <c r="AI147" s="197">
        <f t="shared" si="49"/>
        <v>0</v>
      </c>
    </row>
    <row r="148" spans="1:35" s="198" customFormat="1" ht="26.1" customHeight="1">
      <c r="A148" s="272" t="s">
        <v>760</v>
      </c>
      <c r="B148" s="99" t="s">
        <v>761</v>
      </c>
      <c r="C148" s="265" t="s">
        <v>462</v>
      </c>
      <c r="D148" s="266">
        <v>3</v>
      </c>
      <c r="E148" s="268">
        <f t="shared" si="51"/>
        <v>3481623</v>
      </c>
      <c r="F148" s="268">
        <v>0</v>
      </c>
      <c r="G148" s="268">
        <v>3481623</v>
      </c>
      <c r="H148" s="258">
        <f t="shared" si="52"/>
        <v>2453623</v>
      </c>
      <c r="I148" s="268">
        <v>1241623</v>
      </c>
      <c r="J148" s="268">
        <v>240020</v>
      </c>
      <c r="K148" s="268">
        <v>180000</v>
      </c>
      <c r="L148" s="268">
        <v>470566</v>
      </c>
      <c r="M148" s="268">
        <v>111975</v>
      </c>
      <c r="N148" s="268">
        <v>46920</v>
      </c>
      <c r="O148" s="271">
        <v>162519</v>
      </c>
      <c r="P148" s="153">
        <f t="shared" si="53"/>
        <v>1013000</v>
      </c>
      <c r="Q148" s="268">
        <v>56259</v>
      </c>
      <c r="R148" s="268">
        <v>49000</v>
      </c>
      <c r="S148" s="268">
        <v>2100</v>
      </c>
      <c r="T148" s="268">
        <v>117900</v>
      </c>
      <c r="U148" s="268">
        <v>23080</v>
      </c>
      <c r="V148" s="268">
        <v>101040</v>
      </c>
      <c r="W148" s="268">
        <v>19100</v>
      </c>
      <c r="X148" s="268">
        <v>99920</v>
      </c>
      <c r="Y148" s="268">
        <v>54780</v>
      </c>
      <c r="Z148" s="268">
        <v>43290</v>
      </c>
      <c r="AA148" s="268">
        <v>48700</v>
      </c>
      <c r="AB148" s="268">
        <v>60000</v>
      </c>
      <c r="AC148" s="268">
        <v>64700</v>
      </c>
      <c r="AD148" s="268">
        <v>104249</v>
      </c>
      <c r="AE148" s="268">
        <v>168882</v>
      </c>
      <c r="AF148" s="154">
        <f t="shared" si="54"/>
        <v>15000</v>
      </c>
      <c r="AG148" s="268">
        <v>900</v>
      </c>
      <c r="AH148" s="268">
        <v>14100</v>
      </c>
      <c r="AI148" s="197">
        <f t="shared" si="49"/>
        <v>0</v>
      </c>
    </row>
    <row r="149" spans="1:35" s="198" customFormat="1" ht="26.1" customHeight="1">
      <c r="A149" s="200" t="s">
        <v>237</v>
      </c>
      <c r="B149" s="264" t="s">
        <v>238</v>
      </c>
      <c r="C149" s="230" t="s">
        <v>696</v>
      </c>
      <c r="D149" s="231">
        <v>1</v>
      </c>
      <c r="E149" s="232">
        <f t="shared" si="51"/>
        <v>48937</v>
      </c>
      <c r="F149" s="234">
        <v>48937</v>
      </c>
      <c r="G149" s="234"/>
      <c r="H149" s="232">
        <f t="shared" si="52"/>
        <v>27723</v>
      </c>
      <c r="I149" s="234">
        <v>1831</v>
      </c>
      <c r="J149" s="234">
        <v>6608</v>
      </c>
      <c r="K149" s="234">
        <v>4799</v>
      </c>
      <c r="L149" s="234">
        <v>3376</v>
      </c>
      <c r="M149" s="234">
        <v>4548</v>
      </c>
      <c r="N149" s="234">
        <v>6561</v>
      </c>
      <c r="O149" s="235"/>
      <c r="P149" s="254">
        <f t="shared" si="53"/>
        <v>20804</v>
      </c>
      <c r="Q149" s="234">
        <v>1102</v>
      </c>
      <c r="R149" s="234">
        <v>954</v>
      </c>
      <c r="S149" s="234">
        <v>1870</v>
      </c>
      <c r="T149" s="234">
        <v>3115</v>
      </c>
      <c r="U149" s="234">
        <v>1499</v>
      </c>
      <c r="V149" s="234">
        <v>1971</v>
      </c>
      <c r="W149" s="234">
        <v>1937</v>
      </c>
      <c r="X149" s="234">
        <v>3308</v>
      </c>
      <c r="Y149" s="234">
        <v>994</v>
      </c>
      <c r="Z149" s="234">
        <v>1137</v>
      </c>
      <c r="AA149" s="234">
        <v>221</v>
      </c>
      <c r="AB149" s="234">
        <v>1342</v>
      </c>
      <c r="AC149" s="234">
        <v>639</v>
      </c>
      <c r="AD149" s="234">
        <v>715</v>
      </c>
      <c r="AE149" s="234"/>
      <c r="AF149" s="232">
        <f t="shared" si="54"/>
        <v>410</v>
      </c>
      <c r="AG149" s="234">
        <v>189</v>
      </c>
      <c r="AH149" s="234">
        <v>221</v>
      </c>
      <c r="AI149" s="197">
        <f t="shared" si="49"/>
        <v>0</v>
      </c>
    </row>
    <row r="150" spans="1:35" s="198" customFormat="1" ht="26.1" customHeight="1">
      <c r="A150" s="200"/>
      <c r="B150" s="191"/>
      <c r="C150" s="230"/>
      <c r="D150" s="231"/>
      <c r="E150" s="232">
        <f t="shared" ref="E150:AH150" si="55">E151+E152</f>
        <v>1993412</v>
      </c>
      <c r="F150" s="232">
        <f t="shared" si="55"/>
        <v>298291</v>
      </c>
      <c r="G150" s="232">
        <f t="shared" si="55"/>
        <v>1695121</v>
      </c>
      <c r="H150" s="232">
        <f t="shared" si="55"/>
        <v>477895</v>
      </c>
      <c r="I150" s="232">
        <f t="shared" si="55"/>
        <v>151100</v>
      </c>
      <c r="J150" s="232">
        <f t="shared" si="55"/>
        <v>77090</v>
      </c>
      <c r="K150" s="232">
        <f t="shared" si="55"/>
        <v>0</v>
      </c>
      <c r="L150" s="232">
        <f t="shared" si="55"/>
        <v>105400</v>
      </c>
      <c r="M150" s="232">
        <f t="shared" si="55"/>
        <v>36680</v>
      </c>
      <c r="N150" s="232">
        <f t="shared" si="55"/>
        <v>37380</v>
      </c>
      <c r="O150" s="232">
        <f t="shared" si="55"/>
        <v>70245</v>
      </c>
      <c r="P150" s="232">
        <f t="shared" si="55"/>
        <v>309619</v>
      </c>
      <c r="Q150" s="232">
        <f t="shared" si="55"/>
        <v>1100</v>
      </c>
      <c r="R150" s="232">
        <f t="shared" si="55"/>
        <v>4383</v>
      </c>
      <c r="S150" s="232">
        <f t="shared" si="55"/>
        <v>0</v>
      </c>
      <c r="T150" s="232">
        <f t="shared" si="55"/>
        <v>27277</v>
      </c>
      <c r="U150" s="232">
        <f t="shared" si="55"/>
        <v>0</v>
      </c>
      <c r="V150" s="232">
        <f t="shared" si="55"/>
        <v>21019</v>
      </c>
      <c r="W150" s="232">
        <f t="shared" si="55"/>
        <v>3700</v>
      </c>
      <c r="X150" s="232">
        <f t="shared" si="55"/>
        <v>153499</v>
      </c>
      <c r="Y150" s="232">
        <f t="shared" si="55"/>
        <v>0</v>
      </c>
      <c r="Z150" s="232">
        <f t="shared" si="55"/>
        <v>30000</v>
      </c>
      <c r="AA150" s="232">
        <f t="shared" si="55"/>
        <v>3875</v>
      </c>
      <c r="AB150" s="232">
        <f t="shared" si="55"/>
        <v>23800</v>
      </c>
      <c r="AC150" s="232">
        <f t="shared" si="55"/>
        <v>0</v>
      </c>
      <c r="AD150" s="232">
        <f t="shared" si="55"/>
        <v>0</v>
      </c>
      <c r="AE150" s="232">
        <f t="shared" si="55"/>
        <v>40966</v>
      </c>
      <c r="AF150" s="232">
        <f t="shared" si="55"/>
        <v>1205898</v>
      </c>
      <c r="AG150" s="232">
        <f t="shared" si="55"/>
        <v>1046257</v>
      </c>
      <c r="AH150" s="232">
        <f t="shared" si="55"/>
        <v>159641</v>
      </c>
      <c r="AI150" s="197">
        <f t="shared" si="49"/>
        <v>0</v>
      </c>
    </row>
    <row r="151" spans="1:35" s="198" customFormat="1" ht="26.1" customHeight="1">
      <c r="A151" s="206" t="s">
        <v>762</v>
      </c>
      <c r="B151" s="264" t="s">
        <v>201</v>
      </c>
      <c r="C151" s="201" t="s">
        <v>156</v>
      </c>
      <c r="D151" s="236">
        <v>4</v>
      </c>
      <c r="E151" s="213">
        <f>SUM(H151,P151,AF151)</f>
        <v>12929</v>
      </c>
      <c r="F151" s="203"/>
      <c r="G151" s="203">
        <v>12929</v>
      </c>
      <c r="H151" s="214">
        <f>SUM(I151:O151)</f>
        <v>6465</v>
      </c>
      <c r="I151" s="204"/>
      <c r="J151" s="204"/>
      <c r="K151" s="204"/>
      <c r="L151" s="204"/>
      <c r="M151" s="204"/>
      <c r="N151" s="204"/>
      <c r="O151" s="237">
        <v>6465</v>
      </c>
      <c r="P151" s="215">
        <f>SUM(Q151:AE151)</f>
        <v>6464</v>
      </c>
      <c r="Q151" s="204"/>
      <c r="R151" s="204"/>
      <c r="S151" s="204"/>
      <c r="T151" s="204"/>
      <c r="U151" s="204"/>
      <c r="V151" s="204"/>
      <c r="W151" s="204"/>
      <c r="X151" s="204"/>
      <c r="Y151" s="204"/>
      <c r="Z151" s="204"/>
      <c r="AA151" s="204"/>
      <c r="AB151" s="204"/>
      <c r="AC151" s="204"/>
      <c r="AD151" s="204"/>
      <c r="AE151" s="204">
        <v>6464</v>
      </c>
      <c r="AF151" s="203">
        <f>SUM(AG151:AH151)</f>
        <v>0</v>
      </c>
      <c r="AG151" s="204"/>
      <c r="AH151" s="204"/>
      <c r="AI151" s="197">
        <f t="shared" si="49"/>
        <v>0</v>
      </c>
    </row>
    <row r="152" spans="1:35" s="198" customFormat="1" ht="26.1" customHeight="1">
      <c r="A152" s="206"/>
      <c r="B152" s="191"/>
      <c r="C152" s="201"/>
      <c r="D152" s="238"/>
      <c r="E152" s="213">
        <f t="shared" ref="E152:AH152" si="56">SUM(E153:E164)</f>
        <v>1980483</v>
      </c>
      <c r="F152" s="203">
        <f t="shared" si="56"/>
        <v>298291</v>
      </c>
      <c r="G152" s="203">
        <f t="shared" si="56"/>
        <v>1682192</v>
      </c>
      <c r="H152" s="213">
        <f t="shared" si="56"/>
        <v>471430</v>
      </c>
      <c r="I152" s="203">
        <f t="shared" si="56"/>
        <v>151100</v>
      </c>
      <c r="J152" s="203">
        <f t="shared" si="56"/>
        <v>77090</v>
      </c>
      <c r="K152" s="203">
        <f t="shared" si="56"/>
        <v>0</v>
      </c>
      <c r="L152" s="203">
        <f t="shared" si="56"/>
        <v>105400</v>
      </c>
      <c r="M152" s="203">
        <f t="shared" si="56"/>
        <v>36680</v>
      </c>
      <c r="N152" s="203">
        <f t="shared" si="56"/>
        <v>37380</v>
      </c>
      <c r="O152" s="203">
        <f t="shared" si="56"/>
        <v>63780</v>
      </c>
      <c r="P152" s="213">
        <f t="shared" si="56"/>
        <v>303155</v>
      </c>
      <c r="Q152" s="203">
        <f t="shared" si="56"/>
        <v>1100</v>
      </c>
      <c r="R152" s="203">
        <f t="shared" si="56"/>
        <v>4383</v>
      </c>
      <c r="S152" s="203">
        <f t="shared" si="56"/>
        <v>0</v>
      </c>
      <c r="T152" s="203">
        <f t="shared" si="56"/>
        <v>27277</v>
      </c>
      <c r="U152" s="203">
        <f t="shared" si="56"/>
        <v>0</v>
      </c>
      <c r="V152" s="203">
        <f t="shared" si="56"/>
        <v>21019</v>
      </c>
      <c r="W152" s="203">
        <f t="shared" si="56"/>
        <v>3700</v>
      </c>
      <c r="X152" s="203">
        <f t="shared" si="56"/>
        <v>153499</v>
      </c>
      <c r="Y152" s="203">
        <f t="shared" si="56"/>
        <v>0</v>
      </c>
      <c r="Z152" s="203">
        <f t="shared" si="56"/>
        <v>30000</v>
      </c>
      <c r="AA152" s="203">
        <f t="shared" si="56"/>
        <v>3875</v>
      </c>
      <c r="AB152" s="203">
        <f t="shared" si="56"/>
        <v>23800</v>
      </c>
      <c r="AC152" s="203">
        <f t="shared" si="56"/>
        <v>0</v>
      </c>
      <c r="AD152" s="203">
        <f t="shared" si="56"/>
        <v>0</v>
      </c>
      <c r="AE152" s="203">
        <f t="shared" si="56"/>
        <v>34502</v>
      </c>
      <c r="AF152" s="213">
        <f t="shared" si="56"/>
        <v>1205898</v>
      </c>
      <c r="AG152" s="203">
        <f t="shared" si="56"/>
        <v>1046257</v>
      </c>
      <c r="AH152" s="203">
        <f t="shared" si="56"/>
        <v>159641</v>
      </c>
      <c r="AI152" s="197">
        <f t="shared" si="49"/>
        <v>0</v>
      </c>
    </row>
    <row r="153" spans="1:35" s="198" customFormat="1" ht="26.1" customHeight="1">
      <c r="A153" s="191" t="s">
        <v>762</v>
      </c>
      <c r="B153" s="264" t="s">
        <v>763</v>
      </c>
      <c r="C153" s="239" t="s">
        <v>468</v>
      </c>
      <c r="D153" s="202">
        <v>4</v>
      </c>
      <c r="E153" s="203">
        <f t="shared" ref="E153:E164" si="57">SUM(H153,P153,AF153)</f>
        <v>4000</v>
      </c>
      <c r="F153" s="203"/>
      <c r="G153" s="203">
        <v>4000</v>
      </c>
      <c r="H153" s="203">
        <f t="shared" ref="H153:H164" si="58">SUM(I153:O153)</f>
        <v>0</v>
      </c>
      <c r="I153" s="203"/>
      <c r="J153" s="203"/>
      <c r="K153" s="203"/>
      <c r="L153" s="203"/>
      <c r="M153" s="203"/>
      <c r="N153" s="203"/>
      <c r="O153" s="205"/>
      <c r="P153" s="205">
        <f t="shared" ref="P153:P164" si="59">SUM(Q153:AE153)</f>
        <v>4000</v>
      </c>
      <c r="Q153" s="203"/>
      <c r="R153" s="203"/>
      <c r="S153" s="203"/>
      <c r="T153" s="203"/>
      <c r="U153" s="203"/>
      <c r="V153" s="203"/>
      <c r="W153" s="203"/>
      <c r="X153" s="203"/>
      <c r="Y153" s="203"/>
      <c r="Z153" s="203"/>
      <c r="AA153" s="203"/>
      <c r="AB153" s="203"/>
      <c r="AC153" s="203"/>
      <c r="AD153" s="203"/>
      <c r="AE153" s="203">
        <v>4000</v>
      </c>
      <c r="AF153" s="203">
        <f t="shared" ref="AF153:AF164" si="60">SUM(AG153:AH153)</f>
        <v>0</v>
      </c>
      <c r="AG153" s="203"/>
      <c r="AH153" s="203"/>
      <c r="AI153" s="197">
        <f t="shared" si="49"/>
        <v>0</v>
      </c>
    </row>
    <row r="154" spans="1:35" s="198" customFormat="1" ht="26.1" customHeight="1">
      <c r="A154" s="191" t="s">
        <v>762</v>
      </c>
      <c r="B154" s="191" t="s">
        <v>763</v>
      </c>
      <c r="C154" s="239" t="s">
        <v>469</v>
      </c>
      <c r="D154" s="202">
        <v>4</v>
      </c>
      <c r="E154" s="203">
        <f t="shared" si="57"/>
        <v>192141</v>
      </c>
      <c r="F154" s="203">
        <v>192141</v>
      </c>
      <c r="G154" s="203"/>
      <c r="H154" s="203">
        <f t="shared" si="58"/>
        <v>0</v>
      </c>
      <c r="I154" s="203"/>
      <c r="J154" s="203"/>
      <c r="K154" s="203"/>
      <c r="L154" s="203"/>
      <c r="M154" s="203"/>
      <c r="N154" s="203"/>
      <c r="O154" s="205"/>
      <c r="P154" s="205">
        <f t="shared" si="59"/>
        <v>0</v>
      </c>
      <c r="Q154" s="203"/>
      <c r="R154" s="203"/>
      <c r="S154" s="203"/>
      <c r="T154" s="203"/>
      <c r="U154" s="203"/>
      <c r="V154" s="203"/>
      <c r="W154" s="203"/>
      <c r="X154" s="203"/>
      <c r="Y154" s="203"/>
      <c r="Z154" s="203"/>
      <c r="AA154" s="203"/>
      <c r="AB154" s="203"/>
      <c r="AC154" s="203"/>
      <c r="AD154" s="203"/>
      <c r="AE154" s="203"/>
      <c r="AF154" s="203">
        <f t="shared" si="60"/>
        <v>192141</v>
      </c>
      <c r="AG154" s="203">
        <v>120000</v>
      </c>
      <c r="AH154" s="203">
        <v>72141</v>
      </c>
      <c r="AI154" s="197">
        <f t="shared" si="49"/>
        <v>0</v>
      </c>
    </row>
    <row r="155" spans="1:35" s="198" customFormat="1" ht="26.1" customHeight="1">
      <c r="A155" s="191" t="s">
        <v>762</v>
      </c>
      <c r="B155" s="191" t="s">
        <v>763</v>
      </c>
      <c r="C155" s="191" t="s">
        <v>203</v>
      </c>
      <c r="D155" s="202">
        <v>4</v>
      </c>
      <c r="E155" s="203">
        <f t="shared" si="57"/>
        <v>4400</v>
      </c>
      <c r="F155" s="203"/>
      <c r="G155" s="203">
        <v>4400</v>
      </c>
      <c r="H155" s="203">
        <f t="shared" si="58"/>
        <v>0</v>
      </c>
      <c r="I155" s="203"/>
      <c r="J155" s="203"/>
      <c r="K155" s="203"/>
      <c r="L155" s="203"/>
      <c r="M155" s="203"/>
      <c r="N155" s="203"/>
      <c r="O155" s="205"/>
      <c r="P155" s="205">
        <f t="shared" si="59"/>
        <v>4400</v>
      </c>
      <c r="Q155" s="203"/>
      <c r="R155" s="203"/>
      <c r="S155" s="203"/>
      <c r="T155" s="203"/>
      <c r="U155" s="203"/>
      <c r="V155" s="203"/>
      <c r="W155" s="203"/>
      <c r="X155" s="203"/>
      <c r="Y155" s="203"/>
      <c r="Z155" s="203"/>
      <c r="AA155" s="203"/>
      <c r="AB155" s="203"/>
      <c r="AC155" s="203"/>
      <c r="AD155" s="203"/>
      <c r="AE155" s="203">
        <v>4400</v>
      </c>
      <c r="AF155" s="203">
        <f t="shared" si="60"/>
        <v>0</v>
      </c>
      <c r="AG155" s="203"/>
      <c r="AH155" s="203"/>
      <c r="AI155" s="197">
        <f t="shared" si="49"/>
        <v>0</v>
      </c>
    </row>
    <row r="156" spans="1:35" s="198" customFormat="1" ht="26.1" customHeight="1">
      <c r="A156" s="191" t="s">
        <v>762</v>
      </c>
      <c r="B156" s="191" t="s">
        <v>763</v>
      </c>
      <c r="C156" s="201" t="s">
        <v>204</v>
      </c>
      <c r="D156" s="202">
        <v>4</v>
      </c>
      <c r="E156" s="203">
        <f t="shared" si="57"/>
        <v>215880</v>
      </c>
      <c r="F156" s="203"/>
      <c r="G156" s="203">
        <v>215880</v>
      </c>
      <c r="H156" s="203">
        <f t="shared" si="58"/>
        <v>0</v>
      </c>
      <c r="I156" s="203"/>
      <c r="J156" s="203"/>
      <c r="K156" s="203"/>
      <c r="L156" s="203"/>
      <c r="M156" s="203"/>
      <c r="N156" s="203"/>
      <c r="O156" s="205"/>
      <c r="P156" s="205">
        <f t="shared" si="59"/>
        <v>0</v>
      </c>
      <c r="Q156" s="203"/>
      <c r="R156" s="203"/>
      <c r="S156" s="203"/>
      <c r="T156" s="203"/>
      <c r="U156" s="203"/>
      <c r="V156" s="203"/>
      <c r="W156" s="203"/>
      <c r="X156" s="203"/>
      <c r="Y156" s="203"/>
      <c r="Z156" s="203"/>
      <c r="AA156" s="203"/>
      <c r="AB156" s="203"/>
      <c r="AC156" s="203"/>
      <c r="AD156" s="203"/>
      <c r="AE156" s="203"/>
      <c r="AF156" s="203">
        <f t="shared" si="60"/>
        <v>215880</v>
      </c>
      <c r="AG156" s="203">
        <v>193380</v>
      </c>
      <c r="AH156" s="203">
        <v>22500</v>
      </c>
      <c r="AI156" s="197">
        <f t="shared" si="49"/>
        <v>0</v>
      </c>
    </row>
    <row r="157" spans="1:35" s="198" customFormat="1" ht="26.1" customHeight="1">
      <c r="A157" s="191" t="s">
        <v>762</v>
      </c>
      <c r="B157" s="191" t="s">
        <v>763</v>
      </c>
      <c r="C157" s="191" t="s">
        <v>205</v>
      </c>
      <c r="D157" s="202">
        <v>4</v>
      </c>
      <c r="E157" s="203">
        <f t="shared" si="57"/>
        <v>80000</v>
      </c>
      <c r="F157" s="203"/>
      <c r="G157" s="203">
        <v>80000</v>
      </c>
      <c r="H157" s="203">
        <f t="shared" si="58"/>
        <v>0</v>
      </c>
      <c r="I157" s="203"/>
      <c r="J157" s="203"/>
      <c r="K157" s="203"/>
      <c r="L157" s="203"/>
      <c r="M157" s="203"/>
      <c r="N157" s="203"/>
      <c r="O157" s="205"/>
      <c r="P157" s="205">
        <f t="shared" si="59"/>
        <v>0</v>
      </c>
      <c r="Q157" s="203"/>
      <c r="R157" s="203"/>
      <c r="S157" s="203"/>
      <c r="T157" s="203"/>
      <c r="U157" s="203"/>
      <c r="V157" s="203"/>
      <c r="W157" s="203"/>
      <c r="X157" s="203"/>
      <c r="Y157" s="203"/>
      <c r="Z157" s="203"/>
      <c r="AA157" s="203"/>
      <c r="AB157" s="203"/>
      <c r="AC157" s="203"/>
      <c r="AD157" s="203"/>
      <c r="AE157" s="203"/>
      <c r="AF157" s="203">
        <f t="shared" si="60"/>
        <v>80000</v>
      </c>
      <c r="AG157" s="203">
        <v>15000</v>
      </c>
      <c r="AH157" s="203">
        <v>65000</v>
      </c>
      <c r="AI157" s="197">
        <f t="shared" si="49"/>
        <v>0</v>
      </c>
    </row>
    <row r="158" spans="1:35" s="198" customFormat="1" ht="26.1" customHeight="1">
      <c r="A158" s="191" t="s">
        <v>762</v>
      </c>
      <c r="B158" s="191" t="s">
        <v>763</v>
      </c>
      <c r="C158" s="201" t="s">
        <v>697</v>
      </c>
      <c r="D158" s="202">
        <v>4</v>
      </c>
      <c r="E158" s="203">
        <f t="shared" si="57"/>
        <v>717877</v>
      </c>
      <c r="F158" s="203">
        <v>39650</v>
      </c>
      <c r="G158" s="203">
        <v>678227</v>
      </c>
      <c r="H158" s="203">
        <f t="shared" si="58"/>
        <v>0</v>
      </c>
      <c r="I158" s="203"/>
      <c r="J158" s="203"/>
      <c r="K158" s="203"/>
      <c r="L158" s="203"/>
      <c r="M158" s="203"/>
      <c r="N158" s="203"/>
      <c r="O158" s="205"/>
      <c r="P158" s="205">
        <f t="shared" si="59"/>
        <v>0</v>
      </c>
      <c r="Q158" s="203"/>
      <c r="R158" s="203"/>
      <c r="S158" s="203"/>
      <c r="T158" s="203"/>
      <c r="U158" s="203"/>
      <c r="V158" s="203"/>
      <c r="W158" s="203"/>
      <c r="X158" s="203"/>
      <c r="Y158" s="203"/>
      <c r="Z158" s="203"/>
      <c r="AA158" s="203"/>
      <c r="AB158" s="203"/>
      <c r="AC158" s="203"/>
      <c r="AD158" s="203"/>
      <c r="AE158" s="203"/>
      <c r="AF158" s="203">
        <f t="shared" si="60"/>
        <v>717877</v>
      </c>
      <c r="AG158" s="203">
        <v>717877</v>
      </c>
      <c r="AH158" s="203"/>
      <c r="AI158" s="197">
        <f t="shared" si="49"/>
        <v>0</v>
      </c>
    </row>
    <row r="159" spans="1:35" s="198" customFormat="1" ht="26.1" customHeight="1">
      <c r="A159" s="191" t="s">
        <v>762</v>
      </c>
      <c r="B159" s="191" t="s">
        <v>763</v>
      </c>
      <c r="C159" s="191" t="s">
        <v>206</v>
      </c>
      <c r="D159" s="202">
        <v>4</v>
      </c>
      <c r="E159" s="203">
        <f t="shared" si="57"/>
        <v>151100</v>
      </c>
      <c r="F159" s="203"/>
      <c r="G159" s="203">
        <v>151100</v>
      </c>
      <c r="H159" s="203">
        <f t="shared" si="58"/>
        <v>151100</v>
      </c>
      <c r="I159" s="203">
        <v>151100</v>
      </c>
      <c r="J159" s="203"/>
      <c r="K159" s="203"/>
      <c r="L159" s="203"/>
      <c r="M159" s="203"/>
      <c r="N159" s="203"/>
      <c r="O159" s="205"/>
      <c r="P159" s="205">
        <f t="shared" si="59"/>
        <v>0</v>
      </c>
      <c r="Q159" s="203"/>
      <c r="R159" s="203"/>
      <c r="S159" s="203"/>
      <c r="T159" s="203"/>
      <c r="U159" s="203"/>
      <c r="V159" s="203"/>
      <c r="W159" s="203"/>
      <c r="X159" s="203"/>
      <c r="Y159" s="203"/>
      <c r="Z159" s="203"/>
      <c r="AA159" s="203"/>
      <c r="AB159" s="203"/>
      <c r="AC159" s="203"/>
      <c r="AD159" s="203"/>
      <c r="AE159" s="203"/>
      <c r="AF159" s="203">
        <f t="shared" si="60"/>
        <v>0</v>
      </c>
      <c r="AG159" s="203"/>
      <c r="AH159" s="203"/>
      <c r="AI159" s="197">
        <f t="shared" si="49"/>
        <v>0</v>
      </c>
    </row>
    <row r="160" spans="1:35" s="198" customFormat="1" ht="26.1" customHeight="1">
      <c r="A160" s="191" t="s">
        <v>762</v>
      </c>
      <c r="B160" s="191" t="s">
        <v>763</v>
      </c>
      <c r="C160" s="201" t="s">
        <v>207</v>
      </c>
      <c r="D160" s="202">
        <v>4</v>
      </c>
      <c r="E160" s="203">
        <f t="shared" si="57"/>
        <v>38000</v>
      </c>
      <c r="F160" s="203"/>
      <c r="G160" s="203">
        <v>38000</v>
      </c>
      <c r="H160" s="203">
        <f t="shared" si="58"/>
        <v>23000</v>
      </c>
      <c r="I160" s="203"/>
      <c r="J160" s="203">
        <v>23000</v>
      </c>
      <c r="K160" s="203"/>
      <c r="L160" s="203"/>
      <c r="M160" s="203"/>
      <c r="N160" s="203"/>
      <c r="O160" s="205"/>
      <c r="P160" s="205">
        <f t="shared" si="59"/>
        <v>15000</v>
      </c>
      <c r="Q160" s="203"/>
      <c r="R160" s="203"/>
      <c r="S160" s="203"/>
      <c r="T160" s="203"/>
      <c r="U160" s="203"/>
      <c r="V160" s="203"/>
      <c r="W160" s="203"/>
      <c r="X160" s="203"/>
      <c r="Y160" s="203"/>
      <c r="Z160" s="203"/>
      <c r="AA160" s="203"/>
      <c r="AB160" s="203"/>
      <c r="AC160" s="203"/>
      <c r="AD160" s="203"/>
      <c r="AE160" s="203">
        <v>15000</v>
      </c>
      <c r="AF160" s="203">
        <f t="shared" si="60"/>
        <v>0</v>
      </c>
      <c r="AG160" s="203"/>
      <c r="AH160" s="203"/>
      <c r="AI160" s="197">
        <f t="shared" si="49"/>
        <v>0</v>
      </c>
    </row>
    <row r="161" spans="1:35" s="198" customFormat="1" ht="26.1" customHeight="1">
      <c r="A161" s="191" t="s">
        <v>762</v>
      </c>
      <c r="B161" s="191" t="s">
        <v>763</v>
      </c>
      <c r="C161" s="191" t="s">
        <v>208</v>
      </c>
      <c r="D161" s="202">
        <v>4</v>
      </c>
      <c r="E161" s="203">
        <f t="shared" si="57"/>
        <v>3225</v>
      </c>
      <c r="F161" s="203"/>
      <c r="G161" s="203">
        <v>3225</v>
      </c>
      <c r="H161" s="203">
        <f t="shared" si="58"/>
        <v>0</v>
      </c>
      <c r="I161" s="203"/>
      <c r="J161" s="203"/>
      <c r="K161" s="203"/>
      <c r="L161" s="203"/>
      <c r="M161" s="203"/>
      <c r="N161" s="203"/>
      <c r="O161" s="205"/>
      <c r="P161" s="205">
        <f t="shared" si="59"/>
        <v>3225</v>
      </c>
      <c r="Q161" s="203"/>
      <c r="R161" s="203"/>
      <c r="S161" s="203"/>
      <c r="T161" s="203"/>
      <c r="U161" s="203"/>
      <c r="V161" s="203"/>
      <c r="W161" s="203"/>
      <c r="X161" s="203"/>
      <c r="Y161" s="203"/>
      <c r="Z161" s="203"/>
      <c r="AA161" s="203">
        <v>3225</v>
      </c>
      <c r="AB161" s="203"/>
      <c r="AC161" s="203"/>
      <c r="AD161" s="203"/>
      <c r="AE161" s="203"/>
      <c r="AF161" s="203">
        <f t="shared" si="60"/>
        <v>0</v>
      </c>
      <c r="AG161" s="203"/>
      <c r="AH161" s="203"/>
      <c r="AI161" s="197">
        <f t="shared" si="49"/>
        <v>0</v>
      </c>
    </row>
    <row r="162" spans="1:35" s="198" customFormat="1" ht="26.1" customHeight="1">
      <c r="A162" s="191" t="s">
        <v>762</v>
      </c>
      <c r="B162" s="191" t="s">
        <v>763</v>
      </c>
      <c r="C162" s="201" t="s">
        <v>209</v>
      </c>
      <c r="D162" s="202">
        <v>4</v>
      </c>
      <c r="E162" s="203">
        <f t="shared" si="57"/>
        <v>312000</v>
      </c>
      <c r="F162" s="203">
        <v>8000</v>
      </c>
      <c r="G162" s="203">
        <v>304000</v>
      </c>
      <c r="H162" s="203">
        <f t="shared" si="58"/>
        <v>243330</v>
      </c>
      <c r="I162" s="203"/>
      <c r="J162" s="203">
        <v>53890</v>
      </c>
      <c r="K162" s="203"/>
      <c r="L162" s="203">
        <v>80000</v>
      </c>
      <c r="M162" s="203">
        <v>33280</v>
      </c>
      <c r="N162" s="203">
        <v>37380</v>
      </c>
      <c r="O162" s="205">
        <v>38780</v>
      </c>
      <c r="P162" s="205">
        <f t="shared" si="59"/>
        <v>68670</v>
      </c>
      <c r="Q162" s="203"/>
      <c r="R162" s="203">
        <v>4383</v>
      </c>
      <c r="S162" s="203"/>
      <c r="T162" s="203"/>
      <c r="U162" s="203"/>
      <c r="V162" s="203"/>
      <c r="W162" s="203"/>
      <c r="X162" s="203"/>
      <c r="Y162" s="203"/>
      <c r="Z162" s="203">
        <v>30000</v>
      </c>
      <c r="AA162" s="203"/>
      <c r="AB162" s="203">
        <v>23800</v>
      </c>
      <c r="AC162" s="203"/>
      <c r="AD162" s="203"/>
      <c r="AE162" s="203">
        <v>10487</v>
      </c>
      <c r="AF162" s="203">
        <f t="shared" si="60"/>
        <v>0</v>
      </c>
      <c r="AG162" s="203"/>
      <c r="AH162" s="203"/>
      <c r="AI162" s="197">
        <f t="shared" si="49"/>
        <v>0</v>
      </c>
    </row>
    <row r="163" spans="1:35" s="198" customFormat="1" ht="26.1" customHeight="1">
      <c r="A163" s="191" t="s">
        <v>762</v>
      </c>
      <c r="B163" s="191" t="s">
        <v>763</v>
      </c>
      <c r="C163" s="191" t="s">
        <v>210</v>
      </c>
      <c r="D163" s="202">
        <v>4</v>
      </c>
      <c r="E163" s="203">
        <f t="shared" si="57"/>
        <v>50000</v>
      </c>
      <c r="F163" s="203"/>
      <c r="G163" s="203">
        <v>50000</v>
      </c>
      <c r="H163" s="203">
        <f t="shared" si="58"/>
        <v>50000</v>
      </c>
      <c r="I163" s="203"/>
      <c r="J163" s="203"/>
      <c r="K163" s="203"/>
      <c r="L163" s="203">
        <v>25000</v>
      </c>
      <c r="M163" s="203"/>
      <c r="N163" s="203"/>
      <c r="O163" s="205">
        <v>25000</v>
      </c>
      <c r="P163" s="205">
        <f t="shared" si="59"/>
        <v>0</v>
      </c>
      <c r="Q163" s="203"/>
      <c r="R163" s="203"/>
      <c r="S163" s="203"/>
      <c r="T163" s="203"/>
      <c r="U163" s="203"/>
      <c r="V163" s="203"/>
      <c r="W163" s="203"/>
      <c r="X163" s="203"/>
      <c r="Y163" s="203"/>
      <c r="Z163" s="203"/>
      <c r="AA163" s="203"/>
      <c r="AB163" s="203"/>
      <c r="AC163" s="203"/>
      <c r="AD163" s="203"/>
      <c r="AE163" s="203"/>
      <c r="AF163" s="203">
        <f t="shared" si="60"/>
        <v>0</v>
      </c>
      <c r="AG163" s="203"/>
      <c r="AH163" s="203"/>
      <c r="AI163" s="197">
        <f t="shared" si="49"/>
        <v>0</v>
      </c>
    </row>
    <row r="164" spans="1:35" s="198" customFormat="1" ht="26.1" customHeight="1">
      <c r="A164" s="191" t="s">
        <v>762</v>
      </c>
      <c r="B164" s="191" t="s">
        <v>763</v>
      </c>
      <c r="C164" s="201" t="s">
        <v>470</v>
      </c>
      <c r="D164" s="202">
        <v>4</v>
      </c>
      <c r="E164" s="203">
        <f t="shared" si="57"/>
        <v>211860</v>
      </c>
      <c r="F164" s="203">
        <v>58500</v>
      </c>
      <c r="G164" s="203">
        <v>153360</v>
      </c>
      <c r="H164" s="203">
        <f t="shared" si="58"/>
        <v>4000</v>
      </c>
      <c r="I164" s="203"/>
      <c r="J164" s="203">
        <v>200</v>
      </c>
      <c r="K164" s="203"/>
      <c r="L164" s="203">
        <v>400</v>
      </c>
      <c r="M164" s="203">
        <v>3400</v>
      </c>
      <c r="N164" s="203"/>
      <c r="O164" s="205"/>
      <c r="P164" s="205">
        <f t="shared" si="59"/>
        <v>207860</v>
      </c>
      <c r="Q164" s="203">
        <v>1100</v>
      </c>
      <c r="R164" s="203"/>
      <c r="S164" s="203"/>
      <c r="T164" s="203">
        <v>27277</v>
      </c>
      <c r="U164" s="203"/>
      <c r="V164" s="203">
        <v>21019</v>
      </c>
      <c r="W164" s="203">
        <v>3700</v>
      </c>
      <c r="X164" s="203">
        <v>153499</v>
      </c>
      <c r="Y164" s="203"/>
      <c r="Z164" s="203"/>
      <c r="AA164" s="203">
        <v>650</v>
      </c>
      <c r="AB164" s="203"/>
      <c r="AC164" s="203"/>
      <c r="AD164" s="203"/>
      <c r="AE164" s="203">
        <v>615</v>
      </c>
      <c r="AF164" s="203">
        <f t="shared" si="60"/>
        <v>0</v>
      </c>
      <c r="AG164" s="203"/>
      <c r="AH164" s="203"/>
      <c r="AI164" s="197">
        <f t="shared" si="49"/>
        <v>0</v>
      </c>
    </row>
    <row r="165" spans="1:35" s="198" customFormat="1" ht="26.1" customHeight="1">
      <c r="A165" s="191"/>
      <c r="B165" s="191"/>
      <c r="C165" s="201"/>
      <c r="D165" s="202"/>
      <c r="E165" s="207">
        <f t="shared" ref="E165:AH165" si="61">E166+E195+E196</f>
        <v>33495754</v>
      </c>
      <c r="F165" s="207">
        <f t="shared" si="61"/>
        <v>1491734</v>
      </c>
      <c r="G165" s="207">
        <f t="shared" si="61"/>
        <v>32004020</v>
      </c>
      <c r="H165" s="207">
        <f t="shared" si="61"/>
        <v>24572826</v>
      </c>
      <c r="I165" s="207">
        <f t="shared" si="61"/>
        <v>3117252</v>
      </c>
      <c r="J165" s="207">
        <f t="shared" si="61"/>
        <v>4232997</v>
      </c>
      <c r="K165" s="207">
        <f t="shared" si="61"/>
        <v>641942</v>
      </c>
      <c r="L165" s="207">
        <f t="shared" si="61"/>
        <v>8524738</v>
      </c>
      <c r="M165" s="207">
        <f t="shared" si="61"/>
        <v>394517</v>
      </c>
      <c r="N165" s="207">
        <f t="shared" si="61"/>
        <v>7138593</v>
      </c>
      <c r="O165" s="207">
        <f t="shared" si="61"/>
        <v>522787</v>
      </c>
      <c r="P165" s="207">
        <f t="shared" si="61"/>
        <v>7101492</v>
      </c>
      <c r="Q165" s="207">
        <f t="shared" si="61"/>
        <v>136734</v>
      </c>
      <c r="R165" s="207">
        <f t="shared" si="61"/>
        <v>160534</v>
      </c>
      <c r="S165" s="207">
        <f t="shared" si="61"/>
        <v>934008</v>
      </c>
      <c r="T165" s="207">
        <f t="shared" si="61"/>
        <v>1734276</v>
      </c>
      <c r="U165" s="207">
        <f t="shared" si="61"/>
        <v>543882</v>
      </c>
      <c r="V165" s="207">
        <f t="shared" si="61"/>
        <v>156174</v>
      </c>
      <c r="W165" s="207">
        <f t="shared" si="61"/>
        <v>144698</v>
      </c>
      <c r="X165" s="207">
        <f t="shared" si="61"/>
        <v>110703</v>
      </c>
      <c r="Y165" s="207">
        <f t="shared" si="61"/>
        <v>94366</v>
      </c>
      <c r="Z165" s="207">
        <f t="shared" si="61"/>
        <v>298915</v>
      </c>
      <c r="AA165" s="207">
        <f t="shared" si="61"/>
        <v>416315</v>
      </c>
      <c r="AB165" s="207">
        <f t="shared" si="61"/>
        <v>55990</v>
      </c>
      <c r="AC165" s="207">
        <f t="shared" si="61"/>
        <v>79129</v>
      </c>
      <c r="AD165" s="207">
        <f t="shared" si="61"/>
        <v>55990</v>
      </c>
      <c r="AE165" s="207">
        <f t="shared" si="61"/>
        <v>2179778</v>
      </c>
      <c r="AF165" s="207">
        <f t="shared" si="61"/>
        <v>1821436</v>
      </c>
      <c r="AG165" s="207">
        <f t="shared" si="61"/>
        <v>1232743</v>
      </c>
      <c r="AH165" s="207">
        <f t="shared" si="61"/>
        <v>588693</v>
      </c>
      <c r="AI165" s="197">
        <f t="shared" si="49"/>
        <v>0</v>
      </c>
    </row>
    <row r="166" spans="1:35" s="198" customFormat="1" ht="26.1" customHeight="1">
      <c r="A166" s="191"/>
      <c r="B166" s="191"/>
      <c r="C166" s="241"/>
      <c r="D166" s="202"/>
      <c r="E166" s="213">
        <f t="shared" ref="E166:AH166" si="62">SUM(E167:E194)</f>
        <v>22445666</v>
      </c>
      <c r="F166" s="203">
        <f t="shared" si="62"/>
        <v>270041</v>
      </c>
      <c r="G166" s="203">
        <f t="shared" si="62"/>
        <v>22175625</v>
      </c>
      <c r="H166" s="213">
        <f t="shared" si="62"/>
        <v>20648245</v>
      </c>
      <c r="I166" s="203">
        <f t="shared" si="62"/>
        <v>2958000</v>
      </c>
      <c r="J166" s="203">
        <f t="shared" si="62"/>
        <v>3952200</v>
      </c>
      <c r="K166" s="203">
        <f t="shared" si="62"/>
        <v>16800</v>
      </c>
      <c r="L166" s="203">
        <f t="shared" si="62"/>
        <v>6774000</v>
      </c>
      <c r="M166" s="203">
        <f t="shared" si="62"/>
        <v>140000</v>
      </c>
      <c r="N166" s="203">
        <f t="shared" si="62"/>
        <v>6709800</v>
      </c>
      <c r="O166" s="203">
        <f t="shared" si="62"/>
        <v>97445</v>
      </c>
      <c r="P166" s="213">
        <f t="shared" si="62"/>
        <v>766501</v>
      </c>
      <c r="Q166" s="203">
        <f t="shared" si="62"/>
        <v>0</v>
      </c>
      <c r="R166" s="203">
        <f t="shared" si="62"/>
        <v>0</v>
      </c>
      <c r="S166" s="203">
        <f t="shared" si="62"/>
        <v>0</v>
      </c>
      <c r="T166" s="203">
        <f t="shared" si="62"/>
        <v>340000</v>
      </c>
      <c r="U166" s="203">
        <f t="shared" si="62"/>
        <v>0</v>
      </c>
      <c r="V166" s="203">
        <f t="shared" si="62"/>
        <v>0</v>
      </c>
      <c r="W166" s="203">
        <f t="shared" si="62"/>
        <v>0</v>
      </c>
      <c r="X166" s="203">
        <f t="shared" si="62"/>
        <v>13425</v>
      </c>
      <c r="Y166" s="203">
        <f t="shared" si="62"/>
        <v>13456</v>
      </c>
      <c r="Z166" s="203">
        <f t="shared" si="62"/>
        <v>0</v>
      </c>
      <c r="AA166" s="203">
        <f t="shared" si="62"/>
        <v>238500</v>
      </c>
      <c r="AB166" s="203">
        <f t="shared" si="62"/>
        <v>0</v>
      </c>
      <c r="AC166" s="203">
        <f t="shared" si="62"/>
        <v>0</v>
      </c>
      <c r="AD166" s="203">
        <f t="shared" si="62"/>
        <v>0</v>
      </c>
      <c r="AE166" s="203">
        <f t="shared" si="62"/>
        <v>161120</v>
      </c>
      <c r="AF166" s="213">
        <f t="shared" si="62"/>
        <v>1030920</v>
      </c>
      <c r="AG166" s="203">
        <f t="shared" si="62"/>
        <v>504485</v>
      </c>
      <c r="AH166" s="203">
        <f t="shared" si="62"/>
        <v>526435</v>
      </c>
      <c r="AI166" s="197">
        <f t="shared" si="49"/>
        <v>0</v>
      </c>
    </row>
    <row r="167" spans="1:35" s="198" customFormat="1" ht="26.1" customHeight="1">
      <c r="A167" s="242" t="s">
        <v>764</v>
      </c>
      <c r="B167" s="192" t="s">
        <v>70</v>
      </c>
      <c r="C167" s="241" t="s">
        <v>212</v>
      </c>
      <c r="D167" s="202">
        <v>4</v>
      </c>
      <c r="E167" s="203">
        <f t="shared" ref="E167:E181" si="63">H167+P167+AF167</f>
        <v>17425</v>
      </c>
      <c r="F167" s="203"/>
      <c r="G167" s="203">
        <v>17425</v>
      </c>
      <c r="H167" s="203">
        <f t="shared" ref="H167:H193" si="64">SUM(I167:O167)</f>
        <v>0</v>
      </c>
      <c r="I167" s="203"/>
      <c r="J167" s="203"/>
      <c r="K167" s="203"/>
      <c r="L167" s="203"/>
      <c r="M167" s="203"/>
      <c r="N167" s="203"/>
      <c r="O167" s="205"/>
      <c r="P167" s="205">
        <f t="shared" ref="P167:P195" si="65">SUM(Q167:AE167)</f>
        <v>13425</v>
      </c>
      <c r="Q167" s="203"/>
      <c r="R167" s="203"/>
      <c r="S167" s="203"/>
      <c r="T167" s="203"/>
      <c r="U167" s="203"/>
      <c r="V167" s="203"/>
      <c r="W167" s="203"/>
      <c r="X167" s="203">
        <v>3425</v>
      </c>
      <c r="Y167" s="203">
        <v>5500</v>
      </c>
      <c r="Z167" s="203"/>
      <c r="AA167" s="203">
        <v>4500</v>
      </c>
      <c r="AB167" s="203"/>
      <c r="AC167" s="203"/>
      <c r="AD167" s="203"/>
      <c r="AE167" s="203"/>
      <c r="AF167" s="203">
        <f t="shared" ref="AF167:AF195" si="66">SUM(AG167:AH167)</f>
        <v>4000</v>
      </c>
      <c r="AG167" s="203"/>
      <c r="AH167" s="203">
        <v>4000</v>
      </c>
      <c r="AI167" s="197">
        <f t="shared" si="49"/>
        <v>0</v>
      </c>
    </row>
    <row r="168" spans="1:35" s="198" customFormat="1" ht="26.1" customHeight="1">
      <c r="A168" s="192" t="s">
        <v>764</v>
      </c>
      <c r="B168" s="192" t="s">
        <v>70</v>
      </c>
      <c r="C168" s="241" t="s">
        <v>502</v>
      </c>
      <c r="D168" s="202">
        <v>4</v>
      </c>
      <c r="E168" s="203">
        <f t="shared" si="63"/>
        <v>25256</v>
      </c>
      <c r="F168" s="203">
        <v>25256</v>
      </c>
      <c r="G168" s="203"/>
      <c r="H168" s="203">
        <f t="shared" si="64"/>
        <v>0</v>
      </c>
      <c r="I168" s="203"/>
      <c r="J168" s="203"/>
      <c r="K168" s="203"/>
      <c r="L168" s="203"/>
      <c r="M168" s="203"/>
      <c r="N168" s="203"/>
      <c r="O168" s="205"/>
      <c r="P168" s="205">
        <f t="shared" si="65"/>
        <v>21956</v>
      </c>
      <c r="Q168" s="203"/>
      <c r="R168" s="203"/>
      <c r="S168" s="203"/>
      <c r="T168" s="203"/>
      <c r="U168" s="203"/>
      <c r="V168" s="203"/>
      <c r="W168" s="203"/>
      <c r="X168" s="203">
        <v>10000</v>
      </c>
      <c r="Y168" s="203">
        <v>7956</v>
      </c>
      <c r="Z168" s="203"/>
      <c r="AA168" s="203">
        <v>4000</v>
      </c>
      <c r="AB168" s="203"/>
      <c r="AC168" s="203"/>
      <c r="AD168" s="203"/>
      <c r="AE168" s="203"/>
      <c r="AF168" s="203">
        <f t="shared" si="66"/>
        <v>3300</v>
      </c>
      <c r="AG168" s="203"/>
      <c r="AH168" s="203">
        <v>3300</v>
      </c>
      <c r="AI168" s="197">
        <f t="shared" si="49"/>
        <v>0</v>
      </c>
    </row>
    <row r="169" spans="1:35" s="198" customFormat="1" ht="26.1" customHeight="1">
      <c r="A169" s="192" t="s">
        <v>764</v>
      </c>
      <c r="B169" s="192" t="s">
        <v>70</v>
      </c>
      <c r="C169" s="241" t="s">
        <v>211</v>
      </c>
      <c r="D169" s="202">
        <v>4</v>
      </c>
      <c r="E169" s="203">
        <f t="shared" si="63"/>
        <v>146500</v>
      </c>
      <c r="F169" s="203">
        <v>146500</v>
      </c>
      <c r="G169" s="203"/>
      <c r="H169" s="203">
        <f t="shared" si="64"/>
        <v>48000</v>
      </c>
      <c r="I169" s="203"/>
      <c r="J169" s="203"/>
      <c r="K169" s="203"/>
      <c r="L169" s="203"/>
      <c r="M169" s="203"/>
      <c r="N169" s="203"/>
      <c r="O169" s="205">
        <v>48000</v>
      </c>
      <c r="P169" s="205">
        <f t="shared" si="65"/>
        <v>92500</v>
      </c>
      <c r="Q169" s="203"/>
      <c r="R169" s="203"/>
      <c r="S169" s="203"/>
      <c r="T169" s="203"/>
      <c r="U169" s="203"/>
      <c r="V169" s="203"/>
      <c r="W169" s="203"/>
      <c r="X169" s="203"/>
      <c r="Y169" s="203"/>
      <c r="Z169" s="203"/>
      <c r="AA169" s="203"/>
      <c r="AB169" s="203"/>
      <c r="AC169" s="203"/>
      <c r="AD169" s="203"/>
      <c r="AE169" s="203">
        <v>92500</v>
      </c>
      <c r="AF169" s="203">
        <f t="shared" si="66"/>
        <v>6000</v>
      </c>
      <c r="AG169" s="203">
        <v>3000</v>
      </c>
      <c r="AH169" s="203">
        <v>3000</v>
      </c>
      <c r="AI169" s="197">
        <f t="shared" si="49"/>
        <v>0</v>
      </c>
    </row>
    <row r="170" spans="1:35" s="198" customFormat="1" ht="26.1" customHeight="1">
      <c r="A170" s="192" t="s">
        <v>764</v>
      </c>
      <c r="B170" s="192" t="s">
        <v>70</v>
      </c>
      <c r="C170" s="241" t="s">
        <v>506</v>
      </c>
      <c r="D170" s="202">
        <v>4</v>
      </c>
      <c r="E170" s="203">
        <f t="shared" si="63"/>
        <v>58600</v>
      </c>
      <c r="F170" s="203">
        <v>58600</v>
      </c>
      <c r="G170" s="203">
        <v>0</v>
      </c>
      <c r="H170" s="203">
        <f t="shared" si="64"/>
        <v>0</v>
      </c>
      <c r="I170" s="203"/>
      <c r="J170" s="203"/>
      <c r="K170" s="203"/>
      <c r="L170" s="203"/>
      <c r="M170" s="203"/>
      <c r="N170" s="203"/>
      <c r="O170" s="205"/>
      <c r="P170" s="205">
        <f t="shared" si="65"/>
        <v>7650</v>
      </c>
      <c r="Q170" s="203"/>
      <c r="R170" s="203"/>
      <c r="S170" s="203"/>
      <c r="T170" s="203"/>
      <c r="U170" s="203"/>
      <c r="V170" s="203"/>
      <c r="W170" s="203"/>
      <c r="X170" s="203"/>
      <c r="Y170" s="203"/>
      <c r="Z170" s="203"/>
      <c r="AA170" s="203"/>
      <c r="AB170" s="203"/>
      <c r="AC170" s="203"/>
      <c r="AD170" s="203"/>
      <c r="AE170" s="203">
        <v>7650</v>
      </c>
      <c r="AF170" s="203">
        <f t="shared" si="66"/>
        <v>50950</v>
      </c>
      <c r="AG170" s="203"/>
      <c r="AH170" s="203">
        <v>50950</v>
      </c>
      <c r="AI170" s="197">
        <f t="shared" si="49"/>
        <v>0</v>
      </c>
    </row>
    <row r="171" spans="1:35" s="198" customFormat="1" ht="26.1" customHeight="1">
      <c r="A171" s="192" t="s">
        <v>764</v>
      </c>
      <c r="B171" s="192" t="s">
        <v>70</v>
      </c>
      <c r="C171" s="241" t="s">
        <v>213</v>
      </c>
      <c r="D171" s="202">
        <v>4</v>
      </c>
      <c r="E171" s="203">
        <f t="shared" si="63"/>
        <v>84900</v>
      </c>
      <c r="F171" s="203">
        <v>25500</v>
      </c>
      <c r="G171" s="203">
        <v>59400</v>
      </c>
      <c r="H171" s="203">
        <f t="shared" si="64"/>
        <v>34445</v>
      </c>
      <c r="I171" s="203"/>
      <c r="J171" s="203"/>
      <c r="K171" s="203"/>
      <c r="L171" s="203"/>
      <c r="M171" s="203"/>
      <c r="N171" s="203"/>
      <c r="O171" s="205">
        <v>34445</v>
      </c>
      <c r="P171" s="205">
        <f t="shared" si="65"/>
        <v>47970</v>
      </c>
      <c r="Q171" s="203"/>
      <c r="R171" s="203"/>
      <c r="S171" s="203"/>
      <c r="T171" s="203"/>
      <c r="U171" s="203"/>
      <c r="V171" s="203"/>
      <c r="W171" s="203"/>
      <c r="X171" s="203"/>
      <c r="Y171" s="203"/>
      <c r="Z171" s="203"/>
      <c r="AA171" s="203"/>
      <c r="AB171" s="203"/>
      <c r="AC171" s="203"/>
      <c r="AD171" s="203"/>
      <c r="AE171" s="203">
        <v>47970</v>
      </c>
      <c r="AF171" s="203">
        <f t="shared" si="66"/>
        <v>2485</v>
      </c>
      <c r="AG171" s="203">
        <v>1485</v>
      </c>
      <c r="AH171" s="203">
        <v>1000</v>
      </c>
      <c r="AI171" s="197">
        <f t="shared" si="49"/>
        <v>0</v>
      </c>
    </row>
    <row r="172" spans="1:35" s="198" customFormat="1" ht="26.1" customHeight="1">
      <c r="A172" s="192" t="s">
        <v>764</v>
      </c>
      <c r="B172" s="192" t="s">
        <v>70</v>
      </c>
      <c r="C172" s="241" t="s">
        <v>217</v>
      </c>
      <c r="D172" s="202">
        <v>4</v>
      </c>
      <c r="E172" s="203">
        <f t="shared" si="63"/>
        <v>465800</v>
      </c>
      <c r="F172" s="203"/>
      <c r="G172" s="203">
        <v>465800</v>
      </c>
      <c r="H172" s="203">
        <f t="shared" si="64"/>
        <v>465800</v>
      </c>
      <c r="I172" s="203"/>
      <c r="J172" s="203"/>
      <c r="K172" s="203"/>
      <c r="L172" s="203"/>
      <c r="M172" s="203"/>
      <c r="N172" s="203">
        <v>465800</v>
      </c>
      <c r="O172" s="205"/>
      <c r="P172" s="205">
        <f t="shared" si="65"/>
        <v>0</v>
      </c>
      <c r="Q172" s="203"/>
      <c r="R172" s="203"/>
      <c r="S172" s="203"/>
      <c r="T172" s="203"/>
      <c r="U172" s="203"/>
      <c r="V172" s="203"/>
      <c r="W172" s="203"/>
      <c r="X172" s="203"/>
      <c r="Y172" s="203"/>
      <c r="Z172" s="203"/>
      <c r="AA172" s="203"/>
      <c r="AB172" s="203"/>
      <c r="AC172" s="203"/>
      <c r="AD172" s="203"/>
      <c r="AE172" s="203"/>
      <c r="AF172" s="203">
        <f t="shared" si="66"/>
        <v>0</v>
      </c>
      <c r="AG172" s="203"/>
      <c r="AH172" s="203"/>
      <c r="AI172" s="197">
        <f t="shared" si="49"/>
        <v>0</v>
      </c>
    </row>
    <row r="173" spans="1:35" s="198" customFormat="1" ht="26.1" customHeight="1">
      <c r="A173" s="192" t="s">
        <v>764</v>
      </c>
      <c r="B173" s="192" t="s">
        <v>70</v>
      </c>
      <c r="C173" s="241" t="s">
        <v>218</v>
      </c>
      <c r="D173" s="202">
        <v>4</v>
      </c>
      <c r="E173" s="203">
        <f t="shared" si="63"/>
        <v>790000</v>
      </c>
      <c r="F173" s="203"/>
      <c r="G173" s="203">
        <v>790000</v>
      </c>
      <c r="H173" s="203">
        <f t="shared" si="64"/>
        <v>790000</v>
      </c>
      <c r="I173" s="203"/>
      <c r="J173" s="203"/>
      <c r="K173" s="203"/>
      <c r="L173" s="203"/>
      <c r="M173" s="203"/>
      <c r="N173" s="203">
        <v>790000</v>
      </c>
      <c r="O173" s="205"/>
      <c r="P173" s="205">
        <f t="shared" si="65"/>
        <v>0</v>
      </c>
      <c r="Q173" s="203"/>
      <c r="R173" s="203"/>
      <c r="S173" s="203"/>
      <c r="T173" s="203"/>
      <c r="U173" s="203"/>
      <c r="V173" s="203"/>
      <c r="W173" s="203"/>
      <c r="X173" s="203"/>
      <c r="Y173" s="203"/>
      <c r="Z173" s="203"/>
      <c r="AA173" s="203"/>
      <c r="AB173" s="203"/>
      <c r="AC173" s="203"/>
      <c r="AD173" s="203"/>
      <c r="AE173" s="203"/>
      <c r="AF173" s="203">
        <f t="shared" si="66"/>
        <v>0</v>
      </c>
      <c r="AG173" s="203"/>
      <c r="AH173" s="203"/>
      <c r="AI173" s="197">
        <f t="shared" si="49"/>
        <v>0</v>
      </c>
    </row>
    <row r="174" spans="1:35" s="198" customFormat="1" ht="26.1" customHeight="1">
      <c r="A174" s="192" t="s">
        <v>764</v>
      </c>
      <c r="B174" s="192" t="s">
        <v>70</v>
      </c>
      <c r="C174" s="241" t="s">
        <v>219</v>
      </c>
      <c r="D174" s="202">
        <v>4</v>
      </c>
      <c r="E174" s="203">
        <f t="shared" si="63"/>
        <v>2057000</v>
      </c>
      <c r="F174" s="203"/>
      <c r="G174" s="203">
        <v>2057000</v>
      </c>
      <c r="H174" s="203">
        <f t="shared" si="64"/>
        <v>2057000</v>
      </c>
      <c r="I174" s="203">
        <v>2057000</v>
      </c>
      <c r="J174" s="203"/>
      <c r="K174" s="203"/>
      <c r="L174" s="203"/>
      <c r="M174" s="203"/>
      <c r="N174" s="203"/>
      <c r="O174" s="205">
        <v>0</v>
      </c>
      <c r="P174" s="205">
        <f t="shared" si="65"/>
        <v>0</v>
      </c>
      <c r="Q174" s="203"/>
      <c r="R174" s="203"/>
      <c r="S174" s="203"/>
      <c r="T174" s="203"/>
      <c r="U174" s="203"/>
      <c r="V174" s="203"/>
      <c r="W174" s="203"/>
      <c r="X174" s="203"/>
      <c r="Y174" s="203"/>
      <c r="Z174" s="203"/>
      <c r="AA174" s="203"/>
      <c r="AB174" s="203"/>
      <c r="AC174" s="203"/>
      <c r="AD174" s="203"/>
      <c r="AE174" s="203"/>
      <c r="AF174" s="203">
        <f t="shared" si="66"/>
        <v>0</v>
      </c>
      <c r="AG174" s="203"/>
      <c r="AH174" s="203"/>
      <c r="AI174" s="197">
        <f t="shared" si="49"/>
        <v>0</v>
      </c>
    </row>
    <row r="175" spans="1:35" s="198" customFormat="1" ht="26.1" customHeight="1">
      <c r="A175" s="192" t="s">
        <v>764</v>
      </c>
      <c r="B175" s="192" t="s">
        <v>70</v>
      </c>
      <c r="C175" s="241" t="s">
        <v>220</v>
      </c>
      <c r="D175" s="202">
        <v>4</v>
      </c>
      <c r="E175" s="203">
        <f t="shared" si="63"/>
        <v>480000</v>
      </c>
      <c r="F175" s="203"/>
      <c r="G175" s="203">
        <v>480000</v>
      </c>
      <c r="H175" s="203">
        <f t="shared" si="64"/>
        <v>480000</v>
      </c>
      <c r="I175" s="203">
        <v>480000</v>
      </c>
      <c r="J175" s="203"/>
      <c r="K175" s="203"/>
      <c r="L175" s="203"/>
      <c r="M175" s="203"/>
      <c r="N175" s="203"/>
      <c r="O175" s="205">
        <v>0</v>
      </c>
      <c r="P175" s="205">
        <f t="shared" si="65"/>
        <v>0</v>
      </c>
      <c r="Q175" s="203"/>
      <c r="R175" s="203"/>
      <c r="S175" s="203"/>
      <c r="T175" s="203"/>
      <c r="U175" s="203"/>
      <c r="V175" s="203"/>
      <c r="W175" s="203"/>
      <c r="X175" s="203"/>
      <c r="Y175" s="203"/>
      <c r="Z175" s="203"/>
      <c r="AA175" s="203"/>
      <c r="AB175" s="203"/>
      <c r="AC175" s="203"/>
      <c r="AD175" s="203"/>
      <c r="AE175" s="203"/>
      <c r="AF175" s="203">
        <f t="shared" si="66"/>
        <v>0</v>
      </c>
      <c r="AG175" s="203"/>
      <c r="AH175" s="203"/>
      <c r="AI175" s="197">
        <f t="shared" si="49"/>
        <v>0</v>
      </c>
    </row>
    <row r="176" spans="1:35" s="198" customFormat="1" ht="26.1" customHeight="1">
      <c r="A176" s="192" t="s">
        <v>764</v>
      </c>
      <c r="B176" s="192" t="s">
        <v>70</v>
      </c>
      <c r="C176" s="241" t="s">
        <v>221</v>
      </c>
      <c r="D176" s="202">
        <v>4</v>
      </c>
      <c r="E176" s="203">
        <f t="shared" si="63"/>
        <v>230000</v>
      </c>
      <c r="F176" s="203"/>
      <c r="G176" s="203">
        <v>230000</v>
      </c>
      <c r="H176" s="203">
        <f t="shared" si="64"/>
        <v>230000</v>
      </c>
      <c r="I176" s="203">
        <v>230000</v>
      </c>
      <c r="J176" s="203"/>
      <c r="K176" s="203"/>
      <c r="L176" s="203"/>
      <c r="M176" s="203"/>
      <c r="N176" s="203"/>
      <c r="O176" s="205">
        <v>0</v>
      </c>
      <c r="P176" s="205">
        <f t="shared" si="65"/>
        <v>0</v>
      </c>
      <c r="Q176" s="203"/>
      <c r="R176" s="203"/>
      <c r="S176" s="203"/>
      <c r="T176" s="203"/>
      <c r="U176" s="203"/>
      <c r="V176" s="203"/>
      <c r="W176" s="203"/>
      <c r="X176" s="203"/>
      <c r="Y176" s="203"/>
      <c r="Z176" s="203"/>
      <c r="AA176" s="203"/>
      <c r="AB176" s="203"/>
      <c r="AC176" s="203"/>
      <c r="AD176" s="203"/>
      <c r="AE176" s="203"/>
      <c r="AF176" s="203">
        <f t="shared" si="66"/>
        <v>0</v>
      </c>
      <c r="AG176" s="203"/>
      <c r="AH176" s="203"/>
      <c r="AI176" s="197">
        <f t="shared" si="49"/>
        <v>0</v>
      </c>
    </row>
    <row r="177" spans="1:35" s="198" customFormat="1" ht="26.1" customHeight="1">
      <c r="A177" s="192" t="s">
        <v>764</v>
      </c>
      <c r="B177" s="192" t="s">
        <v>70</v>
      </c>
      <c r="C177" s="241" t="s">
        <v>222</v>
      </c>
      <c r="D177" s="202">
        <v>4</v>
      </c>
      <c r="E177" s="203">
        <f t="shared" si="63"/>
        <v>191000</v>
      </c>
      <c r="F177" s="203"/>
      <c r="G177" s="203">
        <v>191000</v>
      </c>
      <c r="H177" s="203">
        <f t="shared" si="64"/>
        <v>191000</v>
      </c>
      <c r="I177" s="203">
        <v>191000</v>
      </c>
      <c r="J177" s="203"/>
      <c r="K177" s="203"/>
      <c r="L177" s="203"/>
      <c r="M177" s="203"/>
      <c r="N177" s="203"/>
      <c r="O177" s="205">
        <v>0</v>
      </c>
      <c r="P177" s="205">
        <f t="shared" si="65"/>
        <v>0</v>
      </c>
      <c r="Q177" s="203"/>
      <c r="R177" s="203"/>
      <c r="S177" s="203"/>
      <c r="T177" s="203"/>
      <c r="U177" s="203"/>
      <c r="V177" s="203"/>
      <c r="W177" s="203"/>
      <c r="X177" s="203"/>
      <c r="Y177" s="203"/>
      <c r="Z177" s="203"/>
      <c r="AA177" s="203"/>
      <c r="AB177" s="203"/>
      <c r="AC177" s="203"/>
      <c r="AD177" s="203"/>
      <c r="AE177" s="203"/>
      <c r="AF177" s="203">
        <f t="shared" si="66"/>
        <v>0</v>
      </c>
      <c r="AG177" s="203"/>
      <c r="AH177" s="203"/>
      <c r="AI177" s="197">
        <f t="shared" si="49"/>
        <v>0</v>
      </c>
    </row>
    <row r="178" spans="1:35" s="198" customFormat="1" ht="26.1" customHeight="1">
      <c r="A178" s="192" t="s">
        <v>764</v>
      </c>
      <c r="B178" s="192" t="s">
        <v>70</v>
      </c>
      <c r="C178" s="241" t="s">
        <v>216</v>
      </c>
      <c r="D178" s="202">
        <v>4</v>
      </c>
      <c r="E178" s="203">
        <f t="shared" si="63"/>
        <v>2500000</v>
      </c>
      <c r="F178" s="203"/>
      <c r="G178" s="203">
        <v>2500000</v>
      </c>
      <c r="H178" s="203">
        <f t="shared" si="64"/>
        <v>2500000</v>
      </c>
      <c r="I178" s="203"/>
      <c r="J178" s="203">
        <v>2500000</v>
      </c>
      <c r="K178" s="203"/>
      <c r="L178" s="203"/>
      <c r="M178" s="203"/>
      <c r="N178" s="203"/>
      <c r="O178" s="205"/>
      <c r="P178" s="205">
        <f t="shared" si="65"/>
        <v>0</v>
      </c>
      <c r="Q178" s="203"/>
      <c r="R178" s="203"/>
      <c r="S178" s="203"/>
      <c r="T178" s="203"/>
      <c r="U178" s="203"/>
      <c r="V178" s="203"/>
      <c r="W178" s="203"/>
      <c r="X178" s="203"/>
      <c r="Y178" s="203"/>
      <c r="Z178" s="203"/>
      <c r="AA178" s="203"/>
      <c r="AB178" s="203"/>
      <c r="AC178" s="203"/>
      <c r="AD178" s="203"/>
      <c r="AE178" s="203"/>
      <c r="AF178" s="203">
        <f t="shared" si="66"/>
        <v>0</v>
      </c>
      <c r="AG178" s="203"/>
      <c r="AH178" s="203"/>
      <c r="AI178" s="197">
        <f t="shared" si="49"/>
        <v>0</v>
      </c>
    </row>
    <row r="179" spans="1:35" s="198" customFormat="1" ht="26.1" customHeight="1">
      <c r="A179" s="192" t="s">
        <v>764</v>
      </c>
      <c r="B179" s="192" t="s">
        <v>70</v>
      </c>
      <c r="C179" s="241" t="s">
        <v>214</v>
      </c>
      <c r="D179" s="202">
        <v>4</v>
      </c>
      <c r="E179" s="203">
        <f t="shared" si="63"/>
        <v>119000</v>
      </c>
      <c r="F179" s="203"/>
      <c r="G179" s="203">
        <v>119000</v>
      </c>
      <c r="H179" s="203">
        <f t="shared" si="64"/>
        <v>119000</v>
      </c>
      <c r="I179" s="203"/>
      <c r="J179" s="203">
        <v>119000</v>
      </c>
      <c r="K179" s="203"/>
      <c r="L179" s="203"/>
      <c r="M179" s="203"/>
      <c r="N179" s="203"/>
      <c r="O179" s="205"/>
      <c r="P179" s="205">
        <f t="shared" si="65"/>
        <v>0</v>
      </c>
      <c r="Q179" s="203"/>
      <c r="R179" s="203"/>
      <c r="S179" s="203"/>
      <c r="T179" s="203"/>
      <c r="U179" s="203"/>
      <c r="V179" s="203"/>
      <c r="W179" s="203"/>
      <c r="X179" s="203"/>
      <c r="Y179" s="203"/>
      <c r="Z179" s="203"/>
      <c r="AA179" s="203"/>
      <c r="AB179" s="203"/>
      <c r="AC179" s="203"/>
      <c r="AD179" s="203"/>
      <c r="AE179" s="203"/>
      <c r="AF179" s="203">
        <f t="shared" si="66"/>
        <v>0</v>
      </c>
      <c r="AG179" s="203"/>
      <c r="AH179" s="203"/>
      <c r="AI179" s="197">
        <f t="shared" si="49"/>
        <v>0</v>
      </c>
    </row>
    <row r="180" spans="1:35" s="198" customFormat="1" ht="26.1" customHeight="1">
      <c r="A180" s="192" t="s">
        <v>764</v>
      </c>
      <c r="B180" s="192" t="s">
        <v>70</v>
      </c>
      <c r="C180" s="241" t="s">
        <v>215</v>
      </c>
      <c r="D180" s="202">
        <v>4</v>
      </c>
      <c r="E180" s="203">
        <f t="shared" si="63"/>
        <v>850000</v>
      </c>
      <c r="F180" s="203"/>
      <c r="G180" s="203">
        <v>850000</v>
      </c>
      <c r="H180" s="203">
        <f t="shared" si="64"/>
        <v>850000</v>
      </c>
      <c r="I180" s="203"/>
      <c r="J180" s="203">
        <v>850000</v>
      </c>
      <c r="K180" s="203"/>
      <c r="L180" s="203"/>
      <c r="M180" s="203"/>
      <c r="N180" s="203"/>
      <c r="O180" s="205"/>
      <c r="P180" s="205">
        <f t="shared" si="65"/>
        <v>0</v>
      </c>
      <c r="Q180" s="203"/>
      <c r="R180" s="203"/>
      <c r="S180" s="203"/>
      <c r="T180" s="203"/>
      <c r="U180" s="203"/>
      <c r="V180" s="203"/>
      <c r="W180" s="203"/>
      <c r="X180" s="203"/>
      <c r="Y180" s="203"/>
      <c r="Z180" s="203"/>
      <c r="AA180" s="203"/>
      <c r="AB180" s="203"/>
      <c r="AC180" s="203"/>
      <c r="AD180" s="203"/>
      <c r="AE180" s="203"/>
      <c r="AF180" s="203">
        <f t="shared" si="66"/>
        <v>0</v>
      </c>
      <c r="AG180" s="203"/>
      <c r="AH180" s="203"/>
      <c r="AI180" s="197">
        <f t="shared" si="49"/>
        <v>0</v>
      </c>
    </row>
    <row r="181" spans="1:35" s="198" customFormat="1" ht="26.1" customHeight="1">
      <c r="A181" s="192" t="s">
        <v>764</v>
      </c>
      <c r="B181" s="192" t="s">
        <v>70</v>
      </c>
      <c r="C181" s="241" t="s">
        <v>503</v>
      </c>
      <c r="D181" s="202">
        <v>4</v>
      </c>
      <c r="E181" s="203">
        <f t="shared" si="63"/>
        <v>100000</v>
      </c>
      <c r="F181" s="203"/>
      <c r="G181" s="203">
        <v>100000</v>
      </c>
      <c r="H181" s="203">
        <f t="shared" si="64"/>
        <v>100000</v>
      </c>
      <c r="I181" s="203"/>
      <c r="J181" s="203">
        <v>100000</v>
      </c>
      <c r="K181" s="203"/>
      <c r="L181" s="203"/>
      <c r="M181" s="203"/>
      <c r="N181" s="203"/>
      <c r="O181" s="205"/>
      <c r="P181" s="205">
        <f t="shared" si="65"/>
        <v>0</v>
      </c>
      <c r="Q181" s="203"/>
      <c r="R181" s="203"/>
      <c r="S181" s="203"/>
      <c r="T181" s="203"/>
      <c r="U181" s="203"/>
      <c r="V181" s="203"/>
      <c r="W181" s="203"/>
      <c r="X181" s="203"/>
      <c r="Y181" s="203"/>
      <c r="Z181" s="203"/>
      <c r="AA181" s="203"/>
      <c r="AB181" s="203"/>
      <c r="AC181" s="203"/>
      <c r="AD181" s="203"/>
      <c r="AE181" s="203"/>
      <c r="AF181" s="203">
        <f t="shared" si="66"/>
        <v>0</v>
      </c>
      <c r="AG181" s="203"/>
      <c r="AH181" s="203"/>
      <c r="AI181" s="197">
        <f t="shared" si="49"/>
        <v>0</v>
      </c>
    </row>
    <row r="182" spans="1:35" s="198" customFormat="1" ht="26.1" customHeight="1">
      <c r="A182" s="192" t="s">
        <v>764</v>
      </c>
      <c r="B182" s="192" t="s">
        <v>70</v>
      </c>
      <c r="C182" s="241" t="s">
        <v>504</v>
      </c>
      <c r="D182" s="202">
        <v>4</v>
      </c>
      <c r="E182" s="203">
        <f>SUM(H182,P182,AF182)</f>
        <v>28000</v>
      </c>
      <c r="F182" s="203"/>
      <c r="G182" s="203">
        <v>28000</v>
      </c>
      <c r="H182" s="203">
        <f t="shared" si="64"/>
        <v>15000</v>
      </c>
      <c r="I182" s="203"/>
      <c r="J182" s="203"/>
      <c r="K182" s="203"/>
      <c r="L182" s="203"/>
      <c r="M182" s="203"/>
      <c r="N182" s="203"/>
      <c r="O182" s="205">
        <v>15000</v>
      </c>
      <c r="P182" s="205">
        <f t="shared" si="65"/>
        <v>13000</v>
      </c>
      <c r="Q182" s="203"/>
      <c r="R182" s="203"/>
      <c r="S182" s="203"/>
      <c r="T182" s="203"/>
      <c r="U182" s="203"/>
      <c r="V182" s="203"/>
      <c r="W182" s="203"/>
      <c r="X182" s="203"/>
      <c r="Y182" s="203"/>
      <c r="Z182" s="203"/>
      <c r="AA182" s="203"/>
      <c r="AB182" s="203"/>
      <c r="AC182" s="203"/>
      <c r="AD182" s="203"/>
      <c r="AE182" s="203">
        <v>13000</v>
      </c>
      <c r="AF182" s="203">
        <f t="shared" si="66"/>
        <v>0</v>
      </c>
      <c r="AG182" s="203"/>
      <c r="AH182" s="203"/>
      <c r="AI182" s="197">
        <f t="shared" si="49"/>
        <v>0</v>
      </c>
    </row>
    <row r="183" spans="1:35" s="198" customFormat="1" ht="26.1" customHeight="1">
      <c r="A183" s="192" t="s">
        <v>764</v>
      </c>
      <c r="B183" s="192" t="s">
        <v>477</v>
      </c>
      <c r="C183" s="241" t="s">
        <v>230</v>
      </c>
      <c r="D183" s="202">
        <v>4</v>
      </c>
      <c r="E183" s="203">
        <f t="shared" ref="E183:E195" si="67">H183+P183+AF183</f>
        <v>4174000</v>
      </c>
      <c r="F183" s="203"/>
      <c r="G183" s="203">
        <v>4174000</v>
      </c>
      <c r="H183" s="203">
        <f t="shared" si="64"/>
        <v>4174000</v>
      </c>
      <c r="I183" s="203"/>
      <c r="J183" s="203"/>
      <c r="K183" s="203"/>
      <c r="L183" s="203">
        <v>4174000</v>
      </c>
      <c r="M183" s="203"/>
      <c r="N183" s="203"/>
      <c r="O183" s="205"/>
      <c r="P183" s="205">
        <f t="shared" si="65"/>
        <v>0</v>
      </c>
      <c r="Q183" s="203"/>
      <c r="R183" s="203"/>
      <c r="S183" s="203"/>
      <c r="T183" s="203"/>
      <c r="U183" s="203"/>
      <c r="V183" s="203"/>
      <c r="W183" s="203"/>
      <c r="X183" s="203"/>
      <c r="Y183" s="203"/>
      <c r="Z183" s="203"/>
      <c r="AA183" s="203"/>
      <c r="AB183" s="203"/>
      <c r="AC183" s="203"/>
      <c r="AD183" s="203"/>
      <c r="AE183" s="203"/>
      <c r="AF183" s="203">
        <f t="shared" si="66"/>
        <v>0</v>
      </c>
      <c r="AG183" s="203"/>
      <c r="AH183" s="203"/>
      <c r="AI183" s="197">
        <f t="shared" si="49"/>
        <v>0</v>
      </c>
    </row>
    <row r="184" spans="1:35" s="198" customFormat="1" ht="26.1" customHeight="1">
      <c r="A184" s="192" t="s">
        <v>764</v>
      </c>
      <c r="B184" s="192" t="s">
        <v>476</v>
      </c>
      <c r="C184" s="241" t="s">
        <v>223</v>
      </c>
      <c r="D184" s="202">
        <v>4</v>
      </c>
      <c r="E184" s="203">
        <f t="shared" si="67"/>
        <v>2600000</v>
      </c>
      <c r="F184" s="203">
        <v>0</v>
      </c>
      <c r="G184" s="203">
        <v>2600000</v>
      </c>
      <c r="H184" s="203">
        <f t="shared" si="64"/>
        <v>2600000</v>
      </c>
      <c r="I184" s="203"/>
      <c r="J184" s="203"/>
      <c r="K184" s="203"/>
      <c r="L184" s="203">
        <v>2600000</v>
      </c>
      <c r="M184" s="203"/>
      <c r="N184" s="203"/>
      <c r="O184" s="205"/>
      <c r="P184" s="205">
        <f t="shared" si="65"/>
        <v>0</v>
      </c>
      <c r="Q184" s="203"/>
      <c r="R184" s="203"/>
      <c r="S184" s="203"/>
      <c r="T184" s="203"/>
      <c r="U184" s="203"/>
      <c r="V184" s="203"/>
      <c r="W184" s="203"/>
      <c r="X184" s="203"/>
      <c r="Y184" s="203"/>
      <c r="Z184" s="203"/>
      <c r="AA184" s="203"/>
      <c r="AB184" s="203"/>
      <c r="AC184" s="203"/>
      <c r="AD184" s="203"/>
      <c r="AE184" s="203"/>
      <c r="AF184" s="203">
        <f t="shared" si="66"/>
        <v>0</v>
      </c>
      <c r="AG184" s="203"/>
      <c r="AH184" s="203"/>
      <c r="AI184" s="197">
        <f t="shared" si="49"/>
        <v>0</v>
      </c>
    </row>
    <row r="185" spans="1:35" s="198" customFormat="1" ht="26.1" customHeight="1">
      <c r="A185" s="192" t="s">
        <v>764</v>
      </c>
      <c r="B185" s="192" t="s">
        <v>476</v>
      </c>
      <c r="C185" s="241" t="s">
        <v>224</v>
      </c>
      <c r="D185" s="202">
        <v>4</v>
      </c>
      <c r="E185" s="203">
        <f t="shared" si="67"/>
        <v>340000</v>
      </c>
      <c r="F185" s="203">
        <v>0</v>
      </c>
      <c r="G185" s="203">
        <v>340000</v>
      </c>
      <c r="H185" s="203">
        <f t="shared" si="64"/>
        <v>0</v>
      </c>
      <c r="I185" s="203"/>
      <c r="J185" s="203"/>
      <c r="K185" s="203"/>
      <c r="L185" s="203"/>
      <c r="M185" s="203"/>
      <c r="N185" s="203"/>
      <c r="O185" s="205"/>
      <c r="P185" s="205">
        <f t="shared" si="65"/>
        <v>340000</v>
      </c>
      <c r="Q185" s="203"/>
      <c r="R185" s="203"/>
      <c r="S185" s="203"/>
      <c r="T185" s="203">
        <v>340000</v>
      </c>
      <c r="U185" s="203"/>
      <c r="V185" s="203"/>
      <c r="W185" s="203"/>
      <c r="X185" s="203"/>
      <c r="Y185" s="203"/>
      <c r="Z185" s="203"/>
      <c r="AA185" s="203"/>
      <c r="AB185" s="203"/>
      <c r="AC185" s="203"/>
      <c r="AD185" s="203"/>
      <c r="AE185" s="203"/>
      <c r="AF185" s="203">
        <f t="shared" si="66"/>
        <v>0</v>
      </c>
      <c r="AG185" s="203"/>
      <c r="AH185" s="203"/>
      <c r="AI185" s="197">
        <f t="shared" si="49"/>
        <v>0</v>
      </c>
    </row>
    <row r="186" spans="1:35" s="198" customFormat="1" ht="26.1" customHeight="1">
      <c r="A186" s="192" t="s">
        <v>764</v>
      </c>
      <c r="B186" s="192" t="s">
        <v>476</v>
      </c>
      <c r="C186" s="241" t="s">
        <v>225</v>
      </c>
      <c r="D186" s="202">
        <v>4</v>
      </c>
      <c r="E186" s="203">
        <f t="shared" si="67"/>
        <v>3536000</v>
      </c>
      <c r="F186" s="203">
        <v>0</v>
      </c>
      <c r="G186" s="203">
        <v>3536000</v>
      </c>
      <c r="H186" s="203">
        <f t="shared" si="64"/>
        <v>3536000</v>
      </c>
      <c r="I186" s="203"/>
      <c r="J186" s="203"/>
      <c r="K186" s="203"/>
      <c r="L186" s="203"/>
      <c r="M186" s="203"/>
      <c r="N186" s="203">
        <v>3536000</v>
      </c>
      <c r="O186" s="205"/>
      <c r="P186" s="205">
        <f t="shared" si="65"/>
        <v>0</v>
      </c>
      <c r="Q186" s="203"/>
      <c r="R186" s="203"/>
      <c r="S186" s="203"/>
      <c r="T186" s="203"/>
      <c r="U186" s="203"/>
      <c r="V186" s="203"/>
      <c r="W186" s="203"/>
      <c r="X186" s="203"/>
      <c r="Y186" s="203"/>
      <c r="Z186" s="203"/>
      <c r="AA186" s="203"/>
      <c r="AB186" s="203"/>
      <c r="AC186" s="203"/>
      <c r="AD186" s="203"/>
      <c r="AE186" s="203"/>
      <c r="AF186" s="203">
        <f t="shared" si="66"/>
        <v>0</v>
      </c>
      <c r="AG186" s="203"/>
      <c r="AH186" s="203"/>
      <c r="AI186" s="197">
        <f t="shared" si="49"/>
        <v>0</v>
      </c>
    </row>
    <row r="187" spans="1:35" s="198" customFormat="1" ht="26.1" customHeight="1">
      <c r="A187" s="192" t="s">
        <v>764</v>
      </c>
      <c r="B187" s="192" t="s">
        <v>476</v>
      </c>
      <c r="C187" s="241" t="s">
        <v>226</v>
      </c>
      <c r="D187" s="202">
        <v>4</v>
      </c>
      <c r="E187" s="203">
        <f t="shared" si="67"/>
        <v>140000</v>
      </c>
      <c r="F187" s="203">
        <v>0</v>
      </c>
      <c r="G187" s="203">
        <v>140000</v>
      </c>
      <c r="H187" s="203">
        <f t="shared" si="64"/>
        <v>140000</v>
      </c>
      <c r="I187" s="203"/>
      <c r="J187" s="203"/>
      <c r="K187" s="203"/>
      <c r="L187" s="203"/>
      <c r="M187" s="203">
        <v>140000</v>
      </c>
      <c r="N187" s="203"/>
      <c r="O187" s="205"/>
      <c r="P187" s="205">
        <f t="shared" si="65"/>
        <v>0</v>
      </c>
      <c r="Q187" s="203"/>
      <c r="R187" s="203"/>
      <c r="S187" s="203"/>
      <c r="T187" s="203"/>
      <c r="U187" s="203"/>
      <c r="V187" s="203"/>
      <c r="W187" s="203"/>
      <c r="X187" s="203"/>
      <c r="Y187" s="203"/>
      <c r="Z187" s="203"/>
      <c r="AA187" s="203"/>
      <c r="AB187" s="203"/>
      <c r="AC187" s="203"/>
      <c r="AD187" s="203"/>
      <c r="AE187" s="203"/>
      <c r="AF187" s="203">
        <f t="shared" si="66"/>
        <v>0</v>
      </c>
      <c r="AG187" s="203"/>
      <c r="AH187" s="203"/>
      <c r="AI187" s="197">
        <f t="shared" si="49"/>
        <v>0</v>
      </c>
    </row>
    <row r="188" spans="1:35" s="198" customFormat="1" ht="26.1" customHeight="1">
      <c r="A188" s="192" t="s">
        <v>764</v>
      </c>
      <c r="B188" s="192" t="s">
        <v>476</v>
      </c>
      <c r="C188" s="241" t="s">
        <v>227</v>
      </c>
      <c r="D188" s="202">
        <v>4</v>
      </c>
      <c r="E188" s="203">
        <f t="shared" si="67"/>
        <v>918000</v>
      </c>
      <c r="F188" s="203">
        <v>0</v>
      </c>
      <c r="G188" s="203">
        <v>918000</v>
      </c>
      <c r="H188" s="203">
        <f t="shared" si="64"/>
        <v>918000</v>
      </c>
      <c r="I188" s="203"/>
      <c r="J188" s="203"/>
      <c r="K188" s="203"/>
      <c r="L188" s="203"/>
      <c r="M188" s="203"/>
      <c r="N188" s="203">
        <v>918000</v>
      </c>
      <c r="O188" s="205"/>
      <c r="P188" s="205">
        <f t="shared" si="65"/>
        <v>0</v>
      </c>
      <c r="Q188" s="203"/>
      <c r="R188" s="203"/>
      <c r="S188" s="203"/>
      <c r="T188" s="203"/>
      <c r="U188" s="203"/>
      <c r="V188" s="203"/>
      <c r="W188" s="203"/>
      <c r="X188" s="203"/>
      <c r="Y188" s="203"/>
      <c r="Z188" s="203"/>
      <c r="AA188" s="203"/>
      <c r="AB188" s="203"/>
      <c r="AC188" s="203"/>
      <c r="AD188" s="203"/>
      <c r="AE188" s="203"/>
      <c r="AF188" s="203">
        <f t="shared" si="66"/>
        <v>0</v>
      </c>
      <c r="AG188" s="203"/>
      <c r="AH188" s="203"/>
      <c r="AI188" s="197">
        <f t="shared" si="49"/>
        <v>0</v>
      </c>
    </row>
    <row r="189" spans="1:35" s="198" customFormat="1" ht="26.1" customHeight="1">
      <c r="A189" s="192" t="s">
        <v>764</v>
      </c>
      <c r="B189" s="192" t="s">
        <v>476</v>
      </c>
      <c r="C189" s="241" t="s">
        <v>228</v>
      </c>
      <c r="D189" s="202">
        <v>4</v>
      </c>
      <c r="E189" s="203">
        <f t="shared" si="67"/>
        <v>1000000</v>
      </c>
      <c r="F189" s="203">
        <v>0</v>
      </c>
      <c r="G189" s="203">
        <v>1000000</v>
      </c>
      <c r="H189" s="203">
        <f t="shared" si="64"/>
        <v>1000000</v>
      </c>
      <c r="I189" s="203"/>
      <c r="J189" s="203"/>
      <c r="K189" s="203"/>
      <c r="L189" s="203"/>
      <c r="M189" s="203"/>
      <c r="N189" s="203">
        <v>1000000</v>
      </c>
      <c r="O189" s="205"/>
      <c r="P189" s="205">
        <f t="shared" si="65"/>
        <v>0</v>
      </c>
      <c r="Q189" s="203"/>
      <c r="R189" s="203"/>
      <c r="S189" s="203"/>
      <c r="T189" s="203"/>
      <c r="U189" s="203"/>
      <c r="V189" s="203"/>
      <c r="W189" s="203"/>
      <c r="X189" s="203"/>
      <c r="Y189" s="203"/>
      <c r="Z189" s="203"/>
      <c r="AA189" s="203"/>
      <c r="AB189" s="203"/>
      <c r="AC189" s="203"/>
      <c r="AD189" s="203"/>
      <c r="AE189" s="203"/>
      <c r="AF189" s="203">
        <f t="shared" si="66"/>
        <v>0</v>
      </c>
      <c r="AG189" s="203"/>
      <c r="AH189" s="203"/>
      <c r="AI189" s="197">
        <f t="shared" si="49"/>
        <v>0</v>
      </c>
    </row>
    <row r="190" spans="1:35" s="198" customFormat="1" ht="26.1" customHeight="1">
      <c r="A190" s="192" t="s">
        <v>764</v>
      </c>
      <c r="B190" s="192" t="s">
        <v>476</v>
      </c>
      <c r="C190" s="241" t="s">
        <v>229</v>
      </c>
      <c r="D190" s="202">
        <v>4</v>
      </c>
      <c r="E190" s="203">
        <f t="shared" si="67"/>
        <v>400000</v>
      </c>
      <c r="F190" s="203">
        <v>0</v>
      </c>
      <c r="G190" s="203">
        <v>400000</v>
      </c>
      <c r="H190" s="203">
        <f t="shared" si="64"/>
        <v>400000</v>
      </c>
      <c r="I190" s="203"/>
      <c r="J190" s="203">
        <v>383200</v>
      </c>
      <c r="K190" s="203">
        <v>16800</v>
      </c>
      <c r="L190" s="203"/>
      <c r="M190" s="203"/>
      <c r="N190" s="203"/>
      <c r="O190" s="205"/>
      <c r="P190" s="205">
        <f t="shared" si="65"/>
        <v>0</v>
      </c>
      <c r="Q190" s="203"/>
      <c r="R190" s="203"/>
      <c r="S190" s="203"/>
      <c r="T190" s="203"/>
      <c r="U190" s="203"/>
      <c r="V190" s="203"/>
      <c r="W190" s="203"/>
      <c r="X190" s="203"/>
      <c r="Y190" s="203"/>
      <c r="Z190" s="203"/>
      <c r="AA190" s="203"/>
      <c r="AB190" s="203"/>
      <c r="AC190" s="203"/>
      <c r="AD190" s="203"/>
      <c r="AE190" s="203"/>
      <c r="AF190" s="203">
        <f t="shared" si="66"/>
        <v>0</v>
      </c>
      <c r="AG190" s="203"/>
      <c r="AH190" s="203"/>
      <c r="AI190" s="197">
        <f t="shared" si="49"/>
        <v>0</v>
      </c>
    </row>
    <row r="191" spans="1:35" s="198" customFormat="1" ht="26.1" customHeight="1">
      <c r="A191" s="192" t="s">
        <v>764</v>
      </c>
      <c r="B191" s="192" t="s">
        <v>234</v>
      </c>
      <c r="C191" s="241" t="s">
        <v>231</v>
      </c>
      <c r="D191" s="202">
        <v>4</v>
      </c>
      <c r="E191" s="203">
        <f t="shared" si="67"/>
        <v>500000</v>
      </c>
      <c r="F191" s="203"/>
      <c r="G191" s="203">
        <v>500000</v>
      </c>
      <c r="H191" s="203">
        <f t="shared" si="64"/>
        <v>0</v>
      </c>
      <c r="I191" s="203"/>
      <c r="J191" s="203"/>
      <c r="K191" s="203"/>
      <c r="L191" s="203"/>
      <c r="M191" s="203"/>
      <c r="N191" s="203"/>
      <c r="O191" s="205">
        <v>0</v>
      </c>
      <c r="P191" s="205">
        <f t="shared" si="65"/>
        <v>0</v>
      </c>
      <c r="Q191" s="203"/>
      <c r="R191" s="203"/>
      <c r="S191" s="203"/>
      <c r="T191" s="203"/>
      <c r="U191" s="203"/>
      <c r="V191" s="203"/>
      <c r="W191" s="203"/>
      <c r="X191" s="203"/>
      <c r="Y191" s="203"/>
      <c r="Z191" s="203"/>
      <c r="AA191" s="203"/>
      <c r="AB191" s="203"/>
      <c r="AC191" s="203"/>
      <c r="AD191" s="203"/>
      <c r="AE191" s="203"/>
      <c r="AF191" s="203">
        <f t="shared" si="66"/>
        <v>500000</v>
      </c>
      <c r="AG191" s="203">
        <v>500000</v>
      </c>
      <c r="AH191" s="203"/>
      <c r="AI191" s="197">
        <f t="shared" si="49"/>
        <v>0</v>
      </c>
    </row>
    <row r="192" spans="1:35" s="198" customFormat="1" ht="26.1" customHeight="1">
      <c r="A192" s="192" t="s">
        <v>764</v>
      </c>
      <c r="B192" s="192" t="s">
        <v>234</v>
      </c>
      <c r="C192" s="241" t="s">
        <v>232</v>
      </c>
      <c r="D192" s="202">
        <v>4</v>
      </c>
      <c r="E192" s="203">
        <f t="shared" si="67"/>
        <v>450000</v>
      </c>
      <c r="F192" s="203"/>
      <c r="G192" s="203">
        <v>450000</v>
      </c>
      <c r="H192" s="203">
        <f t="shared" si="64"/>
        <v>0</v>
      </c>
      <c r="I192" s="203"/>
      <c r="J192" s="203"/>
      <c r="K192" s="203"/>
      <c r="L192" s="203"/>
      <c r="M192" s="203"/>
      <c r="N192" s="203"/>
      <c r="O192" s="205">
        <v>0</v>
      </c>
      <c r="P192" s="205">
        <f t="shared" si="65"/>
        <v>0</v>
      </c>
      <c r="Q192" s="203"/>
      <c r="R192" s="203"/>
      <c r="S192" s="203"/>
      <c r="T192" s="203"/>
      <c r="U192" s="203"/>
      <c r="V192" s="203"/>
      <c r="W192" s="203"/>
      <c r="X192" s="203"/>
      <c r="Y192" s="203"/>
      <c r="Z192" s="203"/>
      <c r="AA192" s="203"/>
      <c r="AB192" s="203"/>
      <c r="AC192" s="203"/>
      <c r="AD192" s="203"/>
      <c r="AE192" s="203"/>
      <c r="AF192" s="203">
        <f t="shared" si="66"/>
        <v>450000</v>
      </c>
      <c r="AG192" s="203"/>
      <c r="AH192" s="203">
        <v>450000</v>
      </c>
      <c r="AI192" s="197">
        <f t="shared" si="49"/>
        <v>0</v>
      </c>
    </row>
    <row r="193" spans="1:35" s="198" customFormat="1" ht="26.1" customHeight="1">
      <c r="A193" s="192" t="s">
        <v>764</v>
      </c>
      <c r="B193" s="192" t="s">
        <v>234</v>
      </c>
      <c r="C193" s="241" t="s">
        <v>233</v>
      </c>
      <c r="D193" s="202">
        <v>4</v>
      </c>
      <c r="E193" s="203">
        <f t="shared" si="67"/>
        <v>230000</v>
      </c>
      <c r="F193" s="203"/>
      <c r="G193" s="203">
        <v>230000</v>
      </c>
      <c r="H193" s="203">
        <f t="shared" si="64"/>
        <v>0</v>
      </c>
      <c r="I193" s="203"/>
      <c r="J193" s="203"/>
      <c r="K193" s="203"/>
      <c r="L193" s="203"/>
      <c r="M193" s="203"/>
      <c r="N193" s="203"/>
      <c r="O193" s="205"/>
      <c r="P193" s="205">
        <f t="shared" si="65"/>
        <v>230000</v>
      </c>
      <c r="Q193" s="203"/>
      <c r="R193" s="203"/>
      <c r="S193" s="203"/>
      <c r="T193" s="203"/>
      <c r="U193" s="203"/>
      <c r="V193" s="203"/>
      <c r="W193" s="203"/>
      <c r="X193" s="203"/>
      <c r="Y193" s="203"/>
      <c r="Z193" s="203"/>
      <c r="AA193" s="203">
        <v>230000</v>
      </c>
      <c r="AB193" s="203"/>
      <c r="AC193" s="203"/>
      <c r="AD193" s="203"/>
      <c r="AE193" s="203"/>
      <c r="AF193" s="203">
        <f t="shared" si="66"/>
        <v>0</v>
      </c>
      <c r="AG193" s="203"/>
      <c r="AH193" s="203"/>
      <c r="AI193" s="197">
        <f t="shared" si="49"/>
        <v>0</v>
      </c>
    </row>
    <row r="194" spans="1:35" s="198" customFormat="1" ht="26.1" customHeight="1">
      <c r="A194" s="192" t="s">
        <v>764</v>
      </c>
      <c r="B194" s="192" t="s">
        <v>234</v>
      </c>
      <c r="C194" s="241" t="s">
        <v>505</v>
      </c>
      <c r="D194" s="202">
        <v>4</v>
      </c>
      <c r="E194" s="203">
        <f t="shared" si="67"/>
        <v>14185</v>
      </c>
      <c r="F194" s="203">
        <v>14185</v>
      </c>
      <c r="G194" s="203"/>
      <c r="H194" s="203"/>
      <c r="I194" s="203"/>
      <c r="J194" s="203"/>
      <c r="K194" s="203"/>
      <c r="L194" s="203"/>
      <c r="M194" s="203"/>
      <c r="N194" s="203"/>
      <c r="O194" s="205">
        <v>0</v>
      </c>
      <c r="P194" s="205">
        <f t="shared" si="65"/>
        <v>0</v>
      </c>
      <c r="Q194" s="203"/>
      <c r="R194" s="203"/>
      <c r="S194" s="203"/>
      <c r="T194" s="203"/>
      <c r="U194" s="203"/>
      <c r="V194" s="203"/>
      <c r="W194" s="203"/>
      <c r="X194" s="203"/>
      <c r="Y194" s="203"/>
      <c r="Z194" s="203"/>
      <c r="AA194" s="203"/>
      <c r="AB194" s="203"/>
      <c r="AC194" s="203"/>
      <c r="AD194" s="203"/>
      <c r="AE194" s="203"/>
      <c r="AF194" s="203">
        <f t="shared" si="66"/>
        <v>14185</v>
      </c>
      <c r="AG194" s="203"/>
      <c r="AH194" s="203">
        <v>14185</v>
      </c>
      <c r="AI194" s="197">
        <f t="shared" si="49"/>
        <v>0</v>
      </c>
    </row>
    <row r="195" spans="1:35" s="198" customFormat="1" ht="26.1" customHeight="1">
      <c r="A195" s="192" t="s">
        <v>764</v>
      </c>
      <c r="B195" s="192" t="s">
        <v>478</v>
      </c>
      <c r="C195" s="241" t="s">
        <v>698</v>
      </c>
      <c r="D195" s="202">
        <v>4</v>
      </c>
      <c r="E195" s="213">
        <f t="shared" si="67"/>
        <v>1450000</v>
      </c>
      <c r="F195" s="203">
        <v>0</v>
      </c>
      <c r="G195" s="203">
        <v>1450000</v>
      </c>
      <c r="H195" s="277">
        <f>SUM(I195:O195)</f>
        <v>0</v>
      </c>
      <c r="I195" s="203"/>
      <c r="J195" s="203"/>
      <c r="K195" s="203"/>
      <c r="L195" s="203"/>
      <c r="M195" s="203"/>
      <c r="N195" s="203"/>
      <c r="O195" s="205"/>
      <c r="P195" s="215">
        <f t="shared" si="65"/>
        <v>1450000</v>
      </c>
      <c r="Q195" s="203"/>
      <c r="R195" s="203"/>
      <c r="S195" s="203"/>
      <c r="T195" s="203"/>
      <c r="U195" s="203"/>
      <c r="V195" s="203"/>
      <c r="W195" s="203"/>
      <c r="X195" s="203"/>
      <c r="Y195" s="203"/>
      <c r="Z195" s="203"/>
      <c r="AA195" s="203"/>
      <c r="AB195" s="203"/>
      <c r="AC195" s="203"/>
      <c r="AD195" s="203"/>
      <c r="AE195" s="203">
        <v>1450000</v>
      </c>
      <c r="AF195" s="277">
        <f t="shared" si="66"/>
        <v>0</v>
      </c>
      <c r="AG195" s="203"/>
      <c r="AH195" s="203"/>
      <c r="AI195" s="197">
        <f t="shared" si="49"/>
        <v>0</v>
      </c>
    </row>
    <row r="196" spans="1:35" s="198" customFormat="1" ht="26.1" customHeight="1">
      <c r="A196" s="192"/>
      <c r="B196" s="192"/>
      <c r="C196" s="241"/>
      <c r="D196" s="202"/>
      <c r="E196" s="213">
        <f t="shared" ref="E196:AH196" si="68">SUM(E197:E199)</f>
        <v>9600088</v>
      </c>
      <c r="F196" s="203">
        <f t="shared" si="68"/>
        <v>1221693</v>
      </c>
      <c r="G196" s="203">
        <f t="shared" si="68"/>
        <v>8378395</v>
      </c>
      <c r="H196" s="213">
        <f t="shared" si="68"/>
        <v>3924581</v>
      </c>
      <c r="I196" s="203">
        <f t="shared" si="68"/>
        <v>159252</v>
      </c>
      <c r="J196" s="203">
        <f t="shared" si="68"/>
        <v>280797</v>
      </c>
      <c r="K196" s="203">
        <f t="shared" si="68"/>
        <v>625142</v>
      </c>
      <c r="L196" s="203">
        <f t="shared" si="68"/>
        <v>1750738</v>
      </c>
      <c r="M196" s="203">
        <f t="shared" si="68"/>
        <v>254517</v>
      </c>
      <c r="N196" s="203">
        <f t="shared" si="68"/>
        <v>428793</v>
      </c>
      <c r="O196" s="203">
        <f t="shared" si="68"/>
        <v>425342</v>
      </c>
      <c r="P196" s="213">
        <f t="shared" si="68"/>
        <v>4884991</v>
      </c>
      <c r="Q196" s="203">
        <f t="shared" si="68"/>
        <v>136734</v>
      </c>
      <c r="R196" s="203">
        <f t="shared" si="68"/>
        <v>160534</v>
      </c>
      <c r="S196" s="203">
        <f t="shared" si="68"/>
        <v>934008</v>
      </c>
      <c r="T196" s="203">
        <f t="shared" si="68"/>
        <v>1394276</v>
      </c>
      <c r="U196" s="203">
        <f t="shared" si="68"/>
        <v>543882</v>
      </c>
      <c r="V196" s="203">
        <f t="shared" si="68"/>
        <v>156174</v>
      </c>
      <c r="W196" s="203">
        <f t="shared" si="68"/>
        <v>144698</v>
      </c>
      <c r="X196" s="203">
        <f t="shared" si="68"/>
        <v>97278</v>
      </c>
      <c r="Y196" s="203">
        <f t="shared" si="68"/>
        <v>80910</v>
      </c>
      <c r="Z196" s="203">
        <f t="shared" si="68"/>
        <v>298915</v>
      </c>
      <c r="AA196" s="203">
        <f t="shared" si="68"/>
        <v>177815</v>
      </c>
      <c r="AB196" s="203">
        <f t="shared" si="68"/>
        <v>55990</v>
      </c>
      <c r="AC196" s="203">
        <f t="shared" si="68"/>
        <v>79129</v>
      </c>
      <c r="AD196" s="203">
        <f t="shared" si="68"/>
        <v>55990</v>
      </c>
      <c r="AE196" s="203">
        <f t="shared" si="68"/>
        <v>568658</v>
      </c>
      <c r="AF196" s="213">
        <f t="shared" si="68"/>
        <v>790516</v>
      </c>
      <c r="AG196" s="203">
        <f t="shared" si="68"/>
        <v>728258</v>
      </c>
      <c r="AH196" s="203">
        <f t="shared" si="68"/>
        <v>62258</v>
      </c>
      <c r="AI196" s="197">
        <f t="shared" si="49"/>
        <v>0</v>
      </c>
    </row>
    <row r="197" spans="1:35" s="198" customFormat="1" ht="26.1" customHeight="1">
      <c r="A197" s="192" t="s">
        <v>764</v>
      </c>
      <c r="B197" s="192" t="s">
        <v>79</v>
      </c>
      <c r="C197" s="241" t="s">
        <v>235</v>
      </c>
      <c r="D197" s="202">
        <v>4</v>
      </c>
      <c r="E197" s="203">
        <f>H197+P197+AF197</f>
        <v>2841783</v>
      </c>
      <c r="F197" s="203">
        <v>1221693</v>
      </c>
      <c r="G197" s="203">
        <v>1620090</v>
      </c>
      <c r="H197" s="203">
        <f>SUM(I197:O197)</f>
        <v>1783399</v>
      </c>
      <c r="I197" s="203">
        <v>159252</v>
      </c>
      <c r="J197" s="203">
        <v>159252</v>
      </c>
      <c r="K197" s="203">
        <v>159252</v>
      </c>
      <c r="L197" s="203">
        <v>787139</v>
      </c>
      <c r="M197" s="203">
        <v>159252</v>
      </c>
      <c r="N197" s="203">
        <v>159252</v>
      </c>
      <c r="O197" s="205">
        <v>200000</v>
      </c>
      <c r="P197" s="205">
        <f>SUM(Q197:AE197)</f>
        <v>933868</v>
      </c>
      <c r="Q197" s="203">
        <v>55998</v>
      </c>
      <c r="R197" s="203">
        <v>55990</v>
      </c>
      <c r="S197" s="203">
        <v>55990</v>
      </c>
      <c r="T197" s="203">
        <v>55990</v>
      </c>
      <c r="U197" s="203">
        <v>55990</v>
      </c>
      <c r="V197" s="203">
        <v>55990</v>
      </c>
      <c r="W197" s="203">
        <v>55990</v>
      </c>
      <c r="X197" s="203">
        <v>55990</v>
      </c>
      <c r="Y197" s="203">
        <v>55990</v>
      </c>
      <c r="Z197" s="203">
        <v>55990</v>
      </c>
      <c r="AA197" s="203">
        <v>55990</v>
      </c>
      <c r="AB197" s="203">
        <v>55990</v>
      </c>
      <c r="AC197" s="203">
        <v>55990</v>
      </c>
      <c r="AD197" s="203">
        <v>55990</v>
      </c>
      <c r="AE197" s="203">
        <v>150000</v>
      </c>
      <c r="AF197" s="203">
        <f>SUM(AG197:AH197)</f>
        <v>124516</v>
      </c>
      <c r="AG197" s="203">
        <v>62258</v>
      </c>
      <c r="AH197" s="203">
        <v>62258</v>
      </c>
      <c r="AI197" s="197">
        <f t="shared" si="49"/>
        <v>0</v>
      </c>
    </row>
    <row r="198" spans="1:35" s="198" customFormat="1" ht="26.1" customHeight="1">
      <c r="A198" s="192" t="s">
        <v>764</v>
      </c>
      <c r="B198" s="192" t="s">
        <v>79</v>
      </c>
      <c r="C198" s="241" t="s">
        <v>616</v>
      </c>
      <c r="D198" s="202">
        <v>4</v>
      </c>
      <c r="E198" s="203">
        <f>H198+P198+AF198</f>
        <v>6092305</v>
      </c>
      <c r="F198" s="203"/>
      <c r="G198" s="203">
        <v>6092305</v>
      </c>
      <c r="H198" s="203">
        <f>SUM(I198:O198)</f>
        <v>2141182</v>
      </c>
      <c r="I198" s="203"/>
      <c r="J198" s="203">
        <v>121545</v>
      </c>
      <c r="K198" s="203">
        <v>465890</v>
      </c>
      <c r="L198" s="203">
        <v>963599</v>
      </c>
      <c r="M198" s="203">
        <v>95265</v>
      </c>
      <c r="N198" s="203">
        <v>269541</v>
      </c>
      <c r="O198" s="205">
        <v>225342</v>
      </c>
      <c r="P198" s="205">
        <f>SUM(Q198:AE198)</f>
        <v>3951123</v>
      </c>
      <c r="Q198" s="203">
        <v>80736</v>
      </c>
      <c r="R198" s="203">
        <v>104544</v>
      </c>
      <c r="S198" s="203">
        <v>878018</v>
      </c>
      <c r="T198" s="203">
        <v>1338286</v>
      </c>
      <c r="U198" s="203">
        <v>487892</v>
      </c>
      <c r="V198" s="203">
        <v>100184</v>
      </c>
      <c r="W198" s="203">
        <v>88708</v>
      </c>
      <c r="X198" s="203">
        <v>41288</v>
      </c>
      <c r="Y198" s="203">
        <v>24920</v>
      </c>
      <c r="Z198" s="203">
        <v>242925</v>
      </c>
      <c r="AA198" s="203">
        <v>121825</v>
      </c>
      <c r="AB198" s="203"/>
      <c r="AC198" s="203">
        <v>23139</v>
      </c>
      <c r="AD198" s="203"/>
      <c r="AE198" s="203">
        <v>418658</v>
      </c>
      <c r="AF198" s="203">
        <f>SUM(AG198:AH198)</f>
        <v>0</v>
      </c>
      <c r="AG198" s="203"/>
      <c r="AH198" s="203"/>
      <c r="AI198" s="197">
        <f t="shared" ref="AI198:AI261" si="69">IF(+F198+G198=E198,0,FALSE)</f>
        <v>0</v>
      </c>
    </row>
    <row r="199" spans="1:35" s="198" customFormat="1" ht="26.1" customHeight="1">
      <c r="A199" s="192" t="s">
        <v>764</v>
      </c>
      <c r="B199" s="192" t="s">
        <v>79</v>
      </c>
      <c r="C199" s="241" t="s">
        <v>236</v>
      </c>
      <c r="D199" s="202">
        <v>4</v>
      </c>
      <c r="E199" s="203">
        <f>H199+P199+AF199</f>
        <v>666000</v>
      </c>
      <c r="F199" s="203"/>
      <c r="G199" s="203">
        <v>666000</v>
      </c>
      <c r="H199" s="203">
        <f>SUM(I199:O199)</f>
        <v>0</v>
      </c>
      <c r="I199" s="203"/>
      <c r="J199" s="203"/>
      <c r="K199" s="203"/>
      <c r="L199" s="203"/>
      <c r="M199" s="203"/>
      <c r="N199" s="203"/>
      <c r="O199" s="205"/>
      <c r="P199" s="205">
        <f>SUM(Q199:AE199)</f>
        <v>0</v>
      </c>
      <c r="Q199" s="203"/>
      <c r="R199" s="203"/>
      <c r="S199" s="203"/>
      <c r="T199" s="203"/>
      <c r="U199" s="203"/>
      <c r="V199" s="203"/>
      <c r="W199" s="203"/>
      <c r="X199" s="203"/>
      <c r="Y199" s="203"/>
      <c r="Z199" s="203"/>
      <c r="AA199" s="203"/>
      <c r="AB199" s="203"/>
      <c r="AC199" s="203"/>
      <c r="AD199" s="203"/>
      <c r="AE199" s="203"/>
      <c r="AF199" s="203">
        <f>SUM(AG199:AH199)</f>
        <v>666000</v>
      </c>
      <c r="AG199" s="203">
        <v>666000</v>
      </c>
      <c r="AH199" s="203"/>
      <c r="AI199" s="197">
        <f t="shared" si="69"/>
        <v>0</v>
      </c>
    </row>
    <row r="200" spans="1:35" s="198" customFormat="1" ht="26.1" customHeight="1">
      <c r="A200" s="192"/>
      <c r="B200" s="192"/>
      <c r="C200" s="241"/>
      <c r="D200" s="202"/>
      <c r="E200" s="207">
        <f t="shared" ref="E200:AH200" si="70">E201+E222+E237+E243+E252+E267</f>
        <v>2652903</v>
      </c>
      <c r="F200" s="207">
        <f t="shared" si="70"/>
        <v>668402</v>
      </c>
      <c r="G200" s="207">
        <f t="shared" si="70"/>
        <v>1984501</v>
      </c>
      <c r="H200" s="207">
        <f t="shared" si="70"/>
        <v>705332</v>
      </c>
      <c r="I200" s="207">
        <f t="shared" si="70"/>
        <v>310</v>
      </c>
      <c r="J200" s="207">
        <f t="shared" si="70"/>
        <v>36553</v>
      </c>
      <c r="K200" s="207">
        <f t="shared" si="70"/>
        <v>59695</v>
      </c>
      <c r="L200" s="207">
        <f t="shared" si="70"/>
        <v>128632</v>
      </c>
      <c r="M200" s="207">
        <f t="shared" si="70"/>
        <v>88167</v>
      </c>
      <c r="N200" s="207">
        <f t="shared" si="70"/>
        <v>96794</v>
      </c>
      <c r="O200" s="207">
        <f t="shared" si="70"/>
        <v>295181</v>
      </c>
      <c r="P200" s="207">
        <f t="shared" si="70"/>
        <v>1876576</v>
      </c>
      <c r="Q200" s="207">
        <f t="shared" si="70"/>
        <v>50156</v>
      </c>
      <c r="R200" s="207">
        <f t="shared" si="70"/>
        <v>27738</v>
      </c>
      <c r="S200" s="207">
        <f t="shared" si="70"/>
        <v>98213</v>
      </c>
      <c r="T200" s="207">
        <f t="shared" si="70"/>
        <v>74881</v>
      </c>
      <c r="U200" s="207">
        <f t="shared" si="70"/>
        <v>27697</v>
      </c>
      <c r="V200" s="207">
        <f t="shared" si="70"/>
        <v>155353</v>
      </c>
      <c r="W200" s="207">
        <f t="shared" si="70"/>
        <v>70324</v>
      </c>
      <c r="X200" s="207">
        <f t="shared" si="70"/>
        <v>72716</v>
      </c>
      <c r="Y200" s="207">
        <f t="shared" si="70"/>
        <v>45514</v>
      </c>
      <c r="Z200" s="207">
        <f t="shared" si="70"/>
        <v>48638</v>
      </c>
      <c r="AA200" s="207">
        <f t="shared" si="70"/>
        <v>40615</v>
      </c>
      <c r="AB200" s="207">
        <f t="shared" si="70"/>
        <v>16895</v>
      </c>
      <c r="AC200" s="207">
        <f t="shared" si="70"/>
        <v>31869</v>
      </c>
      <c r="AD200" s="207">
        <f t="shared" si="70"/>
        <v>36508</v>
      </c>
      <c r="AE200" s="207">
        <f t="shared" si="70"/>
        <v>1079459</v>
      </c>
      <c r="AF200" s="207">
        <f t="shared" si="70"/>
        <v>70995</v>
      </c>
      <c r="AG200" s="207">
        <f t="shared" si="70"/>
        <v>48590</v>
      </c>
      <c r="AH200" s="207">
        <f t="shared" si="70"/>
        <v>22405</v>
      </c>
      <c r="AI200" s="197">
        <f t="shared" si="69"/>
        <v>0</v>
      </c>
    </row>
    <row r="201" spans="1:35" s="198" customFormat="1" ht="26.1" customHeight="1">
      <c r="A201" s="127"/>
      <c r="B201" s="127"/>
      <c r="C201" s="109"/>
      <c r="D201" s="101"/>
      <c r="E201" s="278">
        <f t="shared" ref="E201:AH201" si="71">SUM(E202:E221)</f>
        <v>1595846</v>
      </c>
      <c r="F201" s="102">
        <f t="shared" si="71"/>
        <v>149276</v>
      </c>
      <c r="G201" s="102">
        <f t="shared" si="71"/>
        <v>1446570</v>
      </c>
      <c r="H201" s="278">
        <f t="shared" si="71"/>
        <v>398552</v>
      </c>
      <c r="I201" s="102">
        <f t="shared" si="71"/>
        <v>310</v>
      </c>
      <c r="J201" s="102">
        <f t="shared" si="71"/>
        <v>5184</v>
      </c>
      <c r="K201" s="102">
        <f t="shared" si="71"/>
        <v>36647</v>
      </c>
      <c r="L201" s="102">
        <f t="shared" si="71"/>
        <v>10083</v>
      </c>
      <c r="M201" s="102">
        <f t="shared" si="71"/>
        <v>38852</v>
      </c>
      <c r="N201" s="102">
        <f t="shared" si="71"/>
        <v>52772</v>
      </c>
      <c r="O201" s="102">
        <f t="shared" si="71"/>
        <v>254704</v>
      </c>
      <c r="P201" s="278">
        <f t="shared" si="71"/>
        <v>1190618</v>
      </c>
      <c r="Q201" s="102">
        <f t="shared" si="71"/>
        <v>8470</v>
      </c>
      <c r="R201" s="102">
        <f t="shared" si="71"/>
        <v>7903</v>
      </c>
      <c r="S201" s="102">
        <f t="shared" si="71"/>
        <v>30476</v>
      </c>
      <c r="T201" s="102">
        <f t="shared" si="71"/>
        <v>16973</v>
      </c>
      <c r="U201" s="102">
        <f t="shared" si="71"/>
        <v>8105</v>
      </c>
      <c r="V201" s="102">
        <f t="shared" si="71"/>
        <v>86924</v>
      </c>
      <c r="W201" s="102">
        <f t="shared" si="71"/>
        <v>20041</v>
      </c>
      <c r="X201" s="102">
        <f t="shared" si="71"/>
        <v>15476</v>
      </c>
      <c r="Y201" s="102">
        <f t="shared" si="71"/>
        <v>10938</v>
      </c>
      <c r="Z201" s="102">
        <f t="shared" si="71"/>
        <v>7063</v>
      </c>
      <c r="AA201" s="102">
        <f t="shared" si="71"/>
        <v>3423</v>
      </c>
      <c r="AB201" s="102">
        <f t="shared" si="71"/>
        <v>4335</v>
      </c>
      <c r="AC201" s="102">
        <f t="shared" si="71"/>
        <v>21146</v>
      </c>
      <c r="AD201" s="102">
        <f t="shared" si="71"/>
        <v>30469</v>
      </c>
      <c r="AE201" s="102">
        <f t="shared" si="71"/>
        <v>918876</v>
      </c>
      <c r="AF201" s="278">
        <f t="shared" si="71"/>
        <v>6676</v>
      </c>
      <c r="AG201" s="102">
        <f t="shared" si="71"/>
        <v>2054</v>
      </c>
      <c r="AH201" s="102">
        <f t="shared" si="71"/>
        <v>4622</v>
      </c>
      <c r="AI201" s="197">
        <f t="shared" si="69"/>
        <v>0</v>
      </c>
    </row>
    <row r="202" spans="1:35" s="198" customFormat="1" ht="26.1" customHeight="1">
      <c r="A202" s="126" t="s">
        <v>765</v>
      </c>
      <c r="B202" s="65" t="s">
        <v>472</v>
      </c>
      <c r="C202" s="109" t="s">
        <v>392</v>
      </c>
      <c r="D202" s="101">
        <v>4</v>
      </c>
      <c r="E202" s="102">
        <f t="shared" ref="E202:E221" si="72">SUM(H202,P202,AF202)</f>
        <v>4886</v>
      </c>
      <c r="F202" s="102">
        <v>4886</v>
      </c>
      <c r="G202" s="102">
        <v>0</v>
      </c>
      <c r="H202" s="102">
        <f t="shared" ref="H202:H221" si="73">SUM(I202:O202)</f>
        <v>1712</v>
      </c>
      <c r="I202" s="102">
        <v>0</v>
      </c>
      <c r="J202" s="102">
        <v>0</v>
      </c>
      <c r="K202" s="102">
        <v>216</v>
      </c>
      <c r="L202" s="102">
        <v>264</v>
      </c>
      <c r="M202" s="102">
        <v>687</v>
      </c>
      <c r="N202" s="102">
        <v>545</v>
      </c>
      <c r="O202" s="103">
        <v>0</v>
      </c>
      <c r="P202" s="107">
        <f t="shared" ref="P202:P221" si="74">SUM(Q202:AE202)</f>
        <v>3038</v>
      </c>
      <c r="Q202" s="102">
        <v>506</v>
      </c>
      <c r="R202" s="102">
        <v>315</v>
      </c>
      <c r="S202" s="102">
        <v>200</v>
      </c>
      <c r="T202" s="102">
        <v>224</v>
      </c>
      <c r="U202" s="102">
        <v>254</v>
      </c>
      <c r="V202" s="102">
        <v>320</v>
      </c>
      <c r="W202" s="102">
        <v>192</v>
      </c>
      <c r="X202" s="102">
        <v>344</v>
      </c>
      <c r="Y202" s="102">
        <v>283</v>
      </c>
      <c r="Z202" s="102">
        <v>211</v>
      </c>
      <c r="AA202" s="102">
        <v>104</v>
      </c>
      <c r="AB202" s="102">
        <v>30</v>
      </c>
      <c r="AC202" s="102">
        <v>25</v>
      </c>
      <c r="AD202" s="102">
        <v>30</v>
      </c>
      <c r="AE202" s="102">
        <v>0</v>
      </c>
      <c r="AF202" s="104">
        <f t="shared" ref="AF202:AF221" si="75">SUM(AG202:AH202)</f>
        <v>136</v>
      </c>
      <c r="AG202" s="102">
        <v>80</v>
      </c>
      <c r="AH202" s="102">
        <v>56</v>
      </c>
      <c r="AI202" s="197">
        <f t="shared" si="69"/>
        <v>0</v>
      </c>
    </row>
    <row r="203" spans="1:35" s="198" customFormat="1" ht="26.1" customHeight="1">
      <c r="A203" s="126" t="s">
        <v>765</v>
      </c>
      <c r="B203" s="65" t="s">
        <v>472</v>
      </c>
      <c r="C203" s="109" t="s">
        <v>393</v>
      </c>
      <c r="D203" s="101">
        <v>4</v>
      </c>
      <c r="E203" s="102">
        <f t="shared" si="72"/>
        <v>1261</v>
      </c>
      <c r="F203" s="102">
        <v>1261</v>
      </c>
      <c r="G203" s="102">
        <v>0</v>
      </c>
      <c r="H203" s="102">
        <f t="shared" si="73"/>
        <v>445</v>
      </c>
      <c r="I203" s="102">
        <v>10</v>
      </c>
      <c r="J203" s="102">
        <v>45</v>
      </c>
      <c r="K203" s="102">
        <v>55</v>
      </c>
      <c r="L203" s="102">
        <v>110</v>
      </c>
      <c r="M203" s="102">
        <v>140</v>
      </c>
      <c r="N203" s="102">
        <v>85</v>
      </c>
      <c r="O203" s="103">
        <v>0</v>
      </c>
      <c r="P203" s="107">
        <f t="shared" si="74"/>
        <v>806</v>
      </c>
      <c r="Q203" s="102">
        <v>35</v>
      </c>
      <c r="R203" s="102">
        <v>35</v>
      </c>
      <c r="S203" s="102">
        <v>70</v>
      </c>
      <c r="T203" s="102">
        <v>140</v>
      </c>
      <c r="U203" s="102">
        <v>100</v>
      </c>
      <c r="V203" s="102">
        <v>85</v>
      </c>
      <c r="W203" s="102">
        <v>100</v>
      </c>
      <c r="X203" s="102">
        <v>125</v>
      </c>
      <c r="Y203" s="102">
        <v>50</v>
      </c>
      <c r="Z203" s="102">
        <v>45</v>
      </c>
      <c r="AA203" s="102">
        <v>3</v>
      </c>
      <c r="AB203" s="102">
        <v>3</v>
      </c>
      <c r="AC203" s="102">
        <v>5</v>
      </c>
      <c r="AD203" s="102">
        <v>10</v>
      </c>
      <c r="AE203" s="102">
        <v>0</v>
      </c>
      <c r="AF203" s="104">
        <f t="shared" si="75"/>
        <v>10</v>
      </c>
      <c r="AG203" s="102">
        <v>7</v>
      </c>
      <c r="AH203" s="102">
        <v>3</v>
      </c>
      <c r="AI203" s="197">
        <f t="shared" si="69"/>
        <v>0</v>
      </c>
    </row>
    <row r="204" spans="1:35" s="198" customFormat="1" ht="26.1" customHeight="1">
      <c r="A204" s="126" t="s">
        <v>765</v>
      </c>
      <c r="B204" s="65" t="s">
        <v>472</v>
      </c>
      <c r="C204" s="109" t="s">
        <v>394</v>
      </c>
      <c r="D204" s="101">
        <v>4</v>
      </c>
      <c r="E204" s="102">
        <f t="shared" si="72"/>
        <v>758559</v>
      </c>
      <c r="F204" s="102">
        <v>35965</v>
      </c>
      <c r="G204" s="102">
        <v>722594</v>
      </c>
      <c r="H204" s="102">
        <f t="shared" si="73"/>
        <v>109523</v>
      </c>
      <c r="I204" s="102">
        <v>0</v>
      </c>
      <c r="J204" s="102">
        <v>0</v>
      </c>
      <c r="K204" s="102">
        <v>2280</v>
      </c>
      <c r="L204" s="102">
        <v>0</v>
      </c>
      <c r="M204" s="102">
        <v>23139</v>
      </c>
      <c r="N204" s="102">
        <v>0</v>
      </c>
      <c r="O204" s="103">
        <v>84104</v>
      </c>
      <c r="P204" s="107">
        <f t="shared" si="74"/>
        <v>649036</v>
      </c>
      <c r="Q204" s="102">
        <v>860</v>
      </c>
      <c r="R204" s="102">
        <v>0</v>
      </c>
      <c r="S204" s="102">
        <v>0</v>
      </c>
      <c r="T204" s="102">
        <v>1118</v>
      </c>
      <c r="U204" s="102">
        <v>0</v>
      </c>
      <c r="V204" s="102">
        <v>12086</v>
      </c>
      <c r="W204" s="102">
        <v>10193</v>
      </c>
      <c r="X204" s="102">
        <v>0</v>
      </c>
      <c r="Y204" s="102">
        <v>0</v>
      </c>
      <c r="Z204" s="102">
        <v>903</v>
      </c>
      <c r="AA204" s="102">
        <v>0</v>
      </c>
      <c r="AB204" s="102">
        <v>0</v>
      </c>
      <c r="AC204" s="102">
        <v>0</v>
      </c>
      <c r="AD204" s="102">
        <v>0</v>
      </c>
      <c r="AE204" s="102">
        <v>623876</v>
      </c>
      <c r="AF204" s="104">
        <f t="shared" si="75"/>
        <v>0</v>
      </c>
      <c r="AG204" s="102">
        <v>0</v>
      </c>
      <c r="AH204" s="102">
        <v>0</v>
      </c>
      <c r="AI204" s="197">
        <f t="shared" si="69"/>
        <v>0</v>
      </c>
    </row>
    <row r="205" spans="1:35" s="198" customFormat="1" ht="26.1" customHeight="1">
      <c r="A205" s="126" t="s">
        <v>765</v>
      </c>
      <c r="B205" s="65" t="s">
        <v>472</v>
      </c>
      <c r="C205" s="109" t="s">
        <v>395</v>
      </c>
      <c r="D205" s="101">
        <v>4</v>
      </c>
      <c r="E205" s="102">
        <f t="shared" si="72"/>
        <v>465600</v>
      </c>
      <c r="F205" s="102">
        <v>0</v>
      </c>
      <c r="G205" s="102">
        <v>465600</v>
      </c>
      <c r="H205" s="102">
        <f t="shared" si="73"/>
        <v>170600</v>
      </c>
      <c r="I205" s="102">
        <v>0</v>
      </c>
      <c r="J205" s="102">
        <v>0</v>
      </c>
      <c r="K205" s="102">
        <v>0</v>
      </c>
      <c r="L205" s="102">
        <v>0</v>
      </c>
      <c r="M205" s="102">
        <v>0</v>
      </c>
      <c r="N205" s="102">
        <v>0</v>
      </c>
      <c r="O205" s="103">
        <v>170600</v>
      </c>
      <c r="P205" s="107">
        <f t="shared" si="74"/>
        <v>295000</v>
      </c>
      <c r="Q205" s="102">
        <v>0</v>
      </c>
      <c r="R205" s="102">
        <v>0</v>
      </c>
      <c r="S205" s="102">
        <v>0</v>
      </c>
      <c r="T205" s="102">
        <v>0</v>
      </c>
      <c r="U205" s="102">
        <v>0</v>
      </c>
      <c r="V205" s="102">
        <v>0</v>
      </c>
      <c r="W205" s="102">
        <v>0</v>
      </c>
      <c r="X205" s="102">
        <v>0</v>
      </c>
      <c r="Y205" s="102">
        <v>0</v>
      </c>
      <c r="Z205" s="102">
        <v>0</v>
      </c>
      <c r="AA205" s="102">
        <v>0</v>
      </c>
      <c r="AB205" s="102">
        <v>0</v>
      </c>
      <c r="AC205" s="102">
        <v>0</v>
      </c>
      <c r="AD205" s="102">
        <v>0</v>
      </c>
      <c r="AE205" s="102">
        <v>295000</v>
      </c>
      <c r="AF205" s="104">
        <f t="shared" si="75"/>
        <v>0</v>
      </c>
      <c r="AG205" s="102">
        <v>0</v>
      </c>
      <c r="AH205" s="102">
        <v>0</v>
      </c>
      <c r="AI205" s="197">
        <f t="shared" si="69"/>
        <v>0</v>
      </c>
    </row>
    <row r="206" spans="1:35" s="198" customFormat="1" ht="26.1" customHeight="1">
      <c r="A206" s="126" t="s">
        <v>765</v>
      </c>
      <c r="B206" s="65" t="s">
        <v>472</v>
      </c>
      <c r="C206" s="109" t="s">
        <v>531</v>
      </c>
      <c r="D206" s="101">
        <v>4</v>
      </c>
      <c r="E206" s="102">
        <f t="shared" si="72"/>
        <v>3562</v>
      </c>
      <c r="F206" s="102">
        <v>3562</v>
      </c>
      <c r="G206" s="102">
        <v>0</v>
      </c>
      <c r="H206" s="102">
        <f t="shared" si="73"/>
        <v>1301</v>
      </c>
      <c r="I206" s="102">
        <v>0</v>
      </c>
      <c r="J206" s="102">
        <v>157</v>
      </c>
      <c r="K206" s="102">
        <v>236</v>
      </c>
      <c r="L206" s="102">
        <v>336</v>
      </c>
      <c r="M206" s="102">
        <v>336</v>
      </c>
      <c r="N206" s="102">
        <v>236</v>
      </c>
      <c r="O206" s="103">
        <v>0</v>
      </c>
      <c r="P206" s="107">
        <f t="shared" si="74"/>
        <v>2261</v>
      </c>
      <c r="Q206" s="102">
        <v>338</v>
      </c>
      <c r="R206" s="102">
        <v>238</v>
      </c>
      <c r="S206" s="102">
        <v>158</v>
      </c>
      <c r="T206" s="102">
        <v>238</v>
      </c>
      <c r="U206" s="102">
        <v>238</v>
      </c>
      <c r="V206" s="102">
        <v>338</v>
      </c>
      <c r="W206" s="102">
        <v>158</v>
      </c>
      <c r="X206" s="102">
        <v>238</v>
      </c>
      <c r="Y206" s="102">
        <v>158</v>
      </c>
      <c r="Z206" s="102">
        <v>159</v>
      </c>
      <c r="AA206" s="102">
        <v>0</v>
      </c>
      <c r="AB206" s="102">
        <v>0</v>
      </c>
      <c r="AC206" s="102">
        <v>0</v>
      </c>
      <c r="AD206" s="102">
        <v>0</v>
      </c>
      <c r="AE206" s="102">
        <v>0</v>
      </c>
      <c r="AF206" s="104">
        <f t="shared" si="75"/>
        <v>0</v>
      </c>
      <c r="AG206" s="102">
        <v>0</v>
      </c>
      <c r="AH206" s="102">
        <v>0</v>
      </c>
      <c r="AI206" s="197">
        <f t="shared" si="69"/>
        <v>0</v>
      </c>
    </row>
    <row r="207" spans="1:35" s="198" customFormat="1" ht="26.1" customHeight="1">
      <c r="A207" s="126" t="s">
        <v>765</v>
      </c>
      <c r="B207" s="65" t="s">
        <v>472</v>
      </c>
      <c r="C207" s="109" t="s">
        <v>382</v>
      </c>
      <c r="D207" s="101">
        <v>4</v>
      </c>
      <c r="E207" s="102">
        <f t="shared" si="72"/>
        <v>7242</v>
      </c>
      <c r="F207" s="102">
        <v>7242</v>
      </c>
      <c r="G207" s="102">
        <v>0</v>
      </c>
      <c r="H207" s="102">
        <f t="shared" si="73"/>
        <v>2118</v>
      </c>
      <c r="I207" s="102">
        <v>0</v>
      </c>
      <c r="J207" s="102">
        <v>328</v>
      </c>
      <c r="K207" s="102">
        <v>328</v>
      </c>
      <c r="L207" s="102">
        <v>527</v>
      </c>
      <c r="M207" s="102">
        <v>507</v>
      </c>
      <c r="N207" s="102">
        <v>428</v>
      </c>
      <c r="O207" s="103">
        <v>0</v>
      </c>
      <c r="P207" s="107">
        <f t="shared" si="74"/>
        <v>5000</v>
      </c>
      <c r="Q207" s="102">
        <v>511</v>
      </c>
      <c r="R207" s="102">
        <v>431</v>
      </c>
      <c r="S207" s="102">
        <v>331</v>
      </c>
      <c r="T207" s="102">
        <v>481</v>
      </c>
      <c r="U207" s="102">
        <v>511</v>
      </c>
      <c r="V207" s="102">
        <v>401</v>
      </c>
      <c r="W207" s="102">
        <v>384</v>
      </c>
      <c r="X207" s="102">
        <v>431</v>
      </c>
      <c r="Y207" s="102">
        <v>461</v>
      </c>
      <c r="Z207" s="102">
        <v>461</v>
      </c>
      <c r="AA207" s="102">
        <v>281</v>
      </c>
      <c r="AB207" s="102">
        <v>112</v>
      </c>
      <c r="AC207" s="102">
        <v>102</v>
      </c>
      <c r="AD207" s="102">
        <v>102</v>
      </c>
      <c r="AE207" s="102">
        <v>0</v>
      </c>
      <c r="AF207" s="104">
        <f t="shared" si="75"/>
        <v>124</v>
      </c>
      <c r="AG207" s="102">
        <v>124</v>
      </c>
      <c r="AH207" s="102">
        <v>0</v>
      </c>
      <c r="AI207" s="197">
        <f t="shared" si="69"/>
        <v>0</v>
      </c>
    </row>
    <row r="208" spans="1:35" s="198" customFormat="1" ht="26.1" customHeight="1">
      <c r="A208" s="126" t="s">
        <v>765</v>
      </c>
      <c r="B208" s="65" t="s">
        <v>472</v>
      </c>
      <c r="C208" s="109" t="s">
        <v>532</v>
      </c>
      <c r="D208" s="101">
        <v>4</v>
      </c>
      <c r="E208" s="102">
        <f t="shared" si="72"/>
        <v>17953</v>
      </c>
      <c r="F208" s="102">
        <v>17953</v>
      </c>
      <c r="G208" s="102">
        <v>0</v>
      </c>
      <c r="H208" s="102">
        <f t="shared" si="73"/>
        <v>6659</v>
      </c>
      <c r="I208" s="102">
        <v>0</v>
      </c>
      <c r="J208" s="102">
        <v>1030</v>
      </c>
      <c r="K208" s="102">
        <v>1030</v>
      </c>
      <c r="L208" s="102">
        <v>1829</v>
      </c>
      <c r="M208" s="102">
        <v>1740</v>
      </c>
      <c r="N208" s="102">
        <v>1030</v>
      </c>
      <c r="O208" s="103">
        <v>0</v>
      </c>
      <c r="P208" s="107">
        <f t="shared" si="74"/>
        <v>11294</v>
      </c>
      <c r="Q208" s="102">
        <v>1041</v>
      </c>
      <c r="R208" s="102">
        <v>1041</v>
      </c>
      <c r="S208" s="102">
        <v>1041</v>
      </c>
      <c r="T208" s="102">
        <v>1041</v>
      </c>
      <c r="U208" s="102">
        <v>1041</v>
      </c>
      <c r="V208" s="102">
        <v>1489</v>
      </c>
      <c r="W208" s="102">
        <v>1440</v>
      </c>
      <c r="X208" s="102">
        <v>1078</v>
      </c>
      <c r="Y208" s="102">
        <v>1041</v>
      </c>
      <c r="Z208" s="102">
        <v>1041</v>
      </c>
      <c r="AA208" s="102">
        <v>0</v>
      </c>
      <c r="AB208" s="102">
        <v>0</v>
      </c>
      <c r="AC208" s="102">
        <v>0</v>
      </c>
      <c r="AD208" s="102">
        <v>0</v>
      </c>
      <c r="AE208" s="102">
        <v>0</v>
      </c>
      <c r="AF208" s="104">
        <f t="shared" si="75"/>
        <v>0</v>
      </c>
      <c r="AG208" s="102">
        <v>0</v>
      </c>
      <c r="AH208" s="102">
        <v>0</v>
      </c>
      <c r="AI208" s="197">
        <f t="shared" si="69"/>
        <v>0</v>
      </c>
    </row>
    <row r="209" spans="1:35" s="198" customFormat="1" ht="26.1" customHeight="1">
      <c r="A209" s="126" t="s">
        <v>765</v>
      </c>
      <c r="B209" s="65" t="s">
        <v>472</v>
      </c>
      <c r="C209" s="109" t="s">
        <v>533</v>
      </c>
      <c r="D209" s="101">
        <v>4</v>
      </c>
      <c r="E209" s="102">
        <f t="shared" si="72"/>
        <v>38554</v>
      </c>
      <c r="F209" s="102">
        <v>38554</v>
      </c>
      <c r="G209" s="102">
        <v>0</v>
      </c>
      <c r="H209" s="102">
        <f t="shared" si="73"/>
        <v>12818</v>
      </c>
      <c r="I209" s="102">
        <v>300</v>
      </c>
      <c r="J209" s="102">
        <v>1140</v>
      </c>
      <c r="K209" s="102">
        <v>2715</v>
      </c>
      <c r="L209" s="102">
        <v>2987</v>
      </c>
      <c r="M209" s="102">
        <v>2838</v>
      </c>
      <c r="N209" s="102">
        <v>2838</v>
      </c>
      <c r="O209" s="103">
        <v>0</v>
      </c>
      <c r="P209" s="107">
        <f t="shared" si="74"/>
        <v>24210</v>
      </c>
      <c r="Q209" s="102">
        <v>1920</v>
      </c>
      <c r="R209" s="102">
        <v>1550</v>
      </c>
      <c r="S209" s="102">
        <v>1660</v>
      </c>
      <c r="T209" s="102">
        <v>1795</v>
      </c>
      <c r="U209" s="102">
        <v>1965</v>
      </c>
      <c r="V209" s="102">
        <v>1750</v>
      </c>
      <c r="W209" s="102">
        <v>1750</v>
      </c>
      <c r="X209" s="102">
        <v>1750</v>
      </c>
      <c r="Y209" s="102">
        <v>1800</v>
      </c>
      <c r="Z209" s="102">
        <v>1800</v>
      </c>
      <c r="AA209" s="102">
        <v>1770</v>
      </c>
      <c r="AB209" s="102">
        <v>1700</v>
      </c>
      <c r="AC209" s="102">
        <v>1500</v>
      </c>
      <c r="AD209" s="102">
        <v>1500</v>
      </c>
      <c r="AE209" s="102">
        <v>0</v>
      </c>
      <c r="AF209" s="104">
        <f t="shared" si="75"/>
        <v>1526</v>
      </c>
      <c r="AG209" s="102">
        <v>763</v>
      </c>
      <c r="AH209" s="102">
        <v>763</v>
      </c>
      <c r="AI209" s="197">
        <f t="shared" si="69"/>
        <v>0</v>
      </c>
    </row>
    <row r="210" spans="1:35" s="198" customFormat="1" ht="26.1" customHeight="1">
      <c r="A210" s="126" t="s">
        <v>765</v>
      </c>
      <c r="B210" s="65" t="s">
        <v>472</v>
      </c>
      <c r="C210" s="109" t="s">
        <v>389</v>
      </c>
      <c r="D210" s="101">
        <v>4</v>
      </c>
      <c r="E210" s="102">
        <f t="shared" si="72"/>
        <v>237500</v>
      </c>
      <c r="F210" s="102">
        <v>0</v>
      </c>
      <c r="G210" s="102">
        <v>237500</v>
      </c>
      <c r="H210" s="102">
        <f t="shared" si="73"/>
        <v>75440</v>
      </c>
      <c r="I210" s="102">
        <v>0</v>
      </c>
      <c r="J210" s="102">
        <v>1760</v>
      </c>
      <c r="K210" s="102">
        <v>27480</v>
      </c>
      <c r="L210" s="102">
        <v>1600</v>
      </c>
      <c r="M210" s="102">
        <v>2600</v>
      </c>
      <c r="N210" s="102">
        <v>42000</v>
      </c>
      <c r="O210" s="103">
        <v>0</v>
      </c>
      <c r="P210" s="107">
        <f t="shared" si="74"/>
        <v>157380</v>
      </c>
      <c r="Q210" s="102">
        <v>1760</v>
      </c>
      <c r="R210" s="102">
        <v>1760</v>
      </c>
      <c r="S210" s="102">
        <v>24600</v>
      </c>
      <c r="T210" s="102">
        <v>2480</v>
      </c>
      <c r="U210" s="102">
        <v>2480</v>
      </c>
      <c r="V210" s="102">
        <v>63100</v>
      </c>
      <c r="W210" s="102">
        <v>2480</v>
      </c>
      <c r="X210" s="102">
        <v>1600</v>
      </c>
      <c r="Y210" s="102">
        <v>4600</v>
      </c>
      <c r="Z210" s="102">
        <v>1600</v>
      </c>
      <c r="AA210" s="102">
        <v>880</v>
      </c>
      <c r="AB210" s="102">
        <v>2320</v>
      </c>
      <c r="AC210" s="102">
        <v>19120</v>
      </c>
      <c r="AD210" s="102">
        <v>28600</v>
      </c>
      <c r="AE210" s="102">
        <v>0</v>
      </c>
      <c r="AF210" s="104">
        <f t="shared" si="75"/>
        <v>4680</v>
      </c>
      <c r="AG210" s="102">
        <v>880</v>
      </c>
      <c r="AH210" s="102">
        <v>3800</v>
      </c>
      <c r="AI210" s="197">
        <f t="shared" si="69"/>
        <v>0</v>
      </c>
    </row>
    <row r="211" spans="1:35" s="198" customFormat="1" ht="26.1" customHeight="1">
      <c r="A211" s="126" t="s">
        <v>765</v>
      </c>
      <c r="B211" s="65" t="s">
        <v>472</v>
      </c>
      <c r="C211" s="109" t="s">
        <v>383</v>
      </c>
      <c r="D211" s="101">
        <v>4</v>
      </c>
      <c r="E211" s="102">
        <f t="shared" si="72"/>
        <v>394</v>
      </c>
      <c r="F211" s="102">
        <v>394</v>
      </c>
      <c r="G211" s="102">
        <v>0</v>
      </c>
      <c r="H211" s="102">
        <f t="shared" si="73"/>
        <v>165</v>
      </c>
      <c r="I211" s="102">
        <v>0</v>
      </c>
      <c r="J211" s="102">
        <v>22</v>
      </c>
      <c r="K211" s="102">
        <v>26</v>
      </c>
      <c r="L211" s="102">
        <v>43</v>
      </c>
      <c r="M211" s="102">
        <v>54</v>
      </c>
      <c r="N211" s="102">
        <v>20</v>
      </c>
      <c r="O211" s="103">
        <v>0</v>
      </c>
      <c r="P211" s="107">
        <f t="shared" si="74"/>
        <v>229</v>
      </c>
      <c r="Q211" s="102">
        <v>11</v>
      </c>
      <c r="R211" s="102">
        <v>20</v>
      </c>
      <c r="S211" s="102">
        <v>27</v>
      </c>
      <c r="T211" s="102">
        <v>24</v>
      </c>
      <c r="U211" s="102">
        <v>14</v>
      </c>
      <c r="V211" s="102">
        <v>27</v>
      </c>
      <c r="W211" s="102">
        <v>24</v>
      </c>
      <c r="X211" s="102">
        <v>24</v>
      </c>
      <c r="Y211" s="102">
        <v>12</v>
      </c>
      <c r="Z211" s="102">
        <v>12</v>
      </c>
      <c r="AA211" s="102">
        <v>0</v>
      </c>
      <c r="AB211" s="102">
        <v>9</v>
      </c>
      <c r="AC211" s="102">
        <v>13</v>
      </c>
      <c r="AD211" s="102">
        <v>12</v>
      </c>
      <c r="AE211" s="102">
        <v>0</v>
      </c>
      <c r="AF211" s="104">
        <f t="shared" si="75"/>
        <v>0</v>
      </c>
      <c r="AG211" s="102">
        <v>0</v>
      </c>
      <c r="AH211" s="102">
        <v>0</v>
      </c>
      <c r="AI211" s="197">
        <f t="shared" si="69"/>
        <v>0</v>
      </c>
    </row>
    <row r="212" spans="1:35" s="198" customFormat="1" ht="26.1" customHeight="1">
      <c r="A212" s="126" t="s">
        <v>765</v>
      </c>
      <c r="B212" s="65" t="s">
        <v>472</v>
      </c>
      <c r="C212" s="109" t="s">
        <v>384</v>
      </c>
      <c r="D212" s="101">
        <v>4</v>
      </c>
      <c r="E212" s="102">
        <f t="shared" si="72"/>
        <v>3632</v>
      </c>
      <c r="F212" s="102">
        <v>3632</v>
      </c>
      <c r="G212" s="102">
        <v>0</v>
      </c>
      <c r="H212" s="102">
        <f t="shared" si="73"/>
        <v>1095</v>
      </c>
      <c r="I212" s="102">
        <v>0</v>
      </c>
      <c r="J212" s="102">
        <v>25</v>
      </c>
      <c r="K212" s="102">
        <v>130</v>
      </c>
      <c r="L212" s="102">
        <v>150</v>
      </c>
      <c r="M212" s="102">
        <v>240</v>
      </c>
      <c r="N212" s="102">
        <v>550</v>
      </c>
      <c r="O212" s="103">
        <v>0</v>
      </c>
      <c r="P212" s="107">
        <f t="shared" si="74"/>
        <v>2537</v>
      </c>
      <c r="Q212" s="102">
        <v>485</v>
      </c>
      <c r="R212" s="102">
        <v>126</v>
      </c>
      <c r="S212" s="102">
        <v>120</v>
      </c>
      <c r="T212" s="102">
        <v>430</v>
      </c>
      <c r="U212" s="102">
        <v>100</v>
      </c>
      <c r="V212" s="102">
        <v>292</v>
      </c>
      <c r="W212" s="102">
        <v>168</v>
      </c>
      <c r="X212" s="102">
        <v>285</v>
      </c>
      <c r="Y212" s="102">
        <v>261</v>
      </c>
      <c r="Z212" s="102">
        <v>72</v>
      </c>
      <c r="AA212" s="102">
        <v>81</v>
      </c>
      <c r="AB212" s="102">
        <v>0</v>
      </c>
      <c r="AC212" s="102">
        <v>117</v>
      </c>
      <c r="AD212" s="102">
        <v>0</v>
      </c>
      <c r="AE212" s="102">
        <v>0</v>
      </c>
      <c r="AF212" s="104">
        <f t="shared" si="75"/>
        <v>0</v>
      </c>
      <c r="AG212" s="102">
        <v>0</v>
      </c>
      <c r="AH212" s="102">
        <v>0</v>
      </c>
      <c r="AI212" s="197">
        <f t="shared" si="69"/>
        <v>0</v>
      </c>
    </row>
    <row r="213" spans="1:35" s="198" customFormat="1" ht="26.1" customHeight="1">
      <c r="A213" s="126" t="s">
        <v>765</v>
      </c>
      <c r="B213" s="65" t="s">
        <v>472</v>
      </c>
      <c r="C213" s="109" t="s">
        <v>391</v>
      </c>
      <c r="D213" s="101">
        <v>4</v>
      </c>
      <c r="E213" s="102">
        <f t="shared" si="72"/>
        <v>8247</v>
      </c>
      <c r="F213" s="102">
        <v>200</v>
      </c>
      <c r="G213" s="102">
        <v>8047</v>
      </c>
      <c r="H213" s="102">
        <f t="shared" si="73"/>
        <v>3147</v>
      </c>
      <c r="I213" s="102">
        <v>0</v>
      </c>
      <c r="J213" s="102">
        <v>0</v>
      </c>
      <c r="K213" s="102">
        <v>210</v>
      </c>
      <c r="L213" s="102">
        <v>395</v>
      </c>
      <c r="M213" s="102">
        <v>1402</v>
      </c>
      <c r="N213" s="102">
        <v>1140</v>
      </c>
      <c r="O213" s="103">
        <v>0</v>
      </c>
      <c r="P213" s="107">
        <f t="shared" si="74"/>
        <v>5100</v>
      </c>
      <c r="Q213" s="102">
        <v>127</v>
      </c>
      <c r="R213" s="102">
        <v>385</v>
      </c>
      <c r="S213" s="102">
        <v>260</v>
      </c>
      <c r="T213" s="102">
        <v>701</v>
      </c>
      <c r="U213" s="102">
        <v>103</v>
      </c>
      <c r="V213" s="102">
        <v>1078</v>
      </c>
      <c r="W213" s="102">
        <v>263</v>
      </c>
      <c r="X213" s="102">
        <v>1695</v>
      </c>
      <c r="Y213" s="102">
        <v>355</v>
      </c>
      <c r="Z213" s="102">
        <v>89</v>
      </c>
      <c r="AA213" s="102">
        <v>10</v>
      </c>
      <c r="AB213" s="102">
        <v>5</v>
      </c>
      <c r="AC213" s="102">
        <v>22</v>
      </c>
      <c r="AD213" s="102">
        <v>7</v>
      </c>
      <c r="AE213" s="102">
        <v>0</v>
      </c>
      <c r="AF213" s="104">
        <f t="shared" si="75"/>
        <v>0</v>
      </c>
      <c r="AG213" s="102">
        <v>0</v>
      </c>
      <c r="AH213" s="102">
        <v>0</v>
      </c>
      <c r="AI213" s="197">
        <f t="shared" si="69"/>
        <v>0</v>
      </c>
    </row>
    <row r="214" spans="1:35" s="198" customFormat="1" ht="26.1" customHeight="1">
      <c r="A214" s="126" t="s">
        <v>765</v>
      </c>
      <c r="B214" s="65" t="s">
        <v>472</v>
      </c>
      <c r="C214" s="109" t="s">
        <v>390</v>
      </c>
      <c r="D214" s="101">
        <v>4</v>
      </c>
      <c r="E214" s="102">
        <f t="shared" si="72"/>
        <v>13729</v>
      </c>
      <c r="F214" s="102">
        <v>5500</v>
      </c>
      <c r="G214" s="102">
        <v>8229</v>
      </c>
      <c r="H214" s="102">
        <f t="shared" si="73"/>
        <v>3729</v>
      </c>
      <c r="I214" s="102">
        <v>0</v>
      </c>
      <c r="J214" s="102">
        <v>0</v>
      </c>
      <c r="K214" s="102">
        <v>912</v>
      </c>
      <c r="L214" s="102">
        <v>362</v>
      </c>
      <c r="M214" s="102">
        <v>1288</v>
      </c>
      <c r="N214" s="102">
        <v>1167</v>
      </c>
      <c r="O214" s="103">
        <v>0</v>
      </c>
      <c r="P214" s="107">
        <f t="shared" si="74"/>
        <v>10000</v>
      </c>
      <c r="Q214" s="102">
        <v>249</v>
      </c>
      <c r="R214" s="102">
        <v>755</v>
      </c>
      <c r="S214" s="102">
        <v>509</v>
      </c>
      <c r="T214" s="102">
        <v>1374</v>
      </c>
      <c r="U214" s="102">
        <v>202</v>
      </c>
      <c r="V214" s="102">
        <v>2114</v>
      </c>
      <c r="W214" s="102">
        <v>516</v>
      </c>
      <c r="X214" s="102">
        <v>3324</v>
      </c>
      <c r="Y214" s="102">
        <v>696</v>
      </c>
      <c r="Z214" s="102">
        <v>175</v>
      </c>
      <c r="AA214" s="102">
        <v>20</v>
      </c>
      <c r="AB214" s="102">
        <v>9</v>
      </c>
      <c r="AC214" s="102">
        <v>44</v>
      </c>
      <c r="AD214" s="102">
        <v>13</v>
      </c>
      <c r="AE214" s="102">
        <v>0</v>
      </c>
      <c r="AF214" s="104">
        <f t="shared" si="75"/>
        <v>0</v>
      </c>
      <c r="AG214" s="102">
        <v>0</v>
      </c>
      <c r="AH214" s="102">
        <v>0</v>
      </c>
      <c r="AI214" s="197">
        <f t="shared" si="69"/>
        <v>0</v>
      </c>
    </row>
    <row r="215" spans="1:35" s="198" customFormat="1" ht="26.1" customHeight="1">
      <c r="A215" s="126" t="s">
        <v>765</v>
      </c>
      <c r="B215" s="65" t="s">
        <v>472</v>
      </c>
      <c r="C215" s="109" t="s">
        <v>385</v>
      </c>
      <c r="D215" s="101">
        <v>4</v>
      </c>
      <c r="E215" s="102">
        <f t="shared" si="72"/>
        <v>6600</v>
      </c>
      <c r="F215" s="102">
        <v>6000</v>
      </c>
      <c r="G215" s="102">
        <v>600</v>
      </c>
      <c r="H215" s="102">
        <f t="shared" si="73"/>
        <v>3100</v>
      </c>
      <c r="I215" s="102">
        <v>0</v>
      </c>
      <c r="J215" s="102">
        <v>230</v>
      </c>
      <c r="K215" s="102">
        <v>280</v>
      </c>
      <c r="L215" s="102">
        <v>490</v>
      </c>
      <c r="M215" s="102">
        <v>1100</v>
      </c>
      <c r="N215" s="102">
        <v>1000</v>
      </c>
      <c r="O215" s="103">
        <v>0</v>
      </c>
      <c r="P215" s="107">
        <f t="shared" si="74"/>
        <v>3410</v>
      </c>
      <c r="Q215" s="102">
        <v>70</v>
      </c>
      <c r="R215" s="102">
        <v>70</v>
      </c>
      <c r="S215" s="102">
        <v>70</v>
      </c>
      <c r="T215" s="102">
        <v>1210</v>
      </c>
      <c r="U215" s="102">
        <v>60</v>
      </c>
      <c r="V215" s="102">
        <v>720</v>
      </c>
      <c r="W215" s="102">
        <v>80</v>
      </c>
      <c r="X215" s="102">
        <v>740</v>
      </c>
      <c r="Y215" s="102">
        <v>140</v>
      </c>
      <c r="Z215" s="102">
        <v>110</v>
      </c>
      <c r="AA215" s="102">
        <v>40</v>
      </c>
      <c r="AB215" s="102">
        <v>35</v>
      </c>
      <c r="AC215" s="102">
        <v>35</v>
      </c>
      <c r="AD215" s="102">
        <v>30</v>
      </c>
      <c r="AE215" s="102">
        <v>0</v>
      </c>
      <c r="AF215" s="104">
        <f t="shared" si="75"/>
        <v>90</v>
      </c>
      <c r="AG215" s="102">
        <v>90</v>
      </c>
      <c r="AH215" s="102">
        <v>0</v>
      </c>
      <c r="AI215" s="197">
        <f t="shared" si="69"/>
        <v>0</v>
      </c>
    </row>
    <row r="216" spans="1:35" s="198" customFormat="1" ht="26.1" customHeight="1">
      <c r="A216" s="126" t="s">
        <v>765</v>
      </c>
      <c r="B216" s="65" t="s">
        <v>472</v>
      </c>
      <c r="C216" s="109" t="s">
        <v>534</v>
      </c>
      <c r="D216" s="101">
        <v>4</v>
      </c>
      <c r="E216" s="102">
        <f t="shared" si="72"/>
        <v>20170</v>
      </c>
      <c r="F216" s="102">
        <v>16170</v>
      </c>
      <c r="G216" s="102">
        <v>4000</v>
      </c>
      <c r="H216" s="102">
        <f t="shared" si="73"/>
        <v>4500</v>
      </c>
      <c r="I216" s="102">
        <v>0</v>
      </c>
      <c r="J216" s="102">
        <v>91</v>
      </c>
      <c r="K216" s="102">
        <v>402</v>
      </c>
      <c r="L216" s="102">
        <v>591</v>
      </c>
      <c r="M216" s="102">
        <v>2312</v>
      </c>
      <c r="N216" s="102">
        <v>1104</v>
      </c>
      <c r="O216" s="103">
        <v>0</v>
      </c>
      <c r="P216" s="107">
        <f t="shared" si="74"/>
        <v>15670</v>
      </c>
      <c r="Q216" s="102">
        <v>343</v>
      </c>
      <c r="R216" s="102">
        <v>517</v>
      </c>
      <c r="S216" s="102">
        <v>721</v>
      </c>
      <c r="T216" s="102">
        <v>4803</v>
      </c>
      <c r="U216" s="102">
        <v>747</v>
      </c>
      <c r="V216" s="102">
        <v>2619</v>
      </c>
      <c r="W216" s="102">
        <v>2049</v>
      </c>
      <c r="X216" s="102">
        <v>3052</v>
      </c>
      <c r="Y216" s="102">
        <v>457</v>
      </c>
      <c r="Z216" s="102">
        <v>200</v>
      </c>
      <c r="AA216" s="102">
        <v>75</v>
      </c>
      <c r="AB216" s="102">
        <v>19</v>
      </c>
      <c r="AC216" s="102">
        <v>57</v>
      </c>
      <c r="AD216" s="102">
        <v>11</v>
      </c>
      <c r="AE216" s="102">
        <v>0</v>
      </c>
      <c r="AF216" s="104">
        <f t="shared" si="75"/>
        <v>0</v>
      </c>
      <c r="AG216" s="102">
        <v>0</v>
      </c>
      <c r="AH216" s="102">
        <v>0</v>
      </c>
      <c r="AI216" s="197">
        <f t="shared" si="69"/>
        <v>0</v>
      </c>
    </row>
    <row r="217" spans="1:35" s="198" customFormat="1" ht="26.1" customHeight="1">
      <c r="A217" s="126" t="s">
        <v>765</v>
      </c>
      <c r="B217" s="65" t="s">
        <v>472</v>
      </c>
      <c r="C217" s="109" t="s">
        <v>535</v>
      </c>
      <c r="D217" s="101">
        <v>4</v>
      </c>
      <c r="E217" s="102">
        <f t="shared" si="72"/>
        <v>2000</v>
      </c>
      <c r="F217" s="102">
        <v>2000</v>
      </c>
      <c r="G217" s="102">
        <v>0</v>
      </c>
      <c r="H217" s="102">
        <f t="shared" si="73"/>
        <v>1000</v>
      </c>
      <c r="I217" s="102">
        <v>0</v>
      </c>
      <c r="J217" s="102">
        <v>180</v>
      </c>
      <c r="K217" s="102">
        <v>170</v>
      </c>
      <c r="L217" s="102">
        <v>200</v>
      </c>
      <c r="M217" s="102">
        <v>200</v>
      </c>
      <c r="N217" s="102">
        <v>250</v>
      </c>
      <c r="O217" s="103">
        <v>0</v>
      </c>
      <c r="P217" s="107">
        <f t="shared" si="74"/>
        <v>990</v>
      </c>
      <c r="Q217" s="102">
        <v>57</v>
      </c>
      <c r="R217" s="102">
        <v>50</v>
      </c>
      <c r="S217" s="102">
        <v>61</v>
      </c>
      <c r="T217" s="102">
        <v>159</v>
      </c>
      <c r="U217" s="102">
        <v>120</v>
      </c>
      <c r="V217" s="102">
        <v>173</v>
      </c>
      <c r="W217" s="102">
        <v>69</v>
      </c>
      <c r="X217" s="102">
        <v>149</v>
      </c>
      <c r="Y217" s="102">
        <v>31</v>
      </c>
      <c r="Z217" s="102">
        <v>46</v>
      </c>
      <c r="AA217" s="102">
        <v>10</v>
      </c>
      <c r="AB217" s="102">
        <v>0</v>
      </c>
      <c r="AC217" s="102">
        <v>0</v>
      </c>
      <c r="AD217" s="102">
        <v>65</v>
      </c>
      <c r="AE217" s="102">
        <v>0</v>
      </c>
      <c r="AF217" s="104">
        <f t="shared" si="75"/>
        <v>10</v>
      </c>
      <c r="AG217" s="102">
        <v>10</v>
      </c>
      <c r="AH217" s="102">
        <v>0</v>
      </c>
      <c r="AI217" s="197">
        <f t="shared" si="69"/>
        <v>0</v>
      </c>
    </row>
    <row r="218" spans="1:35" s="198" customFormat="1" ht="26.1" customHeight="1">
      <c r="A218" s="126" t="s">
        <v>765</v>
      </c>
      <c r="B218" s="65" t="s">
        <v>472</v>
      </c>
      <c r="C218" s="109" t="s">
        <v>386</v>
      </c>
      <c r="D218" s="101">
        <v>4</v>
      </c>
      <c r="E218" s="102">
        <f t="shared" si="72"/>
        <v>2000</v>
      </c>
      <c r="F218" s="102">
        <v>2000</v>
      </c>
      <c r="G218" s="102">
        <v>0</v>
      </c>
      <c r="H218" s="102">
        <f t="shared" si="73"/>
        <v>600</v>
      </c>
      <c r="I218" s="102">
        <v>0</v>
      </c>
      <c r="J218" s="102">
        <v>100</v>
      </c>
      <c r="K218" s="102">
        <v>100</v>
      </c>
      <c r="L218" s="102">
        <v>100</v>
      </c>
      <c r="M218" s="102">
        <v>150</v>
      </c>
      <c r="N218" s="102">
        <v>150</v>
      </c>
      <c r="O218" s="103">
        <v>0</v>
      </c>
      <c r="P218" s="107">
        <f t="shared" si="74"/>
        <v>1350</v>
      </c>
      <c r="Q218" s="102">
        <v>100</v>
      </c>
      <c r="R218" s="102">
        <v>100</v>
      </c>
      <c r="S218" s="102">
        <v>100</v>
      </c>
      <c r="T218" s="102">
        <v>100</v>
      </c>
      <c r="U218" s="102">
        <v>100</v>
      </c>
      <c r="V218" s="102">
        <v>150</v>
      </c>
      <c r="W218" s="102">
        <v>100</v>
      </c>
      <c r="X218" s="102">
        <v>150</v>
      </c>
      <c r="Y218" s="102">
        <v>100</v>
      </c>
      <c r="Z218" s="102">
        <v>100</v>
      </c>
      <c r="AA218" s="102">
        <v>100</v>
      </c>
      <c r="AB218" s="102">
        <v>50</v>
      </c>
      <c r="AC218" s="102">
        <v>50</v>
      </c>
      <c r="AD218" s="102">
        <v>50</v>
      </c>
      <c r="AE218" s="102">
        <v>0</v>
      </c>
      <c r="AF218" s="104">
        <f t="shared" si="75"/>
        <v>50</v>
      </c>
      <c r="AG218" s="102">
        <v>50</v>
      </c>
      <c r="AH218" s="102">
        <v>0</v>
      </c>
      <c r="AI218" s="197">
        <f t="shared" si="69"/>
        <v>0</v>
      </c>
    </row>
    <row r="219" spans="1:35" s="198" customFormat="1" ht="26.1" customHeight="1">
      <c r="A219" s="126" t="s">
        <v>765</v>
      </c>
      <c r="B219" s="65" t="s">
        <v>472</v>
      </c>
      <c r="C219" s="109" t="s">
        <v>387</v>
      </c>
      <c r="D219" s="101">
        <v>4</v>
      </c>
      <c r="E219" s="102">
        <f t="shared" si="72"/>
        <v>1053</v>
      </c>
      <c r="F219" s="102">
        <v>1053</v>
      </c>
      <c r="G219" s="102">
        <v>0</v>
      </c>
      <c r="H219" s="102">
        <f t="shared" si="73"/>
        <v>270</v>
      </c>
      <c r="I219" s="102">
        <v>0</v>
      </c>
      <c r="J219" s="102">
        <v>50</v>
      </c>
      <c r="K219" s="102">
        <v>50</v>
      </c>
      <c r="L219" s="102">
        <v>70</v>
      </c>
      <c r="M219" s="102">
        <v>100</v>
      </c>
      <c r="N219" s="102">
        <v>0</v>
      </c>
      <c r="O219" s="103">
        <v>0</v>
      </c>
      <c r="P219" s="107">
        <f t="shared" si="74"/>
        <v>753</v>
      </c>
      <c r="Q219" s="102">
        <v>30</v>
      </c>
      <c r="R219" s="102">
        <v>45</v>
      </c>
      <c r="S219" s="102">
        <v>50</v>
      </c>
      <c r="T219" s="102">
        <v>115</v>
      </c>
      <c r="U219" s="102">
        <v>44</v>
      </c>
      <c r="V219" s="102">
        <v>155</v>
      </c>
      <c r="W219" s="102">
        <v>50</v>
      </c>
      <c r="X219" s="102">
        <v>73</v>
      </c>
      <c r="Y219" s="102">
        <v>70</v>
      </c>
      <c r="Z219" s="102">
        <v>21</v>
      </c>
      <c r="AA219" s="102">
        <v>30</v>
      </c>
      <c r="AB219" s="102">
        <v>20</v>
      </c>
      <c r="AC219" s="102">
        <v>33</v>
      </c>
      <c r="AD219" s="102">
        <v>17</v>
      </c>
      <c r="AE219" s="102">
        <v>0</v>
      </c>
      <c r="AF219" s="104">
        <f t="shared" si="75"/>
        <v>30</v>
      </c>
      <c r="AG219" s="102">
        <v>30</v>
      </c>
      <c r="AH219" s="102">
        <v>0</v>
      </c>
      <c r="AI219" s="197">
        <f t="shared" si="69"/>
        <v>0</v>
      </c>
    </row>
    <row r="220" spans="1:35" s="198" customFormat="1" ht="26.1" customHeight="1">
      <c r="A220" s="126" t="s">
        <v>765</v>
      </c>
      <c r="B220" s="65" t="s">
        <v>472</v>
      </c>
      <c r="C220" s="109" t="s">
        <v>536</v>
      </c>
      <c r="D220" s="101">
        <v>4</v>
      </c>
      <c r="E220" s="102">
        <f t="shared" si="72"/>
        <v>479</v>
      </c>
      <c r="F220" s="102">
        <v>479</v>
      </c>
      <c r="G220" s="102">
        <v>0</v>
      </c>
      <c r="H220" s="102">
        <f t="shared" si="73"/>
        <v>125</v>
      </c>
      <c r="I220" s="102">
        <v>0</v>
      </c>
      <c r="J220" s="102">
        <v>26</v>
      </c>
      <c r="K220" s="102">
        <v>27</v>
      </c>
      <c r="L220" s="102">
        <v>29</v>
      </c>
      <c r="M220" s="102">
        <v>19</v>
      </c>
      <c r="N220" s="102">
        <v>24</v>
      </c>
      <c r="O220" s="103">
        <v>0</v>
      </c>
      <c r="P220" s="107">
        <f t="shared" si="74"/>
        <v>334</v>
      </c>
      <c r="Q220" s="102">
        <v>27</v>
      </c>
      <c r="R220" s="102">
        <v>25</v>
      </c>
      <c r="S220" s="102">
        <v>28</v>
      </c>
      <c r="T220" s="102">
        <v>20</v>
      </c>
      <c r="U220" s="102">
        <v>26</v>
      </c>
      <c r="V220" s="102">
        <v>27</v>
      </c>
      <c r="W220" s="102">
        <v>25</v>
      </c>
      <c r="X220" s="102">
        <v>28</v>
      </c>
      <c r="Y220" s="102">
        <v>23</v>
      </c>
      <c r="Z220" s="102">
        <v>18</v>
      </c>
      <c r="AA220" s="102">
        <v>19</v>
      </c>
      <c r="AB220" s="102">
        <v>23</v>
      </c>
      <c r="AC220" s="102">
        <v>23</v>
      </c>
      <c r="AD220" s="102">
        <v>22</v>
      </c>
      <c r="AE220" s="102">
        <v>0</v>
      </c>
      <c r="AF220" s="104">
        <f t="shared" si="75"/>
        <v>20</v>
      </c>
      <c r="AG220" s="102">
        <v>20</v>
      </c>
      <c r="AH220" s="102">
        <v>0</v>
      </c>
      <c r="AI220" s="197">
        <f t="shared" si="69"/>
        <v>0</v>
      </c>
    </row>
    <row r="221" spans="1:35" s="198" customFormat="1" ht="26.1" customHeight="1">
      <c r="A221" s="126" t="s">
        <v>765</v>
      </c>
      <c r="B221" s="65" t="s">
        <v>472</v>
      </c>
      <c r="C221" s="109" t="s">
        <v>388</v>
      </c>
      <c r="D221" s="101">
        <v>4</v>
      </c>
      <c r="E221" s="102">
        <f t="shared" si="72"/>
        <v>2425</v>
      </c>
      <c r="F221" s="102">
        <v>2425</v>
      </c>
      <c r="G221" s="102">
        <v>0</v>
      </c>
      <c r="H221" s="102">
        <f t="shared" si="73"/>
        <v>205</v>
      </c>
      <c r="I221" s="102">
        <v>0</v>
      </c>
      <c r="J221" s="102">
        <v>0</v>
      </c>
      <c r="K221" s="102">
        <v>0</v>
      </c>
      <c r="L221" s="102">
        <v>0</v>
      </c>
      <c r="M221" s="102">
        <v>0</v>
      </c>
      <c r="N221" s="102">
        <v>205</v>
      </c>
      <c r="O221" s="103">
        <v>0</v>
      </c>
      <c r="P221" s="107">
        <f t="shared" si="74"/>
        <v>2220</v>
      </c>
      <c r="Q221" s="102">
        <v>0</v>
      </c>
      <c r="R221" s="102">
        <v>440</v>
      </c>
      <c r="S221" s="102">
        <v>470</v>
      </c>
      <c r="T221" s="102">
        <v>520</v>
      </c>
      <c r="U221" s="102">
        <v>0</v>
      </c>
      <c r="V221" s="102">
        <v>0</v>
      </c>
      <c r="W221" s="102">
        <v>0</v>
      </c>
      <c r="X221" s="102">
        <v>390</v>
      </c>
      <c r="Y221" s="102">
        <v>400</v>
      </c>
      <c r="Z221" s="102">
        <v>0</v>
      </c>
      <c r="AA221" s="102">
        <v>0</v>
      </c>
      <c r="AB221" s="102">
        <v>0</v>
      </c>
      <c r="AC221" s="102">
        <v>0</v>
      </c>
      <c r="AD221" s="102">
        <v>0</v>
      </c>
      <c r="AE221" s="102">
        <v>0</v>
      </c>
      <c r="AF221" s="104">
        <f t="shared" si="75"/>
        <v>0</v>
      </c>
      <c r="AG221" s="102">
        <v>0</v>
      </c>
      <c r="AH221" s="102">
        <v>0</v>
      </c>
      <c r="AI221" s="197">
        <f t="shared" si="69"/>
        <v>0</v>
      </c>
    </row>
    <row r="222" spans="1:35" s="198" customFormat="1" ht="26.1" customHeight="1">
      <c r="A222" s="126"/>
      <c r="B222" s="65"/>
      <c r="C222" s="109"/>
      <c r="D222" s="101"/>
      <c r="E222" s="278">
        <f t="shared" ref="E222:AH222" si="76">SUM(E223:E236)</f>
        <v>210566</v>
      </c>
      <c r="F222" s="102">
        <f t="shared" si="76"/>
        <v>163449</v>
      </c>
      <c r="G222" s="102">
        <f t="shared" si="76"/>
        <v>47117</v>
      </c>
      <c r="H222" s="278">
        <f t="shared" si="76"/>
        <v>52693</v>
      </c>
      <c r="I222" s="102">
        <f t="shared" si="76"/>
        <v>0</v>
      </c>
      <c r="J222" s="102">
        <f t="shared" si="76"/>
        <v>7640</v>
      </c>
      <c r="K222" s="102">
        <f t="shared" si="76"/>
        <v>6600</v>
      </c>
      <c r="L222" s="102">
        <f t="shared" si="76"/>
        <v>8050</v>
      </c>
      <c r="M222" s="102">
        <f t="shared" si="76"/>
        <v>11050</v>
      </c>
      <c r="N222" s="102">
        <f t="shared" si="76"/>
        <v>8950</v>
      </c>
      <c r="O222" s="102">
        <f t="shared" si="76"/>
        <v>10403</v>
      </c>
      <c r="P222" s="278">
        <f t="shared" si="76"/>
        <v>114242</v>
      </c>
      <c r="Q222" s="102">
        <f t="shared" si="76"/>
        <v>8417</v>
      </c>
      <c r="R222" s="102">
        <f t="shared" si="76"/>
        <v>8592</v>
      </c>
      <c r="S222" s="102">
        <f t="shared" si="76"/>
        <v>8169</v>
      </c>
      <c r="T222" s="102">
        <f t="shared" si="76"/>
        <v>7113</v>
      </c>
      <c r="U222" s="102">
        <f t="shared" si="76"/>
        <v>7569</v>
      </c>
      <c r="V222" s="102">
        <f t="shared" si="76"/>
        <v>9463</v>
      </c>
      <c r="W222" s="102">
        <f t="shared" si="76"/>
        <v>4814</v>
      </c>
      <c r="X222" s="102">
        <f t="shared" si="76"/>
        <v>8100</v>
      </c>
      <c r="Y222" s="102">
        <f t="shared" si="76"/>
        <v>7914</v>
      </c>
      <c r="Z222" s="102">
        <f t="shared" si="76"/>
        <v>9681</v>
      </c>
      <c r="AA222" s="102">
        <f t="shared" si="76"/>
        <v>14000</v>
      </c>
      <c r="AB222" s="102">
        <f t="shared" si="76"/>
        <v>2000</v>
      </c>
      <c r="AC222" s="102">
        <f t="shared" si="76"/>
        <v>4714</v>
      </c>
      <c r="AD222" s="102">
        <f t="shared" si="76"/>
        <v>3500</v>
      </c>
      <c r="AE222" s="102">
        <f t="shared" si="76"/>
        <v>10196</v>
      </c>
      <c r="AF222" s="278">
        <f t="shared" si="76"/>
        <v>43631</v>
      </c>
      <c r="AG222" s="102">
        <f t="shared" si="76"/>
        <v>30681</v>
      </c>
      <c r="AH222" s="102">
        <f t="shared" si="76"/>
        <v>12950</v>
      </c>
      <c r="AI222" s="197">
        <f t="shared" si="69"/>
        <v>0</v>
      </c>
    </row>
    <row r="223" spans="1:35" s="198" customFormat="1" ht="26.1" customHeight="1">
      <c r="A223" s="126" t="s">
        <v>765</v>
      </c>
      <c r="B223" s="99" t="s">
        <v>473</v>
      </c>
      <c r="C223" s="109" t="s">
        <v>396</v>
      </c>
      <c r="D223" s="101">
        <v>4</v>
      </c>
      <c r="E223" s="102">
        <f t="shared" ref="E223:E236" si="77">SUM(H223,P223,AF223)</f>
        <v>472</v>
      </c>
      <c r="F223" s="102">
        <v>472</v>
      </c>
      <c r="G223" s="102">
        <v>0</v>
      </c>
      <c r="H223" s="102">
        <f t="shared" ref="H223:H236" si="78">SUM(I223:O223)</f>
        <v>0</v>
      </c>
      <c r="I223" s="102">
        <v>0</v>
      </c>
      <c r="J223" s="102">
        <v>0</v>
      </c>
      <c r="K223" s="102">
        <v>0</v>
      </c>
      <c r="L223" s="102">
        <v>0</v>
      </c>
      <c r="M223" s="102">
        <v>0</v>
      </c>
      <c r="N223" s="102">
        <v>0</v>
      </c>
      <c r="O223" s="103">
        <v>0</v>
      </c>
      <c r="P223" s="107">
        <f t="shared" ref="P223:P236" si="79">SUM(Q223:AE223)</f>
        <v>0</v>
      </c>
      <c r="Q223" s="102">
        <v>0</v>
      </c>
      <c r="R223" s="102">
        <v>0</v>
      </c>
      <c r="S223" s="102">
        <v>0</v>
      </c>
      <c r="T223" s="102">
        <v>0</v>
      </c>
      <c r="U223" s="102">
        <v>0</v>
      </c>
      <c r="V223" s="102">
        <v>0</v>
      </c>
      <c r="W223" s="102">
        <v>0</v>
      </c>
      <c r="X223" s="102">
        <v>0</v>
      </c>
      <c r="Y223" s="102">
        <v>0</v>
      </c>
      <c r="Z223" s="102">
        <v>0</v>
      </c>
      <c r="AA223" s="102">
        <v>0</v>
      </c>
      <c r="AB223" s="102">
        <v>0</v>
      </c>
      <c r="AC223" s="102">
        <v>0</v>
      </c>
      <c r="AD223" s="102">
        <v>0</v>
      </c>
      <c r="AE223" s="102">
        <v>0</v>
      </c>
      <c r="AF223" s="104">
        <f t="shared" ref="AF223:AF236" si="80">SUM(AG223:AH223)</f>
        <v>472</v>
      </c>
      <c r="AG223" s="102">
        <v>472</v>
      </c>
      <c r="AH223" s="102">
        <v>0</v>
      </c>
      <c r="AI223" s="197">
        <f t="shared" si="69"/>
        <v>0</v>
      </c>
    </row>
    <row r="224" spans="1:35" s="198" customFormat="1" ht="26.1" customHeight="1">
      <c r="A224" s="126" t="s">
        <v>765</v>
      </c>
      <c r="B224" s="99" t="s">
        <v>473</v>
      </c>
      <c r="C224" s="109" t="s">
        <v>397</v>
      </c>
      <c r="D224" s="101">
        <v>4</v>
      </c>
      <c r="E224" s="102">
        <f t="shared" si="77"/>
        <v>10030</v>
      </c>
      <c r="F224" s="102">
        <v>9830</v>
      </c>
      <c r="G224" s="102">
        <v>200</v>
      </c>
      <c r="H224" s="102">
        <f t="shared" si="78"/>
        <v>0</v>
      </c>
      <c r="I224" s="102">
        <v>0</v>
      </c>
      <c r="J224" s="102">
        <v>0</v>
      </c>
      <c r="K224" s="102">
        <v>0</v>
      </c>
      <c r="L224" s="102">
        <v>0</v>
      </c>
      <c r="M224" s="102">
        <v>0</v>
      </c>
      <c r="N224" s="102">
        <v>0</v>
      </c>
      <c r="O224" s="103">
        <v>0</v>
      </c>
      <c r="P224" s="107">
        <f t="shared" si="79"/>
        <v>8330</v>
      </c>
      <c r="Q224" s="102">
        <v>0</v>
      </c>
      <c r="R224" s="102">
        <v>1000</v>
      </c>
      <c r="S224" s="102">
        <v>1200</v>
      </c>
      <c r="T224" s="102">
        <v>0</v>
      </c>
      <c r="U224" s="102">
        <v>0</v>
      </c>
      <c r="V224" s="102">
        <v>0</v>
      </c>
      <c r="W224" s="102">
        <v>800</v>
      </c>
      <c r="X224" s="102">
        <v>750</v>
      </c>
      <c r="Y224" s="102">
        <v>0</v>
      </c>
      <c r="Z224" s="102">
        <v>750</v>
      </c>
      <c r="AA224" s="102">
        <v>550</v>
      </c>
      <c r="AB224" s="102">
        <v>600</v>
      </c>
      <c r="AC224" s="102">
        <v>930</v>
      </c>
      <c r="AD224" s="102">
        <v>650</v>
      </c>
      <c r="AE224" s="102">
        <v>1100</v>
      </c>
      <c r="AF224" s="104">
        <f t="shared" si="80"/>
        <v>1700</v>
      </c>
      <c r="AG224" s="102">
        <v>950</v>
      </c>
      <c r="AH224" s="102">
        <v>750</v>
      </c>
      <c r="AI224" s="197">
        <f t="shared" si="69"/>
        <v>0</v>
      </c>
    </row>
    <row r="225" spans="1:35" s="198" customFormat="1" ht="26.1" customHeight="1">
      <c r="A225" s="126" t="s">
        <v>765</v>
      </c>
      <c r="B225" s="99" t="s">
        <v>473</v>
      </c>
      <c r="C225" s="109" t="s">
        <v>398</v>
      </c>
      <c r="D225" s="101">
        <v>4</v>
      </c>
      <c r="E225" s="102">
        <f t="shared" si="77"/>
        <v>12854</v>
      </c>
      <c r="F225" s="102">
        <v>12854</v>
      </c>
      <c r="G225" s="102">
        <v>0</v>
      </c>
      <c r="H225" s="102">
        <f t="shared" si="78"/>
        <v>7050</v>
      </c>
      <c r="I225" s="102">
        <v>0</v>
      </c>
      <c r="J225" s="102">
        <v>1450</v>
      </c>
      <c r="K225" s="102">
        <v>1000</v>
      </c>
      <c r="L225" s="102">
        <v>1000</v>
      </c>
      <c r="M225" s="102">
        <v>1500</v>
      </c>
      <c r="N225" s="102">
        <v>2100</v>
      </c>
      <c r="O225" s="103">
        <v>0</v>
      </c>
      <c r="P225" s="107">
        <f t="shared" si="79"/>
        <v>5804</v>
      </c>
      <c r="Q225" s="102">
        <v>1404</v>
      </c>
      <c r="R225" s="102">
        <v>0</v>
      </c>
      <c r="S225" s="102">
        <v>0</v>
      </c>
      <c r="T225" s="102">
        <v>1000</v>
      </c>
      <c r="U225" s="102">
        <v>1200</v>
      </c>
      <c r="V225" s="102">
        <v>1000</v>
      </c>
      <c r="W225" s="102">
        <v>0</v>
      </c>
      <c r="X225" s="102">
        <v>0</v>
      </c>
      <c r="Y225" s="102">
        <v>1200</v>
      </c>
      <c r="Z225" s="102">
        <v>0</v>
      </c>
      <c r="AA225" s="102">
        <v>0</v>
      </c>
      <c r="AB225" s="102">
        <v>0</v>
      </c>
      <c r="AC225" s="102">
        <v>0</v>
      </c>
      <c r="AD225" s="102">
        <v>0</v>
      </c>
      <c r="AE225" s="102">
        <v>0</v>
      </c>
      <c r="AF225" s="104">
        <f t="shared" si="80"/>
        <v>0</v>
      </c>
      <c r="AG225" s="102">
        <v>0</v>
      </c>
      <c r="AH225" s="102">
        <v>0</v>
      </c>
      <c r="AI225" s="197">
        <f t="shared" si="69"/>
        <v>0</v>
      </c>
    </row>
    <row r="226" spans="1:35" s="198" customFormat="1" ht="26.1" customHeight="1">
      <c r="A226" s="126" t="s">
        <v>765</v>
      </c>
      <c r="B226" s="99" t="s">
        <v>473</v>
      </c>
      <c r="C226" s="109" t="s">
        <v>146</v>
      </c>
      <c r="D226" s="101">
        <v>4</v>
      </c>
      <c r="E226" s="102">
        <f t="shared" si="77"/>
        <v>9620</v>
      </c>
      <c r="F226" s="102">
        <v>9620</v>
      </c>
      <c r="G226" s="102">
        <v>0</v>
      </c>
      <c r="H226" s="102">
        <f t="shared" si="78"/>
        <v>2900</v>
      </c>
      <c r="I226" s="102">
        <v>0</v>
      </c>
      <c r="J226" s="102">
        <v>550</v>
      </c>
      <c r="K226" s="102">
        <v>500</v>
      </c>
      <c r="L226" s="102">
        <v>550</v>
      </c>
      <c r="M226" s="102">
        <v>650</v>
      </c>
      <c r="N226" s="102">
        <v>650</v>
      </c>
      <c r="O226" s="103">
        <v>0</v>
      </c>
      <c r="P226" s="107">
        <f t="shared" si="79"/>
        <v>6120</v>
      </c>
      <c r="Q226" s="102">
        <v>500</v>
      </c>
      <c r="R226" s="102">
        <v>500</v>
      </c>
      <c r="S226" s="102">
        <v>450</v>
      </c>
      <c r="T226" s="102">
        <v>450</v>
      </c>
      <c r="U226" s="102">
        <v>450</v>
      </c>
      <c r="V226" s="102">
        <v>450</v>
      </c>
      <c r="W226" s="102">
        <v>450</v>
      </c>
      <c r="X226" s="102">
        <v>450</v>
      </c>
      <c r="Y226" s="102">
        <v>450</v>
      </c>
      <c r="Z226" s="102">
        <v>450</v>
      </c>
      <c r="AA226" s="102">
        <v>450</v>
      </c>
      <c r="AB226" s="102">
        <v>400</v>
      </c>
      <c r="AC226" s="102">
        <v>320</v>
      </c>
      <c r="AD226" s="102">
        <v>350</v>
      </c>
      <c r="AE226" s="102">
        <v>0</v>
      </c>
      <c r="AF226" s="104">
        <f t="shared" si="80"/>
        <v>600</v>
      </c>
      <c r="AG226" s="102">
        <v>500</v>
      </c>
      <c r="AH226" s="102">
        <v>100</v>
      </c>
      <c r="AI226" s="197">
        <f t="shared" si="69"/>
        <v>0</v>
      </c>
    </row>
    <row r="227" spans="1:35" s="198" customFormat="1" ht="26.1" customHeight="1">
      <c r="A227" s="126" t="s">
        <v>765</v>
      </c>
      <c r="B227" s="99" t="s">
        <v>473</v>
      </c>
      <c r="C227" s="109" t="s">
        <v>399</v>
      </c>
      <c r="D227" s="101">
        <v>4</v>
      </c>
      <c r="E227" s="102">
        <f t="shared" si="77"/>
        <v>19496</v>
      </c>
      <c r="F227" s="102">
        <v>19496</v>
      </c>
      <c r="G227" s="102">
        <v>0</v>
      </c>
      <c r="H227" s="102">
        <f t="shared" si="78"/>
        <v>5700</v>
      </c>
      <c r="I227" s="102">
        <v>0</v>
      </c>
      <c r="J227" s="102">
        <v>800</v>
      </c>
      <c r="K227" s="102">
        <v>300</v>
      </c>
      <c r="L227" s="102">
        <v>800</v>
      </c>
      <c r="M227" s="102">
        <v>800</v>
      </c>
      <c r="N227" s="102">
        <v>1000</v>
      </c>
      <c r="O227" s="103">
        <v>2000</v>
      </c>
      <c r="P227" s="107">
        <f t="shared" si="79"/>
        <v>10496</v>
      </c>
      <c r="Q227" s="102">
        <v>700</v>
      </c>
      <c r="R227" s="102">
        <v>800</v>
      </c>
      <c r="S227" s="102">
        <v>700</v>
      </c>
      <c r="T227" s="102">
        <v>1000</v>
      </c>
      <c r="U227" s="102">
        <v>600</v>
      </c>
      <c r="V227" s="102">
        <v>700</v>
      </c>
      <c r="W227" s="102">
        <v>1100</v>
      </c>
      <c r="X227" s="102">
        <v>1000</v>
      </c>
      <c r="Y227" s="102">
        <v>600</v>
      </c>
      <c r="Z227" s="102">
        <v>800</v>
      </c>
      <c r="AA227" s="102">
        <v>700</v>
      </c>
      <c r="AB227" s="102">
        <v>100</v>
      </c>
      <c r="AC227" s="102">
        <v>500</v>
      </c>
      <c r="AD227" s="102">
        <v>500</v>
      </c>
      <c r="AE227" s="102">
        <v>696</v>
      </c>
      <c r="AF227" s="104">
        <f t="shared" si="80"/>
        <v>3300</v>
      </c>
      <c r="AG227" s="102">
        <v>2500</v>
      </c>
      <c r="AH227" s="102">
        <v>800</v>
      </c>
      <c r="AI227" s="197">
        <f t="shared" si="69"/>
        <v>0</v>
      </c>
    </row>
    <row r="228" spans="1:35" s="198" customFormat="1" ht="26.1" customHeight="1">
      <c r="A228" s="126" t="s">
        <v>765</v>
      </c>
      <c r="B228" s="99" t="s">
        <v>473</v>
      </c>
      <c r="C228" s="109" t="s">
        <v>400</v>
      </c>
      <c r="D228" s="101">
        <v>4</v>
      </c>
      <c r="E228" s="102">
        <f t="shared" si="77"/>
        <v>20200</v>
      </c>
      <c r="F228" s="102">
        <v>19200</v>
      </c>
      <c r="G228" s="102">
        <v>1000</v>
      </c>
      <c r="H228" s="102">
        <f t="shared" si="78"/>
        <v>8500</v>
      </c>
      <c r="I228" s="102">
        <v>0</v>
      </c>
      <c r="J228" s="102">
        <v>0</v>
      </c>
      <c r="K228" s="102">
        <v>3000</v>
      </c>
      <c r="L228" s="102">
        <v>0</v>
      </c>
      <c r="M228" s="102">
        <v>3000</v>
      </c>
      <c r="N228" s="102">
        <v>1500</v>
      </c>
      <c r="O228" s="103">
        <v>1000</v>
      </c>
      <c r="P228" s="107">
        <f t="shared" si="79"/>
        <v>9900</v>
      </c>
      <c r="Q228" s="102">
        <v>0</v>
      </c>
      <c r="R228" s="102">
        <v>500</v>
      </c>
      <c r="S228" s="102">
        <v>500</v>
      </c>
      <c r="T228" s="102">
        <v>0</v>
      </c>
      <c r="U228" s="102">
        <v>0</v>
      </c>
      <c r="V228" s="102">
        <v>1200</v>
      </c>
      <c r="W228" s="102">
        <v>0</v>
      </c>
      <c r="X228" s="102">
        <v>2000</v>
      </c>
      <c r="Y228" s="102">
        <v>700</v>
      </c>
      <c r="Z228" s="102">
        <v>0</v>
      </c>
      <c r="AA228" s="102">
        <v>2300</v>
      </c>
      <c r="AB228" s="102">
        <v>700</v>
      </c>
      <c r="AC228" s="102">
        <v>0</v>
      </c>
      <c r="AD228" s="102">
        <v>0</v>
      </c>
      <c r="AE228" s="102">
        <v>2000</v>
      </c>
      <c r="AF228" s="104">
        <f t="shared" si="80"/>
        <v>1800</v>
      </c>
      <c r="AG228" s="102">
        <v>0</v>
      </c>
      <c r="AH228" s="102">
        <v>1800</v>
      </c>
      <c r="AI228" s="197">
        <f t="shared" si="69"/>
        <v>0</v>
      </c>
    </row>
    <row r="229" spans="1:35" s="198" customFormat="1" ht="26.1" customHeight="1">
      <c r="A229" s="126" t="s">
        <v>765</v>
      </c>
      <c r="B229" s="99" t="s">
        <v>473</v>
      </c>
      <c r="C229" s="109" t="s">
        <v>401</v>
      </c>
      <c r="D229" s="101">
        <v>4</v>
      </c>
      <c r="E229" s="102">
        <f t="shared" si="77"/>
        <v>16445</v>
      </c>
      <c r="F229" s="102">
        <v>13945</v>
      </c>
      <c r="G229" s="102">
        <v>2500</v>
      </c>
      <c r="H229" s="102">
        <f t="shared" si="78"/>
        <v>5600</v>
      </c>
      <c r="I229" s="102">
        <v>0</v>
      </c>
      <c r="J229" s="102">
        <v>1300</v>
      </c>
      <c r="K229" s="102">
        <v>0</v>
      </c>
      <c r="L229" s="102">
        <v>1800</v>
      </c>
      <c r="M229" s="102">
        <v>1600</v>
      </c>
      <c r="N229" s="102">
        <v>900</v>
      </c>
      <c r="O229" s="103">
        <v>0</v>
      </c>
      <c r="P229" s="107">
        <f t="shared" si="79"/>
        <v>10845</v>
      </c>
      <c r="Q229" s="102">
        <v>2713</v>
      </c>
      <c r="R229" s="102">
        <v>0</v>
      </c>
      <c r="S229" s="102">
        <v>0</v>
      </c>
      <c r="T229" s="102">
        <v>1263</v>
      </c>
      <c r="U229" s="102">
        <v>0</v>
      </c>
      <c r="V229" s="102">
        <v>2713</v>
      </c>
      <c r="W229" s="102">
        <v>764</v>
      </c>
      <c r="X229" s="102">
        <v>0</v>
      </c>
      <c r="Y229" s="102">
        <v>664</v>
      </c>
      <c r="Z229" s="102">
        <v>864</v>
      </c>
      <c r="AA229" s="102">
        <v>0</v>
      </c>
      <c r="AB229" s="102">
        <v>0</v>
      </c>
      <c r="AC229" s="102">
        <v>1864</v>
      </c>
      <c r="AD229" s="102">
        <v>0</v>
      </c>
      <c r="AE229" s="102">
        <v>0</v>
      </c>
      <c r="AF229" s="104">
        <f t="shared" si="80"/>
        <v>0</v>
      </c>
      <c r="AG229" s="102">
        <v>0</v>
      </c>
      <c r="AH229" s="102">
        <v>0</v>
      </c>
      <c r="AI229" s="197">
        <f t="shared" si="69"/>
        <v>0</v>
      </c>
    </row>
    <row r="230" spans="1:35" s="198" customFormat="1" ht="26.1" customHeight="1">
      <c r="A230" s="126" t="s">
        <v>765</v>
      </c>
      <c r="B230" s="99" t="s">
        <v>473</v>
      </c>
      <c r="C230" s="109" t="s">
        <v>8</v>
      </c>
      <c r="D230" s="101">
        <v>4</v>
      </c>
      <c r="E230" s="102">
        <f t="shared" si="77"/>
        <v>7500</v>
      </c>
      <c r="F230" s="102">
        <v>7500</v>
      </c>
      <c r="G230" s="102">
        <v>0</v>
      </c>
      <c r="H230" s="102">
        <f t="shared" si="78"/>
        <v>2000</v>
      </c>
      <c r="I230" s="102">
        <v>0</v>
      </c>
      <c r="J230" s="102">
        <v>500</v>
      </c>
      <c r="K230" s="102">
        <v>0</v>
      </c>
      <c r="L230" s="102">
        <v>500</v>
      </c>
      <c r="M230" s="102">
        <v>500</v>
      </c>
      <c r="N230" s="102">
        <v>0</v>
      </c>
      <c r="O230" s="103">
        <v>500</v>
      </c>
      <c r="P230" s="107">
        <f t="shared" si="79"/>
        <v>5500</v>
      </c>
      <c r="Q230" s="102">
        <v>500</v>
      </c>
      <c r="R230" s="102">
        <v>500</v>
      </c>
      <c r="S230" s="102">
        <v>500</v>
      </c>
      <c r="T230" s="102">
        <v>0</v>
      </c>
      <c r="U230" s="102">
        <v>500</v>
      </c>
      <c r="V230" s="102">
        <v>0</v>
      </c>
      <c r="W230" s="102">
        <v>500</v>
      </c>
      <c r="X230" s="102">
        <v>500</v>
      </c>
      <c r="Y230" s="102">
        <v>500</v>
      </c>
      <c r="Z230" s="102">
        <v>0</v>
      </c>
      <c r="AA230" s="102">
        <v>0</v>
      </c>
      <c r="AB230" s="102">
        <v>0</v>
      </c>
      <c r="AC230" s="102">
        <v>0</v>
      </c>
      <c r="AD230" s="102">
        <v>0</v>
      </c>
      <c r="AE230" s="102">
        <v>2000</v>
      </c>
      <c r="AF230" s="104">
        <f t="shared" si="80"/>
        <v>0</v>
      </c>
      <c r="AG230" s="102">
        <v>0</v>
      </c>
      <c r="AH230" s="102">
        <v>0</v>
      </c>
      <c r="AI230" s="197">
        <f t="shared" si="69"/>
        <v>0</v>
      </c>
    </row>
    <row r="231" spans="1:35" s="198" customFormat="1" ht="26.1" customHeight="1">
      <c r="A231" s="126" t="s">
        <v>765</v>
      </c>
      <c r="B231" s="99" t="s">
        <v>473</v>
      </c>
      <c r="C231" s="109" t="s">
        <v>537</v>
      </c>
      <c r="D231" s="101">
        <v>4</v>
      </c>
      <c r="E231" s="102">
        <f t="shared" si="77"/>
        <v>10628</v>
      </c>
      <c r="F231" s="102">
        <v>10628</v>
      </c>
      <c r="G231" s="102">
        <v>0</v>
      </c>
      <c r="H231" s="102">
        <f t="shared" si="78"/>
        <v>6028</v>
      </c>
      <c r="I231" s="102">
        <v>0</v>
      </c>
      <c r="J231" s="102">
        <v>200</v>
      </c>
      <c r="K231" s="102">
        <v>200</v>
      </c>
      <c r="L231" s="102">
        <v>200</v>
      </c>
      <c r="M231" s="102">
        <v>200</v>
      </c>
      <c r="N231" s="102">
        <v>200</v>
      </c>
      <c r="O231" s="103">
        <v>5028</v>
      </c>
      <c r="P231" s="107">
        <f t="shared" si="79"/>
        <v>4600</v>
      </c>
      <c r="Q231" s="102">
        <v>200</v>
      </c>
      <c r="R231" s="102">
        <v>200</v>
      </c>
      <c r="S231" s="102">
        <v>200</v>
      </c>
      <c r="T231" s="102">
        <v>200</v>
      </c>
      <c r="U231" s="102">
        <v>200</v>
      </c>
      <c r="V231" s="102">
        <v>200</v>
      </c>
      <c r="W231" s="102">
        <v>200</v>
      </c>
      <c r="X231" s="102">
        <v>200</v>
      </c>
      <c r="Y231" s="102">
        <v>200</v>
      </c>
      <c r="Z231" s="102">
        <v>200</v>
      </c>
      <c r="AA231" s="102">
        <v>0</v>
      </c>
      <c r="AB231" s="102">
        <v>200</v>
      </c>
      <c r="AC231" s="102">
        <v>200</v>
      </c>
      <c r="AD231" s="102">
        <v>200</v>
      </c>
      <c r="AE231" s="102">
        <v>2000</v>
      </c>
      <c r="AF231" s="104">
        <f t="shared" si="80"/>
        <v>0</v>
      </c>
      <c r="AG231" s="102">
        <v>0</v>
      </c>
      <c r="AH231" s="102">
        <v>0</v>
      </c>
      <c r="AI231" s="197">
        <f t="shared" si="69"/>
        <v>0</v>
      </c>
    </row>
    <row r="232" spans="1:35" s="198" customFormat="1" ht="26.1" customHeight="1">
      <c r="A232" s="126" t="s">
        <v>765</v>
      </c>
      <c r="B232" s="99" t="s">
        <v>473</v>
      </c>
      <c r="C232" s="109" t="s">
        <v>538</v>
      </c>
      <c r="D232" s="101">
        <v>4</v>
      </c>
      <c r="E232" s="102">
        <f t="shared" si="77"/>
        <v>23800</v>
      </c>
      <c r="F232" s="102">
        <v>23800</v>
      </c>
      <c r="G232" s="102">
        <v>0</v>
      </c>
      <c r="H232" s="102">
        <f t="shared" si="78"/>
        <v>4515</v>
      </c>
      <c r="I232" s="102">
        <v>0</v>
      </c>
      <c r="J232" s="102">
        <v>300</v>
      </c>
      <c r="K232" s="102">
        <v>0</v>
      </c>
      <c r="L232" s="102">
        <v>1600</v>
      </c>
      <c r="M232" s="102">
        <v>1200</v>
      </c>
      <c r="N232" s="102">
        <v>1000</v>
      </c>
      <c r="O232" s="103">
        <v>415</v>
      </c>
      <c r="P232" s="107">
        <f t="shared" si="79"/>
        <v>17385</v>
      </c>
      <c r="Q232" s="102">
        <v>800</v>
      </c>
      <c r="R232" s="102">
        <v>1600</v>
      </c>
      <c r="S232" s="102">
        <v>1600</v>
      </c>
      <c r="T232" s="102">
        <v>1600</v>
      </c>
      <c r="U232" s="102">
        <v>1600</v>
      </c>
      <c r="V232" s="102">
        <v>1600</v>
      </c>
      <c r="W232" s="102">
        <v>500</v>
      </c>
      <c r="X232" s="102">
        <v>1600</v>
      </c>
      <c r="Y232" s="102">
        <v>2000</v>
      </c>
      <c r="Z232" s="102">
        <v>1600</v>
      </c>
      <c r="AA232" s="102">
        <v>500</v>
      </c>
      <c r="AB232" s="102">
        <v>0</v>
      </c>
      <c r="AC232" s="102">
        <v>300</v>
      </c>
      <c r="AD232" s="102">
        <v>300</v>
      </c>
      <c r="AE232" s="102">
        <v>1785</v>
      </c>
      <c r="AF232" s="104">
        <f t="shared" si="80"/>
        <v>1900</v>
      </c>
      <c r="AG232" s="102">
        <v>1900</v>
      </c>
      <c r="AH232" s="102">
        <v>0</v>
      </c>
      <c r="AI232" s="197">
        <f t="shared" si="69"/>
        <v>0</v>
      </c>
    </row>
    <row r="233" spans="1:35" s="198" customFormat="1" ht="26.1" customHeight="1">
      <c r="A233" s="126" t="s">
        <v>765</v>
      </c>
      <c r="B233" s="99" t="s">
        <v>473</v>
      </c>
      <c r="C233" s="109" t="s">
        <v>539</v>
      </c>
      <c r="D233" s="101">
        <v>4</v>
      </c>
      <c r="E233" s="102">
        <f t="shared" si="77"/>
        <v>29015</v>
      </c>
      <c r="F233" s="102">
        <v>29015</v>
      </c>
      <c r="G233" s="102">
        <v>0</v>
      </c>
      <c r="H233" s="102">
        <f t="shared" si="78"/>
        <v>9460</v>
      </c>
      <c r="I233" s="102">
        <v>0</v>
      </c>
      <c r="J233" s="102">
        <v>1600</v>
      </c>
      <c r="K233" s="102">
        <v>1600</v>
      </c>
      <c r="L233" s="102">
        <v>1600</v>
      </c>
      <c r="M233" s="102">
        <v>1600</v>
      </c>
      <c r="N233" s="102">
        <v>1600</v>
      </c>
      <c r="O233" s="103">
        <v>1460</v>
      </c>
      <c r="P233" s="107">
        <f t="shared" si="79"/>
        <v>17615</v>
      </c>
      <c r="Q233" s="102">
        <v>1600</v>
      </c>
      <c r="R233" s="102">
        <v>1600</v>
      </c>
      <c r="S233" s="102">
        <v>1600</v>
      </c>
      <c r="T233" s="102">
        <v>1600</v>
      </c>
      <c r="U233" s="102">
        <v>1600</v>
      </c>
      <c r="V233" s="102">
        <v>1600</v>
      </c>
      <c r="W233" s="102">
        <v>500</v>
      </c>
      <c r="X233" s="102">
        <v>1600</v>
      </c>
      <c r="Y233" s="102">
        <v>1600</v>
      </c>
      <c r="Z233" s="102">
        <v>1600</v>
      </c>
      <c r="AA233" s="102">
        <v>0</v>
      </c>
      <c r="AB233" s="102">
        <v>0</v>
      </c>
      <c r="AC233" s="102">
        <v>600</v>
      </c>
      <c r="AD233" s="102">
        <v>1500</v>
      </c>
      <c r="AE233" s="102">
        <v>615</v>
      </c>
      <c r="AF233" s="104">
        <f t="shared" si="80"/>
        <v>1940</v>
      </c>
      <c r="AG233" s="102">
        <v>1940</v>
      </c>
      <c r="AH233" s="102">
        <v>0</v>
      </c>
      <c r="AI233" s="197">
        <f t="shared" si="69"/>
        <v>0</v>
      </c>
    </row>
    <row r="234" spans="1:35" s="198" customFormat="1" ht="26.1" customHeight="1">
      <c r="A234" s="126" t="s">
        <v>765</v>
      </c>
      <c r="B234" s="99" t="s">
        <v>473</v>
      </c>
      <c r="C234" s="109" t="s">
        <v>540</v>
      </c>
      <c r="D234" s="101">
        <v>4</v>
      </c>
      <c r="E234" s="102">
        <f t="shared" si="77"/>
        <v>11500</v>
      </c>
      <c r="F234" s="102">
        <v>0</v>
      </c>
      <c r="G234" s="102">
        <v>11500</v>
      </c>
      <c r="H234" s="102">
        <f t="shared" si="78"/>
        <v>0</v>
      </c>
      <c r="I234" s="102">
        <v>0</v>
      </c>
      <c r="J234" s="102">
        <v>0</v>
      </c>
      <c r="K234" s="102">
        <v>0</v>
      </c>
      <c r="L234" s="102">
        <v>0</v>
      </c>
      <c r="M234" s="102">
        <v>0</v>
      </c>
      <c r="N234" s="102">
        <v>0</v>
      </c>
      <c r="O234" s="103">
        <v>0</v>
      </c>
      <c r="P234" s="107">
        <f t="shared" si="79"/>
        <v>0</v>
      </c>
      <c r="Q234" s="102">
        <v>0</v>
      </c>
      <c r="R234" s="102">
        <v>0</v>
      </c>
      <c r="S234" s="102">
        <v>0</v>
      </c>
      <c r="T234" s="102">
        <v>0</v>
      </c>
      <c r="U234" s="102">
        <v>0</v>
      </c>
      <c r="V234" s="102">
        <v>0</v>
      </c>
      <c r="W234" s="102">
        <v>0</v>
      </c>
      <c r="X234" s="102">
        <v>0</v>
      </c>
      <c r="Y234" s="102">
        <v>0</v>
      </c>
      <c r="Z234" s="102">
        <v>0</v>
      </c>
      <c r="AA234" s="102">
        <v>0</v>
      </c>
      <c r="AB234" s="102">
        <v>0</v>
      </c>
      <c r="AC234" s="102">
        <v>0</v>
      </c>
      <c r="AD234" s="102">
        <v>0</v>
      </c>
      <c r="AE234" s="102">
        <v>0</v>
      </c>
      <c r="AF234" s="104">
        <f t="shared" si="80"/>
        <v>11500</v>
      </c>
      <c r="AG234" s="102">
        <v>11500</v>
      </c>
      <c r="AH234" s="102">
        <v>0</v>
      </c>
      <c r="AI234" s="197">
        <f t="shared" si="69"/>
        <v>0</v>
      </c>
    </row>
    <row r="235" spans="1:35" s="198" customFormat="1" ht="26.1" customHeight="1">
      <c r="A235" s="126" t="s">
        <v>765</v>
      </c>
      <c r="B235" s="99" t="s">
        <v>473</v>
      </c>
      <c r="C235" s="109" t="s">
        <v>541</v>
      </c>
      <c r="D235" s="101">
        <v>4</v>
      </c>
      <c r="E235" s="102">
        <f t="shared" si="77"/>
        <v>7089</v>
      </c>
      <c r="F235" s="102">
        <v>7089</v>
      </c>
      <c r="G235" s="102">
        <v>0</v>
      </c>
      <c r="H235" s="102">
        <f t="shared" si="78"/>
        <v>940</v>
      </c>
      <c r="I235" s="102">
        <v>0</v>
      </c>
      <c r="J235" s="102">
        <v>940</v>
      </c>
      <c r="K235" s="102">
        <v>0</v>
      </c>
      <c r="L235" s="102">
        <v>0</v>
      </c>
      <c r="M235" s="102">
        <v>0</v>
      </c>
      <c r="N235" s="102">
        <v>0</v>
      </c>
      <c r="O235" s="103">
        <v>0</v>
      </c>
      <c r="P235" s="107">
        <f t="shared" si="79"/>
        <v>4730</v>
      </c>
      <c r="Q235" s="102">
        <v>0</v>
      </c>
      <c r="R235" s="102">
        <v>1892</v>
      </c>
      <c r="S235" s="102">
        <v>1419</v>
      </c>
      <c r="T235" s="102">
        <v>0</v>
      </c>
      <c r="U235" s="102">
        <v>1419</v>
      </c>
      <c r="V235" s="102">
        <v>0</v>
      </c>
      <c r="W235" s="102">
        <v>0</v>
      </c>
      <c r="X235" s="102">
        <v>0</v>
      </c>
      <c r="Y235" s="102">
        <v>0</v>
      </c>
      <c r="Z235" s="102">
        <v>0</v>
      </c>
      <c r="AA235" s="102">
        <v>0</v>
      </c>
      <c r="AB235" s="102">
        <v>0</v>
      </c>
      <c r="AC235" s="102">
        <v>0</v>
      </c>
      <c r="AD235" s="102">
        <v>0</v>
      </c>
      <c r="AE235" s="102">
        <v>0</v>
      </c>
      <c r="AF235" s="104">
        <f t="shared" si="80"/>
        <v>1419</v>
      </c>
      <c r="AG235" s="102">
        <v>1419</v>
      </c>
      <c r="AH235" s="102">
        <v>0</v>
      </c>
      <c r="AI235" s="197">
        <f t="shared" si="69"/>
        <v>0</v>
      </c>
    </row>
    <row r="236" spans="1:35" s="198" customFormat="1" ht="26.1" customHeight="1">
      <c r="A236" s="126" t="s">
        <v>765</v>
      </c>
      <c r="B236" s="99" t="s">
        <v>473</v>
      </c>
      <c r="C236" s="109" t="s">
        <v>402</v>
      </c>
      <c r="D236" s="101">
        <v>4</v>
      </c>
      <c r="E236" s="102">
        <f t="shared" si="77"/>
        <v>31917</v>
      </c>
      <c r="F236" s="102">
        <v>0</v>
      </c>
      <c r="G236" s="102">
        <v>31917</v>
      </c>
      <c r="H236" s="102">
        <f t="shared" si="78"/>
        <v>0</v>
      </c>
      <c r="I236" s="102">
        <v>0</v>
      </c>
      <c r="J236" s="102">
        <v>0</v>
      </c>
      <c r="K236" s="102">
        <v>0</v>
      </c>
      <c r="L236" s="102">
        <v>0</v>
      </c>
      <c r="M236" s="102">
        <v>0</v>
      </c>
      <c r="N236" s="102">
        <v>0</v>
      </c>
      <c r="O236" s="103">
        <v>0</v>
      </c>
      <c r="P236" s="107">
        <f t="shared" si="79"/>
        <v>12917</v>
      </c>
      <c r="Q236" s="102">
        <v>0</v>
      </c>
      <c r="R236" s="102">
        <v>0</v>
      </c>
      <c r="S236" s="102">
        <v>0</v>
      </c>
      <c r="T236" s="102">
        <v>0</v>
      </c>
      <c r="U236" s="102">
        <v>0</v>
      </c>
      <c r="V236" s="102">
        <v>0</v>
      </c>
      <c r="W236" s="102">
        <v>0</v>
      </c>
      <c r="X236" s="102">
        <v>0</v>
      </c>
      <c r="Y236" s="102">
        <v>0</v>
      </c>
      <c r="Z236" s="102">
        <v>3417</v>
      </c>
      <c r="AA236" s="102">
        <v>9500</v>
      </c>
      <c r="AB236" s="102">
        <v>0</v>
      </c>
      <c r="AC236" s="102">
        <v>0</v>
      </c>
      <c r="AD236" s="102">
        <v>0</v>
      </c>
      <c r="AE236" s="102">
        <v>0</v>
      </c>
      <c r="AF236" s="104">
        <f t="shared" si="80"/>
        <v>19000</v>
      </c>
      <c r="AG236" s="102">
        <v>9500</v>
      </c>
      <c r="AH236" s="102">
        <v>9500</v>
      </c>
      <c r="AI236" s="197">
        <f t="shared" si="69"/>
        <v>0</v>
      </c>
    </row>
    <row r="237" spans="1:35" s="198" customFormat="1" ht="26.1" customHeight="1">
      <c r="A237" s="126"/>
      <c r="B237" s="99"/>
      <c r="C237" s="109"/>
      <c r="D237" s="101"/>
      <c r="E237" s="278">
        <f t="shared" ref="E237:AH237" si="81">SUM(E238:E242)</f>
        <v>60694</v>
      </c>
      <c r="F237" s="102">
        <f t="shared" si="81"/>
        <v>57094</v>
      </c>
      <c r="G237" s="102">
        <f t="shared" si="81"/>
        <v>3600</v>
      </c>
      <c r="H237" s="278">
        <f t="shared" si="81"/>
        <v>15009</v>
      </c>
      <c r="I237" s="102">
        <f t="shared" si="81"/>
        <v>0</v>
      </c>
      <c r="J237" s="102">
        <f t="shared" si="81"/>
        <v>1450</v>
      </c>
      <c r="K237" s="102">
        <f t="shared" si="81"/>
        <v>1400</v>
      </c>
      <c r="L237" s="102">
        <f t="shared" si="81"/>
        <v>1480</v>
      </c>
      <c r="M237" s="102">
        <f t="shared" si="81"/>
        <v>1474</v>
      </c>
      <c r="N237" s="102">
        <f t="shared" si="81"/>
        <v>2560</v>
      </c>
      <c r="O237" s="102">
        <f t="shared" si="81"/>
        <v>6645</v>
      </c>
      <c r="P237" s="278">
        <f t="shared" si="81"/>
        <v>45485</v>
      </c>
      <c r="Q237" s="102">
        <f t="shared" si="81"/>
        <v>650</v>
      </c>
      <c r="R237" s="102">
        <f t="shared" si="81"/>
        <v>250</v>
      </c>
      <c r="S237" s="102">
        <f t="shared" si="81"/>
        <v>620</v>
      </c>
      <c r="T237" s="102">
        <f t="shared" si="81"/>
        <v>900</v>
      </c>
      <c r="U237" s="102">
        <f t="shared" si="81"/>
        <v>2180</v>
      </c>
      <c r="V237" s="102">
        <f t="shared" si="81"/>
        <v>900</v>
      </c>
      <c r="W237" s="102">
        <f t="shared" si="81"/>
        <v>690</v>
      </c>
      <c r="X237" s="102">
        <f t="shared" si="81"/>
        <v>690</v>
      </c>
      <c r="Y237" s="102">
        <f t="shared" si="81"/>
        <v>650</v>
      </c>
      <c r="Z237" s="102">
        <f t="shared" si="81"/>
        <v>1876</v>
      </c>
      <c r="AA237" s="102">
        <f t="shared" si="81"/>
        <v>500</v>
      </c>
      <c r="AB237" s="102">
        <f t="shared" si="81"/>
        <v>540</v>
      </c>
      <c r="AC237" s="102">
        <f t="shared" si="81"/>
        <v>500</v>
      </c>
      <c r="AD237" s="102">
        <f t="shared" si="81"/>
        <v>470</v>
      </c>
      <c r="AE237" s="102">
        <f t="shared" si="81"/>
        <v>34069</v>
      </c>
      <c r="AF237" s="278">
        <f t="shared" si="81"/>
        <v>200</v>
      </c>
      <c r="AG237" s="102">
        <f t="shared" si="81"/>
        <v>0</v>
      </c>
      <c r="AH237" s="102">
        <f t="shared" si="81"/>
        <v>200</v>
      </c>
      <c r="AI237" s="197">
        <f t="shared" si="69"/>
        <v>0</v>
      </c>
    </row>
    <row r="238" spans="1:35" s="198" customFormat="1" ht="26.1" customHeight="1">
      <c r="A238" s="126" t="s">
        <v>765</v>
      </c>
      <c r="B238" s="276" t="s">
        <v>474</v>
      </c>
      <c r="C238" s="109" t="s">
        <v>542</v>
      </c>
      <c r="D238" s="101">
        <v>4</v>
      </c>
      <c r="E238" s="102">
        <f>SUM(H238,P238,AF238)</f>
        <v>19983</v>
      </c>
      <c r="F238" s="102">
        <v>19983</v>
      </c>
      <c r="G238" s="102">
        <v>0</v>
      </c>
      <c r="H238" s="102">
        <f>SUM(I238:O238)</f>
        <v>2000</v>
      </c>
      <c r="I238" s="102">
        <v>0</v>
      </c>
      <c r="J238" s="102">
        <v>0</v>
      </c>
      <c r="K238" s="102">
        <v>0</v>
      </c>
      <c r="L238" s="102">
        <v>0</v>
      </c>
      <c r="M238" s="102">
        <v>0</v>
      </c>
      <c r="N238" s="102">
        <v>700</v>
      </c>
      <c r="O238" s="103">
        <v>1300</v>
      </c>
      <c r="P238" s="107">
        <f>SUM(Q238:AE238)</f>
        <v>17983</v>
      </c>
      <c r="Q238" s="102">
        <v>180</v>
      </c>
      <c r="R238" s="102">
        <v>140</v>
      </c>
      <c r="S238" s="102">
        <v>120</v>
      </c>
      <c r="T238" s="102">
        <v>100</v>
      </c>
      <c r="U238" s="102">
        <v>1130</v>
      </c>
      <c r="V238" s="102">
        <v>100</v>
      </c>
      <c r="W238" s="102">
        <v>180</v>
      </c>
      <c r="X238" s="102">
        <v>150</v>
      </c>
      <c r="Y238" s="102">
        <v>150</v>
      </c>
      <c r="Z238" s="102">
        <v>1720</v>
      </c>
      <c r="AA238" s="102">
        <v>100</v>
      </c>
      <c r="AB238" s="102">
        <v>140</v>
      </c>
      <c r="AC238" s="102">
        <v>100</v>
      </c>
      <c r="AD238" s="102">
        <v>0</v>
      </c>
      <c r="AE238" s="102">
        <v>13673</v>
      </c>
      <c r="AF238" s="104">
        <f>SUM(AG238:AH238)</f>
        <v>0</v>
      </c>
      <c r="AG238" s="102">
        <v>0</v>
      </c>
      <c r="AH238" s="102">
        <v>0</v>
      </c>
      <c r="AI238" s="197">
        <f t="shared" si="69"/>
        <v>0</v>
      </c>
    </row>
    <row r="239" spans="1:35" s="198" customFormat="1" ht="26.1" customHeight="1">
      <c r="A239" s="126" t="s">
        <v>765</v>
      </c>
      <c r="B239" s="99" t="s">
        <v>474</v>
      </c>
      <c r="C239" s="109" t="s">
        <v>403</v>
      </c>
      <c r="D239" s="101">
        <v>4</v>
      </c>
      <c r="E239" s="102">
        <f>SUM(H239,P239,AF239)</f>
        <v>8943</v>
      </c>
      <c r="F239" s="102">
        <v>8943</v>
      </c>
      <c r="G239" s="102">
        <v>0</v>
      </c>
      <c r="H239" s="102">
        <f>SUM(I239:O239)</f>
        <v>5664</v>
      </c>
      <c r="I239" s="102">
        <v>0</v>
      </c>
      <c r="J239" s="102">
        <v>1050</v>
      </c>
      <c r="K239" s="102">
        <v>1000</v>
      </c>
      <c r="L239" s="102">
        <v>1080</v>
      </c>
      <c r="M239" s="102">
        <v>1074</v>
      </c>
      <c r="N239" s="102">
        <v>1460</v>
      </c>
      <c r="O239" s="103">
        <v>0</v>
      </c>
      <c r="P239" s="107">
        <f>SUM(Q239:AE239)</f>
        <v>3279</v>
      </c>
      <c r="Q239" s="102">
        <v>70</v>
      </c>
      <c r="R239" s="102">
        <v>110</v>
      </c>
      <c r="S239" s="102">
        <v>100</v>
      </c>
      <c r="T239" s="102">
        <v>0</v>
      </c>
      <c r="U239" s="102">
        <v>650</v>
      </c>
      <c r="V239" s="102">
        <v>0</v>
      </c>
      <c r="W239" s="102">
        <v>110</v>
      </c>
      <c r="X239" s="102">
        <v>140</v>
      </c>
      <c r="Y239" s="102">
        <v>100</v>
      </c>
      <c r="Z239" s="102">
        <v>156</v>
      </c>
      <c r="AA239" s="102">
        <v>0</v>
      </c>
      <c r="AB239" s="102">
        <v>0</v>
      </c>
      <c r="AC239" s="102">
        <v>0</v>
      </c>
      <c r="AD239" s="102">
        <v>70</v>
      </c>
      <c r="AE239" s="102">
        <v>1773</v>
      </c>
      <c r="AF239" s="104">
        <f>SUM(AG239:AH239)</f>
        <v>0</v>
      </c>
      <c r="AG239" s="102">
        <v>0</v>
      </c>
      <c r="AH239" s="102">
        <v>0</v>
      </c>
      <c r="AI239" s="197">
        <f t="shared" si="69"/>
        <v>0</v>
      </c>
    </row>
    <row r="240" spans="1:35" s="198" customFormat="1" ht="26.1" customHeight="1">
      <c r="A240" s="126" t="s">
        <v>765</v>
      </c>
      <c r="B240" s="99" t="s">
        <v>474</v>
      </c>
      <c r="C240" s="109" t="s">
        <v>404</v>
      </c>
      <c r="D240" s="101">
        <v>4</v>
      </c>
      <c r="E240" s="102">
        <f>SUM(H240,P240,AF240)</f>
        <v>9400</v>
      </c>
      <c r="F240" s="102">
        <v>9400</v>
      </c>
      <c r="G240" s="102">
        <v>0</v>
      </c>
      <c r="H240" s="102">
        <f>SUM(I240:O240)</f>
        <v>3100</v>
      </c>
      <c r="I240" s="102">
        <v>0</v>
      </c>
      <c r="J240" s="102">
        <v>0</v>
      </c>
      <c r="K240" s="102">
        <v>0</v>
      </c>
      <c r="L240" s="102">
        <v>0</v>
      </c>
      <c r="M240" s="102">
        <v>0</v>
      </c>
      <c r="N240" s="102">
        <v>0</v>
      </c>
      <c r="O240" s="103">
        <v>3100</v>
      </c>
      <c r="P240" s="107">
        <f>SUM(Q240:AE240)</f>
        <v>6300</v>
      </c>
      <c r="Q240" s="102">
        <v>0</v>
      </c>
      <c r="R240" s="102">
        <v>0</v>
      </c>
      <c r="S240" s="102">
        <v>0</v>
      </c>
      <c r="T240" s="102">
        <v>0</v>
      </c>
      <c r="U240" s="102">
        <v>0</v>
      </c>
      <c r="V240" s="102">
        <v>0</v>
      </c>
      <c r="W240" s="102">
        <v>0</v>
      </c>
      <c r="X240" s="102">
        <v>0</v>
      </c>
      <c r="Y240" s="102">
        <v>0</v>
      </c>
      <c r="Z240" s="102">
        <v>0</v>
      </c>
      <c r="AA240" s="102">
        <v>0</v>
      </c>
      <c r="AB240" s="102">
        <v>0</v>
      </c>
      <c r="AC240" s="102">
        <v>0</v>
      </c>
      <c r="AD240" s="102">
        <v>0</v>
      </c>
      <c r="AE240" s="102">
        <v>6300</v>
      </c>
      <c r="AF240" s="104">
        <f>SUM(AG240:AH240)</f>
        <v>0</v>
      </c>
      <c r="AG240" s="102">
        <v>0</v>
      </c>
      <c r="AH240" s="102">
        <v>0</v>
      </c>
      <c r="AI240" s="197">
        <f t="shared" si="69"/>
        <v>0</v>
      </c>
    </row>
    <row r="241" spans="1:35" s="198" customFormat="1" ht="26.1" customHeight="1">
      <c r="A241" s="126" t="s">
        <v>765</v>
      </c>
      <c r="B241" s="99" t="s">
        <v>474</v>
      </c>
      <c r="C241" s="109" t="s">
        <v>405</v>
      </c>
      <c r="D241" s="101">
        <v>4</v>
      </c>
      <c r="E241" s="102">
        <f>SUM(H241,P241,AF241)</f>
        <v>10018</v>
      </c>
      <c r="F241" s="102">
        <v>10018</v>
      </c>
      <c r="G241" s="102">
        <v>0</v>
      </c>
      <c r="H241" s="102">
        <f>SUM(I241:O241)</f>
        <v>2345</v>
      </c>
      <c r="I241" s="102" t="s">
        <v>145</v>
      </c>
      <c r="J241" s="102">
        <v>400</v>
      </c>
      <c r="K241" s="102">
        <v>400</v>
      </c>
      <c r="L241" s="102">
        <v>400</v>
      </c>
      <c r="M241" s="102">
        <v>400</v>
      </c>
      <c r="N241" s="102">
        <v>400</v>
      </c>
      <c r="O241" s="103">
        <v>345</v>
      </c>
      <c r="P241" s="107">
        <f>SUM(Q241:AE241)</f>
        <v>7473</v>
      </c>
      <c r="Q241" s="102">
        <v>400</v>
      </c>
      <c r="R241" s="102">
        <v>0</v>
      </c>
      <c r="S241" s="102">
        <v>400</v>
      </c>
      <c r="T241" s="102">
        <v>800</v>
      </c>
      <c r="U241" s="102">
        <v>400</v>
      </c>
      <c r="V241" s="102">
        <v>800</v>
      </c>
      <c r="W241" s="102">
        <v>400</v>
      </c>
      <c r="X241" s="102">
        <v>400</v>
      </c>
      <c r="Y241" s="102">
        <v>400</v>
      </c>
      <c r="Z241" s="102" t="s">
        <v>145</v>
      </c>
      <c r="AA241" s="102">
        <v>400</v>
      </c>
      <c r="AB241" s="102">
        <v>400</v>
      </c>
      <c r="AC241" s="102">
        <v>400</v>
      </c>
      <c r="AD241" s="102">
        <v>400</v>
      </c>
      <c r="AE241" s="102">
        <v>1873</v>
      </c>
      <c r="AF241" s="104">
        <f>SUM(AG241:AH241)</f>
        <v>200</v>
      </c>
      <c r="AG241" s="102" t="s">
        <v>145</v>
      </c>
      <c r="AH241" s="102">
        <v>200</v>
      </c>
      <c r="AI241" s="197">
        <f t="shared" si="69"/>
        <v>0</v>
      </c>
    </row>
    <row r="242" spans="1:35" s="198" customFormat="1" ht="26.1" customHeight="1">
      <c r="A242" s="126" t="s">
        <v>765</v>
      </c>
      <c r="B242" s="99" t="s">
        <v>474</v>
      </c>
      <c r="C242" s="109" t="s">
        <v>406</v>
      </c>
      <c r="D242" s="101">
        <v>4</v>
      </c>
      <c r="E242" s="102">
        <f>SUM(H242,P242,AF242)</f>
        <v>12350</v>
      </c>
      <c r="F242" s="102">
        <v>8750</v>
      </c>
      <c r="G242" s="102">
        <v>3600</v>
      </c>
      <c r="H242" s="102">
        <f>SUM(I242:O242)</f>
        <v>1900</v>
      </c>
      <c r="I242" s="102">
        <v>0</v>
      </c>
      <c r="J242" s="102">
        <v>0</v>
      </c>
      <c r="K242" s="102">
        <v>0</v>
      </c>
      <c r="L242" s="102">
        <v>0</v>
      </c>
      <c r="M242" s="102">
        <v>0</v>
      </c>
      <c r="N242" s="102">
        <v>0</v>
      </c>
      <c r="O242" s="103">
        <v>1900</v>
      </c>
      <c r="P242" s="107">
        <f>SUM(Q242:AE242)</f>
        <v>10450</v>
      </c>
      <c r="Q242" s="102">
        <v>0</v>
      </c>
      <c r="R242" s="102">
        <v>0</v>
      </c>
      <c r="S242" s="102">
        <v>0</v>
      </c>
      <c r="T242" s="102">
        <v>0</v>
      </c>
      <c r="U242" s="102">
        <v>0</v>
      </c>
      <c r="V242" s="102">
        <v>0</v>
      </c>
      <c r="W242" s="102">
        <v>0</v>
      </c>
      <c r="X242" s="102">
        <v>0</v>
      </c>
      <c r="Y242" s="102">
        <v>0</v>
      </c>
      <c r="Z242" s="102">
        <v>0</v>
      </c>
      <c r="AA242" s="102">
        <v>0</v>
      </c>
      <c r="AB242" s="102">
        <v>0</v>
      </c>
      <c r="AC242" s="102">
        <v>0</v>
      </c>
      <c r="AD242" s="102">
        <v>0</v>
      </c>
      <c r="AE242" s="102">
        <v>10450</v>
      </c>
      <c r="AF242" s="104">
        <f>SUM(AG242:AH242)</f>
        <v>0</v>
      </c>
      <c r="AG242" s="102">
        <v>0</v>
      </c>
      <c r="AH242" s="102">
        <v>0</v>
      </c>
      <c r="AI242" s="197">
        <f t="shared" si="69"/>
        <v>0</v>
      </c>
    </row>
    <row r="243" spans="1:35" s="198" customFormat="1" ht="26.1" customHeight="1">
      <c r="A243" s="126"/>
      <c r="B243" s="99"/>
      <c r="C243" s="109"/>
      <c r="D243" s="101"/>
      <c r="E243" s="278">
        <f t="shared" ref="E243:AH243" si="82">SUM(E244:E251)</f>
        <v>460087</v>
      </c>
      <c r="F243" s="102">
        <f t="shared" si="82"/>
        <v>19012</v>
      </c>
      <c r="G243" s="102">
        <f t="shared" si="82"/>
        <v>441075</v>
      </c>
      <c r="H243" s="278">
        <f t="shared" si="82"/>
        <v>91317</v>
      </c>
      <c r="I243" s="102">
        <f t="shared" si="82"/>
        <v>0</v>
      </c>
      <c r="J243" s="102">
        <f t="shared" si="82"/>
        <v>17195</v>
      </c>
      <c r="K243" s="102">
        <f t="shared" si="82"/>
        <v>7620</v>
      </c>
      <c r="L243" s="102">
        <f t="shared" si="82"/>
        <v>5944</v>
      </c>
      <c r="M243" s="102">
        <f t="shared" si="82"/>
        <v>22531</v>
      </c>
      <c r="N243" s="102">
        <f t="shared" si="82"/>
        <v>21140</v>
      </c>
      <c r="O243" s="102">
        <f t="shared" si="82"/>
        <v>16887</v>
      </c>
      <c r="P243" s="278">
        <f t="shared" si="82"/>
        <v>355470</v>
      </c>
      <c r="Q243" s="102">
        <f t="shared" si="82"/>
        <v>27050</v>
      </c>
      <c r="R243" s="102">
        <f t="shared" si="82"/>
        <v>3800</v>
      </c>
      <c r="S243" s="102">
        <f t="shared" si="82"/>
        <v>52054</v>
      </c>
      <c r="T243" s="102">
        <f t="shared" si="82"/>
        <v>35858</v>
      </c>
      <c r="U243" s="102">
        <f t="shared" si="82"/>
        <v>0</v>
      </c>
      <c r="V243" s="102">
        <f t="shared" si="82"/>
        <v>42972</v>
      </c>
      <c r="W243" s="102">
        <f t="shared" si="82"/>
        <v>33253</v>
      </c>
      <c r="X243" s="102">
        <f t="shared" si="82"/>
        <v>32480</v>
      </c>
      <c r="Y243" s="102">
        <f t="shared" si="82"/>
        <v>13467</v>
      </c>
      <c r="Z243" s="102">
        <f t="shared" si="82"/>
        <v>12599</v>
      </c>
      <c r="AA243" s="102">
        <f t="shared" si="82"/>
        <v>19940</v>
      </c>
      <c r="AB243" s="102">
        <f t="shared" si="82"/>
        <v>8697</v>
      </c>
      <c r="AC243" s="102">
        <f t="shared" si="82"/>
        <v>3800</v>
      </c>
      <c r="AD243" s="102">
        <f t="shared" si="82"/>
        <v>0</v>
      </c>
      <c r="AE243" s="102">
        <f t="shared" si="82"/>
        <v>69500</v>
      </c>
      <c r="AF243" s="278">
        <f t="shared" si="82"/>
        <v>13300</v>
      </c>
      <c r="AG243" s="102">
        <f t="shared" si="82"/>
        <v>9975</v>
      </c>
      <c r="AH243" s="102">
        <f t="shared" si="82"/>
        <v>3325</v>
      </c>
      <c r="AI243" s="197">
        <f t="shared" si="69"/>
        <v>0</v>
      </c>
    </row>
    <row r="244" spans="1:35" s="198" customFormat="1" ht="26.1" customHeight="1">
      <c r="A244" s="126" t="s">
        <v>765</v>
      </c>
      <c r="B244" s="99" t="s">
        <v>407</v>
      </c>
      <c r="C244" s="109" t="s">
        <v>408</v>
      </c>
      <c r="D244" s="101">
        <v>4</v>
      </c>
      <c r="E244" s="102">
        <f t="shared" ref="E244:E251" si="83">SUM(H244,P244,AF244)</f>
        <v>1391</v>
      </c>
      <c r="F244" s="102">
        <v>1278</v>
      </c>
      <c r="G244" s="102">
        <v>113</v>
      </c>
      <c r="H244" s="102">
        <f t="shared" ref="H244:H251" si="84">SUM(I244:O244)</f>
        <v>404</v>
      </c>
      <c r="I244" s="102">
        <v>0</v>
      </c>
      <c r="J244" s="102">
        <v>95</v>
      </c>
      <c r="K244" s="102">
        <v>0</v>
      </c>
      <c r="L244" s="102">
        <v>94</v>
      </c>
      <c r="M244" s="102">
        <v>113</v>
      </c>
      <c r="N244" s="102">
        <v>102</v>
      </c>
      <c r="O244" s="103">
        <v>0</v>
      </c>
      <c r="P244" s="107">
        <f t="shared" ref="P244:P251" si="85">SUM(Q244:AE244)</f>
        <v>987</v>
      </c>
      <c r="Q244" s="102">
        <v>151</v>
      </c>
      <c r="R244" s="102">
        <v>0</v>
      </c>
      <c r="S244" s="102">
        <v>114</v>
      </c>
      <c r="T244" s="102">
        <v>130</v>
      </c>
      <c r="U244" s="102">
        <v>0</v>
      </c>
      <c r="V244" s="102">
        <v>0</v>
      </c>
      <c r="W244" s="102">
        <v>0</v>
      </c>
      <c r="X244" s="102">
        <v>148</v>
      </c>
      <c r="Y244" s="102">
        <v>148</v>
      </c>
      <c r="Z244" s="102">
        <v>148</v>
      </c>
      <c r="AA244" s="102">
        <v>0</v>
      </c>
      <c r="AB244" s="102">
        <v>148</v>
      </c>
      <c r="AC244" s="102">
        <v>0</v>
      </c>
      <c r="AD244" s="102">
        <v>0</v>
      </c>
      <c r="AE244" s="102">
        <v>0</v>
      </c>
      <c r="AF244" s="104">
        <f t="shared" ref="AF244:AF251" si="86">SUM(AG244:AH244)</f>
        <v>0</v>
      </c>
      <c r="AG244" s="102">
        <v>0</v>
      </c>
      <c r="AH244" s="102">
        <v>0</v>
      </c>
      <c r="AI244" s="197">
        <f t="shared" si="69"/>
        <v>0</v>
      </c>
    </row>
    <row r="245" spans="1:35" s="198" customFormat="1" ht="26.1" customHeight="1">
      <c r="A245" s="126" t="s">
        <v>765</v>
      </c>
      <c r="B245" s="99" t="s">
        <v>407</v>
      </c>
      <c r="C245" s="109" t="s">
        <v>409</v>
      </c>
      <c r="D245" s="101">
        <v>4</v>
      </c>
      <c r="E245" s="102">
        <f t="shared" si="83"/>
        <v>100</v>
      </c>
      <c r="F245" s="102">
        <v>100</v>
      </c>
      <c r="G245" s="102">
        <v>0</v>
      </c>
      <c r="H245" s="102">
        <f t="shared" si="84"/>
        <v>20</v>
      </c>
      <c r="I245" s="102">
        <v>0</v>
      </c>
      <c r="J245" s="102">
        <v>0</v>
      </c>
      <c r="K245" s="102">
        <v>0</v>
      </c>
      <c r="L245" s="102">
        <v>0</v>
      </c>
      <c r="M245" s="102">
        <v>20</v>
      </c>
      <c r="N245" s="102">
        <v>0</v>
      </c>
      <c r="O245" s="103">
        <v>0</v>
      </c>
      <c r="P245" s="107">
        <f t="shared" si="85"/>
        <v>80</v>
      </c>
      <c r="Q245" s="102">
        <v>0</v>
      </c>
      <c r="R245" s="102">
        <v>0</v>
      </c>
      <c r="S245" s="102">
        <v>0</v>
      </c>
      <c r="T245" s="102">
        <v>20</v>
      </c>
      <c r="U245" s="102">
        <v>0</v>
      </c>
      <c r="V245" s="102">
        <v>35</v>
      </c>
      <c r="W245" s="102">
        <v>25</v>
      </c>
      <c r="X245" s="102">
        <v>0</v>
      </c>
      <c r="Y245" s="102">
        <v>0</v>
      </c>
      <c r="Z245" s="102">
        <v>0</v>
      </c>
      <c r="AA245" s="102">
        <v>0</v>
      </c>
      <c r="AB245" s="102">
        <v>0</v>
      </c>
      <c r="AC245" s="102">
        <v>0</v>
      </c>
      <c r="AD245" s="102">
        <v>0</v>
      </c>
      <c r="AE245" s="102">
        <v>0</v>
      </c>
      <c r="AF245" s="104">
        <f t="shared" si="86"/>
        <v>0</v>
      </c>
      <c r="AG245" s="102">
        <v>0</v>
      </c>
      <c r="AH245" s="102">
        <v>0</v>
      </c>
      <c r="AI245" s="197">
        <f t="shared" si="69"/>
        <v>0</v>
      </c>
    </row>
    <row r="246" spans="1:35" s="198" customFormat="1" ht="26.1" customHeight="1">
      <c r="A246" s="126" t="s">
        <v>765</v>
      </c>
      <c r="B246" s="99" t="s">
        <v>407</v>
      </c>
      <c r="C246" s="109" t="s">
        <v>410</v>
      </c>
      <c r="D246" s="101">
        <v>4</v>
      </c>
      <c r="E246" s="102">
        <f t="shared" si="83"/>
        <v>1301</v>
      </c>
      <c r="F246" s="102">
        <v>1301</v>
      </c>
      <c r="G246" s="102">
        <v>0</v>
      </c>
      <c r="H246" s="102">
        <f t="shared" si="84"/>
        <v>650</v>
      </c>
      <c r="I246" s="102">
        <v>0</v>
      </c>
      <c r="J246" s="102">
        <v>0</v>
      </c>
      <c r="K246" s="102">
        <v>20</v>
      </c>
      <c r="L246" s="102">
        <v>150</v>
      </c>
      <c r="M246" s="102">
        <v>185</v>
      </c>
      <c r="N246" s="102">
        <v>295</v>
      </c>
      <c r="O246" s="103">
        <v>0</v>
      </c>
      <c r="P246" s="107">
        <f t="shared" si="85"/>
        <v>651</v>
      </c>
      <c r="Q246" s="102">
        <v>48</v>
      </c>
      <c r="R246" s="102">
        <v>0</v>
      </c>
      <c r="S246" s="102">
        <v>0</v>
      </c>
      <c r="T246" s="102">
        <v>55</v>
      </c>
      <c r="U246" s="102">
        <v>0</v>
      </c>
      <c r="V246" s="102">
        <v>55</v>
      </c>
      <c r="W246" s="102">
        <v>55</v>
      </c>
      <c r="X246" s="102">
        <v>398</v>
      </c>
      <c r="Y246" s="102">
        <v>20</v>
      </c>
      <c r="Z246" s="102">
        <v>20</v>
      </c>
      <c r="AA246" s="102">
        <v>0</v>
      </c>
      <c r="AB246" s="102">
        <v>0</v>
      </c>
      <c r="AC246" s="102">
        <v>0</v>
      </c>
      <c r="AD246" s="102">
        <v>0</v>
      </c>
      <c r="AE246" s="102">
        <v>0</v>
      </c>
      <c r="AF246" s="104">
        <f t="shared" si="86"/>
        <v>0</v>
      </c>
      <c r="AG246" s="102">
        <v>0</v>
      </c>
      <c r="AH246" s="102">
        <v>0</v>
      </c>
      <c r="AI246" s="197">
        <f t="shared" si="69"/>
        <v>0</v>
      </c>
    </row>
    <row r="247" spans="1:35" s="198" customFormat="1" ht="26.1" customHeight="1">
      <c r="A247" s="126" t="s">
        <v>765</v>
      </c>
      <c r="B247" s="99" t="s">
        <v>407</v>
      </c>
      <c r="C247" s="109" t="s">
        <v>411</v>
      </c>
      <c r="D247" s="101">
        <v>4</v>
      </c>
      <c r="E247" s="102">
        <f t="shared" si="83"/>
        <v>2733</v>
      </c>
      <c r="F247" s="102">
        <v>2733</v>
      </c>
      <c r="G247" s="102">
        <v>0</v>
      </c>
      <c r="H247" s="102">
        <f t="shared" si="84"/>
        <v>787</v>
      </c>
      <c r="I247" s="102">
        <v>0</v>
      </c>
      <c r="J247" s="102">
        <v>0</v>
      </c>
      <c r="K247" s="102">
        <v>0</v>
      </c>
      <c r="L247" s="102">
        <v>0</v>
      </c>
      <c r="M247" s="102">
        <v>0</v>
      </c>
      <c r="N247" s="102">
        <v>0</v>
      </c>
      <c r="O247" s="103">
        <v>787</v>
      </c>
      <c r="P247" s="107">
        <f t="shared" si="85"/>
        <v>1946</v>
      </c>
      <c r="Q247" s="102">
        <v>0</v>
      </c>
      <c r="R247" s="102">
        <v>0</v>
      </c>
      <c r="S247" s="102">
        <v>0</v>
      </c>
      <c r="T247" s="102">
        <v>0</v>
      </c>
      <c r="U247" s="102">
        <v>0</v>
      </c>
      <c r="V247" s="102">
        <v>0</v>
      </c>
      <c r="W247" s="102">
        <v>0</v>
      </c>
      <c r="X247" s="102">
        <v>0</v>
      </c>
      <c r="Y247" s="102">
        <v>0</v>
      </c>
      <c r="Z247" s="102">
        <v>0</v>
      </c>
      <c r="AA247" s="102">
        <v>0</v>
      </c>
      <c r="AB247" s="102">
        <v>0</v>
      </c>
      <c r="AC247" s="102">
        <v>0</v>
      </c>
      <c r="AD247" s="102">
        <v>0</v>
      </c>
      <c r="AE247" s="102">
        <v>1946</v>
      </c>
      <c r="AF247" s="104">
        <f t="shared" si="86"/>
        <v>0</v>
      </c>
      <c r="AG247" s="102">
        <v>0</v>
      </c>
      <c r="AH247" s="102">
        <v>0</v>
      </c>
      <c r="AI247" s="197">
        <f t="shared" si="69"/>
        <v>0</v>
      </c>
    </row>
    <row r="248" spans="1:35" s="198" customFormat="1" ht="26.1" customHeight="1">
      <c r="A248" s="126" t="s">
        <v>765</v>
      </c>
      <c r="B248" s="99" t="s">
        <v>407</v>
      </c>
      <c r="C248" s="109" t="s">
        <v>412</v>
      </c>
      <c r="D248" s="101">
        <v>4</v>
      </c>
      <c r="E248" s="102">
        <f t="shared" si="83"/>
        <v>143401</v>
      </c>
      <c r="F248" s="102">
        <v>0</v>
      </c>
      <c r="G248" s="102">
        <v>143401</v>
      </c>
      <c r="H248" s="102">
        <f t="shared" si="84"/>
        <v>19000</v>
      </c>
      <c r="I248" s="102">
        <v>0</v>
      </c>
      <c r="J248" s="102">
        <v>0</v>
      </c>
      <c r="K248" s="102">
        <v>0</v>
      </c>
      <c r="L248" s="102">
        <v>0</v>
      </c>
      <c r="M248" s="102">
        <v>12350</v>
      </c>
      <c r="N248" s="102">
        <v>6650</v>
      </c>
      <c r="O248" s="103">
        <v>0</v>
      </c>
      <c r="P248" s="107">
        <f t="shared" si="85"/>
        <v>120601</v>
      </c>
      <c r="Q248" s="102">
        <v>5000</v>
      </c>
      <c r="R248" s="102">
        <v>0</v>
      </c>
      <c r="S248" s="102">
        <v>38641</v>
      </c>
      <c r="T248" s="102">
        <v>18000</v>
      </c>
      <c r="U248" s="102">
        <v>0</v>
      </c>
      <c r="V248" s="102">
        <v>18000</v>
      </c>
      <c r="W248" s="102">
        <v>8000</v>
      </c>
      <c r="X248" s="102">
        <v>8000</v>
      </c>
      <c r="Y248" s="102">
        <v>0</v>
      </c>
      <c r="Z248" s="102">
        <v>3000</v>
      </c>
      <c r="AA248" s="102">
        <v>0</v>
      </c>
      <c r="AB248" s="102">
        <v>0</v>
      </c>
      <c r="AC248" s="102">
        <v>0</v>
      </c>
      <c r="AD248" s="102">
        <v>0</v>
      </c>
      <c r="AE248" s="102">
        <v>21960</v>
      </c>
      <c r="AF248" s="104">
        <f t="shared" si="86"/>
        <v>3800</v>
      </c>
      <c r="AG248" s="102">
        <v>3800</v>
      </c>
      <c r="AH248" s="102">
        <v>0</v>
      </c>
      <c r="AI248" s="197">
        <f t="shared" si="69"/>
        <v>0</v>
      </c>
    </row>
    <row r="249" spans="1:35" s="198" customFormat="1" ht="26.1" customHeight="1">
      <c r="A249" s="126" t="s">
        <v>765</v>
      </c>
      <c r="B249" s="99" t="s">
        <v>407</v>
      </c>
      <c r="C249" s="109" t="s">
        <v>413</v>
      </c>
      <c r="D249" s="101">
        <v>4</v>
      </c>
      <c r="E249" s="102">
        <f t="shared" si="83"/>
        <v>280231</v>
      </c>
      <c r="F249" s="102">
        <v>5000</v>
      </c>
      <c r="G249" s="102">
        <v>275231</v>
      </c>
      <c r="H249" s="102">
        <f t="shared" si="84"/>
        <v>64600</v>
      </c>
      <c r="I249" s="102">
        <v>0</v>
      </c>
      <c r="J249" s="102">
        <v>17100</v>
      </c>
      <c r="K249" s="102">
        <v>7600</v>
      </c>
      <c r="L249" s="102">
        <v>5700</v>
      </c>
      <c r="M249" s="102">
        <v>7600</v>
      </c>
      <c r="N249" s="102">
        <v>10500</v>
      </c>
      <c r="O249" s="103">
        <v>16100</v>
      </c>
      <c r="P249" s="107">
        <f t="shared" si="85"/>
        <v>207081</v>
      </c>
      <c r="Q249" s="102">
        <v>16149</v>
      </c>
      <c r="R249" s="102">
        <v>3800</v>
      </c>
      <c r="S249" s="102">
        <v>13299</v>
      </c>
      <c r="T249" s="102">
        <v>17098</v>
      </c>
      <c r="U249" s="102">
        <v>0</v>
      </c>
      <c r="V249" s="102">
        <v>23748</v>
      </c>
      <c r="W249" s="102">
        <v>23748</v>
      </c>
      <c r="X249" s="102">
        <v>21848</v>
      </c>
      <c r="Y249" s="102">
        <v>13299</v>
      </c>
      <c r="Z249" s="102">
        <v>4750</v>
      </c>
      <c r="AA249" s="102">
        <v>11399</v>
      </c>
      <c r="AB249" s="102">
        <v>8549</v>
      </c>
      <c r="AC249" s="102">
        <v>3800</v>
      </c>
      <c r="AD249" s="102">
        <v>0</v>
      </c>
      <c r="AE249" s="102">
        <v>45594</v>
      </c>
      <c r="AF249" s="104">
        <f t="shared" si="86"/>
        <v>8550</v>
      </c>
      <c r="AG249" s="102">
        <v>5700</v>
      </c>
      <c r="AH249" s="102">
        <v>2850</v>
      </c>
      <c r="AI249" s="197">
        <f t="shared" si="69"/>
        <v>0</v>
      </c>
    </row>
    <row r="250" spans="1:35" s="198" customFormat="1" ht="26.1" customHeight="1">
      <c r="A250" s="126" t="s">
        <v>765</v>
      </c>
      <c r="B250" s="99" t="s">
        <v>407</v>
      </c>
      <c r="C250" s="109" t="s">
        <v>414</v>
      </c>
      <c r="D250" s="101">
        <v>4</v>
      </c>
      <c r="E250" s="102">
        <f t="shared" si="83"/>
        <v>8600</v>
      </c>
      <c r="F250" s="102">
        <v>8600</v>
      </c>
      <c r="G250" s="102">
        <v>0</v>
      </c>
      <c r="H250" s="102">
        <f t="shared" si="84"/>
        <v>3200</v>
      </c>
      <c r="I250" s="102">
        <v>0</v>
      </c>
      <c r="J250" s="102">
        <v>0</v>
      </c>
      <c r="K250" s="102">
        <v>0</v>
      </c>
      <c r="L250" s="102">
        <v>0</v>
      </c>
      <c r="M250" s="102">
        <v>2263</v>
      </c>
      <c r="N250" s="102">
        <v>937</v>
      </c>
      <c r="O250" s="103">
        <v>0</v>
      </c>
      <c r="P250" s="107">
        <f t="shared" si="85"/>
        <v>5400</v>
      </c>
      <c r="Q250" s="102">
        <v>85</v>
      </c>
      <c r="R250" s="102">
        <v>0</v>
      </c>
      <c r="S250" s="102">
        <v>0</v>
      </c>
      <c r="T250" s="102">
        <v>555</v>
      </c>
      <c r="U250" s="102">
        <v>0</v>
      </c>
      <c r="V250" s="102">
        <v>1134</v>
      </c>
      <c r="W250" s="102">
        <v>1425</v>
      </c>
      <c r="X250" s="102">
        <v>2086</v>
      </c>
      <c r="Y250" s="102">
        <v>0</v>
      </c>
      <c r="Z250" s="102">
        <v>0</v>
      </c>
      <c r="AA250" s="102">
        <v>115</v>
      </c>
      <c r="AB250" s="102">
        <v>0</v>
      </c>
      <c r="AC250" s="102">
        <v>0</v>
      </c>
      <c r="AD250" s="102">
        <v>0</v>
      </c>
      <c r="AE250" s="102">
        <v>0</v>
      </c>
      <c r="AF250" s="104">
        <f t="shared" si="86"/>
        <v>0</v>
      </c>
      <c r="AG250" s="102">
        <v>0</v>
      </c>
      <c r="AH250" s="102">
        <v>0</v>
      </c>
      <c r="AI250" s="197">
        <f t="shared" si="69"/>
        <v>0</v>
      </c>
    </row>
    <row r="251" spans="1:35" s="198" customFormat="1" ht="26.1" customHeight="1">
      <c r="A251" s="126" t="s">
        <v>765</v>
      </c>
      <c r="B251" s="99" t="s">
        <v>407</v>
      </c>
      <c r="C251" s="109" t="s">
        <v>415</v>
      </c>
      <c r="D251" s="101">
        <v>4</v>
      </c>
      <c r="E251" s="102">
        <f t="shared" si="83"/>
        <v>22330</v>
      </c>
      <c r="F251" s="102">
        <v>0</v>
      </c>
      <c r="G251" s="102">
        <v>22330</v>
      </c>
      <c r="H251" s="102">
        <f t="shared" si="84"/>
        <v>2656</v>
      </c>
      <c r="I251" s="102">
        <v>0</v>
      </c>
      <c r="J251" s="102">
        <v>0</v>
      </c>
      <c r="K251" s="102">
        <v>0</v>
      </c>
      <c r="L251" s="102">
        <v>0</v>
      </c>
      <c r="M251" s="102">
        <v>0</v>
      </c>
      <c r="N251" s="102">
        <v>2656</v>
      </c>
      <c r="O251" s="103">
        <v>0</v>
      </c>
      <c r="P251" s="107">
        <f t="shared" si="85"/>
        <v>18724</v>
      </c>
      <c r="Q251" s="102">
        <v>5617</v>
      </c>
      <c r="R251" s="102">
        <v>0</v>
      </c>
      <c r="S251" s="102">
        <v>0</v>
      </c>
      <c r="T251" s="102">
        <v>0</v>
      </c>
      <c r="U251" s="102">
        <v>0</v>
      </c>
      <c r="V251" s="102">
        <v>0</v>
      </c>
      <c r="W251" s="102">
        <v>0</v>
      </c>
      <c r="X251" s="102">
        <v>0</v>
      </c>
      <c r="Y251" s="102">
        <v>0</v>
      </c>
      <c r="Z251" s="102">
        <v>4681</v>
      </c>
      <c r="AA251" s="102">
        <v>8426</v>
      </c>
      <c r="AB251" s="102">
        <v>0</v>
      </c>
      <c r="AC251" s="102">
        <v>0</v>
      </c>
      <c r="AD251" s="102">
        <v>0</v>
      </c>
      <c r="AE251" s="102">
        <v>0</v>
      </c>
      <c r="AF251" s="104">
        <f t="shared" si="86"/>
        <v>950</v>
      </c>
      <c r="AG251" s="102">
        <v>475</v>
      </c>
      <c r="AH251" s="102">
        <v>475</v>
      </c>
      <c r="AI251" s="197">
        <f t="shared" si="69"/>
        <v>0</v>
      </c>
    </row>
    <row r="252" spans="1:35" s="198" customFormat="1" ht="26.1" customHeight="1">
      <c r="A252" s="126"/>
      <c r="B252" s="99"/>
      <c r="C252" s="109"/>
      <c r="D252" s="101"/>
      <c r="E252" s="278">
        <f t="shared" ref="E252:AH252" si="87">SUM(E253:E266)</f>
        <v>121962</v>
      </c>
      <c r="F252" s="102">
        <f t="shared" si="87"/>
        <v>121103</v>
      </c>
      <c r="G252" s="102">
        <f t="shared" si="87"/>
        <v>859</v>
      </c>
      <c r="H252" s="278">
        <f t="shared" si="87"/>
        <v>28216</v>
      </c>
      <c r="I252" s="102">
        <f t="shared" si="87"/>
        <v>0</v>
      </c>
      <c r="J252" s="102">
        <f t="shared" si="87"/>
        <v>2824</v>
      </c>
      <c r="K252" s="102">
        <f t="shared" si="87"/>
        <v>4740</v>
      </c>
      <c r="L252" s="102">
        <f t="shared" si="87"/>
        <v>4676</v>
      </c>
      <c r="M252" s="102">
        <f t="shared" si="87"/>
        <v>8987</v>
      </c>
      <c r="N252" s="102">
        <f t="shared" si="87"/>
        <v>6989</v>
      </c>
      <c r="O252" s="102">
        <f t="shared" si="87"/>
        <v>0</v>
      </c>
      <c r="P252" s="278">
        <f t="shared" si="87"/>
        <v>87618</v>
      </c>
      <c r="Q252" s="102">
        <f t="shared" si="87"/>
        <v>2826</v>
      </c>
      <c r="R252" s="102">
        <f t="shared" si="87"/>
        <v>4185</v>
      </c>
      <c r="S252" s="102">
        <f t="shared" si="87"/>
        <v>3518</v>
      </c>
      <c r="T252" s="102">
        <f t="shared" si="87"/>
        <v>9005</v>
      </c>
      <c r="U252" s="102">
        <f t="shared" si="87"/>
        <v>5379</v>
      </c>
      <c r="V252" s="102">
        <f t="shared" si="87"/>
        <v>8776</v>
      </c>
      <c r="W252" s="102">
        <f t="shared" si="87"/>
        <v>6310</v>
      </c>
      <c r="X252" s="102">
        <f t="shared" si="87"/>
        <v>9796</v>
      </c>
      <c r="Y252" s="102">
        <f t="shared" si="87"/>
        <v>3408</v>
      </c>
      <c r="Z252" s="102">
        <f t="shared" si="87"/>
        <v>3609</v>
      </c>
      <c r="AA252" s="102">
        <f t="shared" si="87"/>
        <v>1790</v>
      </c>
      <c r="AB252" s="102">
        <f t="shared" si="87"/>
        <v>1001</v>
      </c>
      <c r="AC252" s="102">
        <f t="shared" si="87"/>
        <v>1281</v>
      </c>
      <c r="AD252" s="102">
        <f t="shared" si="87"/>
        <v>1657</v>
      </c>
      <c r="AE252" s="102">
        <f t="shared" si="87"/>
        <v>25077</v>
      </c>
      <c r="AF252" s="278">
        <f t="shared" si="87"/>
        <v>6128</v>
      </c>
      <c r="AG252" s="102">
        <f t="shared" si="87"/>
        <v>5039</v>
      </c>
      <c r="AH252" s="102">
        <f t="shared" si="87"/>
        <v>1089</v>
      </c>
      <c r="AI252" s="197">
        <f t="shared" si="69"/>
        <v>0</v>
      </c>
    </row>
    <row r="253" spans="1:35" s="198" customFormat="1" ht="26.1" customHeight="1">
      <c r="A253" s="126" t="s">
        <v>765</v>
      </c>
      <c r="B253" s="99" t="s">
        <v>475</v>
      </c>
      <c r="C253" s="99" t="s">
        <v>416</v>
      </c>
      <c r="D253" s="101">
        <v>4</v>
      </c>
      <c r="E253" s="102">
        <f t="shared" ref="E253:E266" si="88">SUM(H253,P253,AF253)</f>
        <v>1028</v>
      </c>
      <c r="F253" s="102">
        <v>1028</v>
      </c>
      <c r="G253" s="102">
        <v>0</v>
      </c>
      <c r="H253" s="102">
        <f t="shared" ref="H253:H266" si="89">SUM(I253:O253)</f>
        <v>0</v>
      </c>
      <c r="I253" s="102">
        <v>0</v>
      </c>
      <c r="J253" s="102">
        <v>0</v>
      </c>
      <c r="K253" s="102">
        <v>0</v>
      </c>
      <c r="L253" s="102">
        <v>0</v>
      </c>
      <c r="M253" s="102">
        <v>0</v>
      </c>
      <c r="N253" s="102">
        <v>0</v>
      </c>
      <c r="O253" s="103">
        <v>0</v>
      </c>
      <c r="P253" s="107">
        <f t="shared" ref="P253:P266" si="90">SUM(Q253:AE253)</f>
        <v>0</v>
      </c>
      <c r="Q253" s="102">
        <v>0</v>
      </c>
      <c r="R253" s="102">
        <v>0</v>
      </c>
      <c r="S253" s="102">
        <v>0</v>
      </c>
      <c r="T253" s="102">
        <v>0</v>
      </c>
      <c r="U253" s="102">
        <v>0</v>
      </c>
      <c r="V253" s="102">
        <v>0</v>
      </c>
      <c r="W253" s="102">
        <v>0</v>
      </c>
      <c r="X253" s="102">
        <v>0</v>
      </c>
      <c r="Y253" s="102">
        <v>0</v>
      </c>
      <c r="Z253" s="102">
        <v>0</v>
      </c>
      <c r="AA253" s="102">
        <v>0</v>
      </c>
      <c r="AB253" s="102">
        <v>0</v>
      </c>
      <c r="AC253" s="102">
        <v>0</v>
      </c>
      <c r="AD253" s="102">
        <v>0</v>
      </c>
      <c r="AE253" s="102">
        <v>0</v>
      </c>
      <c r="AF253" s="104">
        <f t="shared" ref="AF253:AF266" si="91">SUM(AG253:AH253)</f>
        <v>1028</v>
      </c>
      <c r="AG253" s="102">
        <v>514</v>
      </c>
      <c r="AH253" s="102">
        <v>514</v>
      </c>
      <c r="AI253" s="197">
        <f t="shared" si="69"/>
        <v>0</v>
      </c>
    </row>
    <row r="254" spans="1:35" s="198" customFormat="1" ht="26.1" customHeight="1">
      <c r="A254" s="126" t="s">
        <v>765</v>
      </c>
      <c r="B254" s="99" t="s">
        <v>475</v>
      </c>
      <c r="C254" s="109" t="s">
        <v>543</v>
      </c>
      <c r="D254" s="101">
        <v>4</v>
      </c>
      <c r="E254" s="102">
        <f t="shared" si="88"/>
        <v>3922</v>
      </c>
      <c r="F254" s="102">
        <v>3922</v>
      </c>
      <c r="G254" s="102">
        <v>0</v>
      </c>
      <c r="H254" s="102">
        <f t="shared" si="89"/>
        <v>662</v>
      </c>
      <c r="I254" s="102">
        <v>0</v>
      </c>
      <c r="J254" s="102">
        <v>0</v>
      </c>
      <c r="K254" s="102">
        <v>0</v>
      </c>
      <c r="L254" s="102">
        <v>0</v>
      </c>
      <c r="M254" s="102">
        <v>639</v>
      </c>
      <c r="N254" s="102">
        <v>23</v>
      </c>
      <c r="O254" s="103">
        <v>0</v>
      </c>
      <c r="P254" s="107">
        <f t="shared" si="90"/>
        <v>3260</v>
      </c>
      <c r="Q254" s="102">
        <v>86</v>
      </c>
      <c r="R254" s="102">
        <v>90</v>
      </c>
      <c r="S254" s="102">
        <v>20</v>
      </c>
      <c r="T254" s="102">
        <v>26</v>
      </c>
      <c r="U254" s="102">
        <v>26</v>
      </c>
      <c r="V254" s="102">
        <v>1640</v>
      </c>
      <c r="W254" s="102">
        <v>26</v>
      </c>
      <c r="X254" s="102">
        <v>1300</v>
      </c>
      <c r="Y254" s="102">
        <v>26</v>
      </c>
      <c r="Z254" s="102">
        <v>0</v>
      </c>
      <c r="AA254" s="102">
        <v>0</v>
      </c>
      <c r="AB254" s="102">
        <v>0</v>
      </c>
      <c r="AC254" s="102">
        <v>0</v>
      </c>
      <c r="AD254" s="102">
        <v>20</v>
      </c>
      <c r="AE254" s="102">
        <v>0</v>
      </c>
      <c r="AF254" s="104">
        <f t="shared" si="91"/>
        <v>0</v>
      </c>
      <c r="AG254" s="102">
        <v>0</v>
      </c>
      <c r="AH254" s="102">
        <v>0</v>
      </c>
      <c r="AI254" s="197">
        <f t="shared" si="69"/>
        <v>0</v>
      </c>
    </row>
    <row r="255" spans="1:35" s="198" customFormat="1" ht="26.1" customHeight="1">
      <c r="A255" s="126" t="s">
        <v>765</v>
      </c>
      <c r="B255" s="99" t="s">
        <v>475</v>
      </c>
      <c r="C255" s="109" t="s">
        <v>417</v>
      </c>
      <c r="D255" s="101">
        <v>4</v>
      </c>
      <c r="E255" s="102">
        <f t="shared" si="88"/>
        <v>3665</v>
      </c>
      <c r="F255" s="102">
        <v>3665</v>
      </c>
      <c r="G255" s="102">
        <v>0</v>
      </c>
      <c r="H255" s="102">
        <f t="shared" si="89"/>
        <v>620</v>
      </c>
      <c r="I255" s="102">
        <v>0</v>
      </c>
      <c r="J255" s="102">
        <v>118</v>
      </c>
      <c r="K255" s="102">
        <v>166</v>
      </c>
      <c r="L255" s="102">
        <v>118</v>
      </c>
      <c r="M255" s="102">
        <v>100</v>
      </c>
      <c r="N255" s="102">
        <v>118</v>
      </c>
      <c r="O255" s="103">
        <v>0</v>
      </c>
      <c r="P255" s="107">
        <f t="shared" si="90"/>
        <v>2848</v>
      </c>
      <c r="Q255" s="102">
        <v>185</v>
      </c>
      <c r="R255" s="102">
        <v>240</v>
      </c>
      <c r="S255" s="102">
        <v>185</v>
      </c>
      <c r="T255" s="102">
        <v>321</v>
      </c>
      <c r="U255" s="102">
        <v>240</v>
      </c>
      <c r="V255" s="102">
        <v>298</v>
      </c>
      <c r="W255" s="102">
        <v>240</v>
      </c>
      <c r="X255" s="102">
        <v>210</v>
      </c>
      <c r="Y255" s="102">
        <v>184</v>
      </c>
      <c r="Z255" s="102">
        <v>210</v>
      </c>
      <c r="AA255" s="102">
        <v>154</v>
      </c>
      <c r="AB255" s="102">
        <v>126</v>
      </c>
      <c r="AC255" s="102">
        <v>155</v>
      </c>
      <c r="AD255" s="102">
        <v>100</v>
      </c>
      <c r="AE255" s="102">
        <v>0</v>
      </c>
      <c r="AF255" s="104">
        <f t="shared" si="91"/>
        <v>197</v>
      </c>
      <c r="AG255" s="102">
        <v>110</v>
      </c>
      <c r="AH255" s="102">
        <v>87</v>
      </c>
      <c r="AI255" s="197">
        <f t="shared" si="69"/>
        <v>0</v>
      </c>
    </row>
    <row r="256" spans="1:35" s="198" customFormat="1" ht="26.1" customHeight="1">
      <c r="A256" s="126" t="s">
        <v>765</v>
      </c>
      <c r="B256" s="99" t="s">
        <v>475</v>
      </c>
      <c r="C256" s="109" t="s">
        <v>418</v>
      </c>
      <c r="D256" s="101">
        <v>4</v>
      </c>
      <c r="E256" s="102">
        <f t="shared" si="88"/>
        <v>10200</v>
      </c>
      <c r="F256" s="102">
        <v>10200</v>
      </c>
      <c r="G256" s="102">
        <v>0</v>
      </c>
      <c r="H256" s="102">
        <f t="shared" si="89"/>
        <v>3200</v>
      </c>
      <c r="I256" s="102">
        <v>0</v>
      </c>
      <c r="J256" s="102">
        <v>400</v>
      </c>
      <c r="K256" s="102">
        <v>380</v>
      </c>
      <c r="L256" s="102">
        <v>820</v>
      </c>
      <c r="M256" s="102">
        <v>870</v>
      </c>
      <c r="N256" s="102">
        <v>730</v>
      </c>
      <c r="O256" s="103">
        <v>0</v>
      </c>
      <c r="P256" s="107">
        <f t="shared" si="90"/>
        <v>6600</v>
      </c>
      <c r="Q256" s="102">
        <v>500</v>
      </c>
      <c r="R256" s="102">
        <v>360</v>
      </c>
      <c r="S256" s="102">
        <v>500</v>
      </c>
      <c r="T256" s="102">
        <v>720</v>
      </c>
      <c r="U256" s="102">
        <v>640</v>
      </c>
      <c r="V256" s="102">
        <v>720</v>
      </c>
      <c r="W256" s="102">
        <v>700</v>
      </c>
      <c r="X256" s="102">
        <v>680</v>
      </c>
      <c r="Y256" s="102">
        <v>400</v>
      </c>
      <c r="Z256" s="102">
        <v>500</v>
      </c>
      <c r="AA256" s="102">
        <v>170</v>
      </c>
      <c r="AB256" s="102">
        <v>170</v>
      </c>
      <c r="AC256" s="102">
        <v>250</v>
      </c>
      <c r="AD256" s="102">
        <v>290</v>
      </c>
      <c r="AE256" s="102">
        <v>0</v>
      </c>
      <c r="AF256" s="104">
        <f t="shared" si="91"/>
        <v>400</v>
      </c>
      <c r="AG256" s="102">
        <v>210</v>
      </c>
      <c r="AH256" s="102">
        <v>190</v>
      </c>
      <c r="AI256" s="197">
        <f t="shared" si="69"/>
        <v>0</v>
      </c>
    </row>
    <row r="257" spans="1:35" s="198" customFormat="1" ht="26.1" customHeight="1">
      <c r="A257" s="126" t="s">
        <v>765</v>
      </c>
      <c r="B257" s="99" t="s">
        <v>475</v>
      </c>
      <c r="C257" s="109" t="s">
        <v>419</v>
      </c>
      <c r="D257" s="101">
        <v>4</v>
      </c>
      <c r="E257" s="102">
        <f t="shared" si="88"/>
        <v>3710</v>
      </c>
      <c r="F257" s="102">
        <v>3710</v>
      </c>
      <c r="G257" s="102">
        <v>0</v>
      </c>
      <c r="H257" s="102">
        <f t="shared" si="89"/>
        <v>1175</v>
      </c>
      <c r="I257" s="102">
        <v>0</v>
      </c>
      <c r="J257" s="102">
        <v>375</v>
      </c>
      <c r="K257" s="102">
        <v>800</v>
      </c>
      <c r="L257" s="102">
        <v>0</v>
      </c>
      <c r="M257" s="102">
        <v>0</v>
      </c>
      <c r="N257" s="102">
        <v>0</v>
      </c>
      <c r="O257" s="103">
        <v>0</v>
      </c>
      <c r="P257" s="107">
        <f t="shared" si="90"/>
        <v>1935</v>
      </c>
      <c r="Q257" s="102">
        <v>0</v>
      </c>
      <c r="R257" s="102">
        <v>1000</v>
      </c>
      <c r="S257" s="102">
        <v>50</v>
      </c>
      <c r="T257" s="102">
        <v>0</v>
      </c>
      <c r="U257" s="102">
        <v>0</v>
      </c>
      <c r="V257" s="102">
        <v>0</v>
      </c>
      <c r="W257" s="102">
        <v>885</v>
      </c>
      <c r="X257" s="102">
        <v>0</v>
      </c>
      <c r="Y257" s="102">
        <v>0</v>
      </c>
      <c r="Z257" s="102">
        <v>0</v>
      </c>
      <c r="AA257" s="102">
        <v>0</v>
      </c>
      <c r="AB257" s="102">
        <v>0</v>
      </c>
      <c r="AC257" s="102">
        <v>0</v>
      </c>
      <c r="AD257" s="102">
        <v>0</v>
      </c>
      <c r="AE257" s="102">
        <v>0</v>
      </c>
      <c r="AF257" s="104">
        <f t="shared" si="91"/>
        <v>600</v>
      </c>
      <c r="AG257" s="102">
        <v>600</v>
      </c>
      <c r="AH257" s="102">
        <v>0</v>
      </c>
      <c r="AI257" s="197">
        <f t="shared" si="69"/>
        <v>0</v>
      </c>
    </row>
    <row r="258" spans="1:35" s="198" customFormat="1" ht="26.1" customHeight="1">
      <c r="A258" s="126" t="s">
        <v>765</v>
      </c>
      <c r="B258" s="99" t="s">
        <v>475</v>
      </c>
      <c r="C258" s="109" t="s">
        <v>420</v>
      </c>
      <c r="D258" s="101">
        <v>4</v>
      </c>
      <c r="E258" s="102">
        <f t="shared" si="88"/>
        <v>795</v>
      </c>
      <c r="F258" s="102">
        <v>795</v>
      </c>
      <c r="G258" s="102">
        <v>0</v>
      </c>
      <c r="H258" s="102">
        <f t="shared" si="89"/>
        <v>338</v>
      </c>
      <c r="I258" s="102">
        <v>0</v>
      </c>
      <c r="J258" s="102">
        <v>115</v>
      </c>
      <c r="K258" s="102">
        <v>47</v>
      </c>
      <c r="L258" s="102">
        <v>51</v>
      </c>
      <c r="M258" s="102">
        <v>52</v>
      </c>
      <c r="N258" s="102">
        <v>73</v>
      </c>
      <c r="O258" s="103">
        <v>0</v>
      </c>
      <c r="P258" s="107">
        <f t="shared" si="90"/>
        <v>457</v>
      </c>
      <c r="Q258" s="102">
        <v>24</v>
      </c>
      <c r="R258" s="102">
        <v>34</v>
      </c>
      <c r="S258" s="102">
        <v>73</v>
      </c>
      <c r="T258" s="102">
        <v>39</v>
      </c>
      <c r="U258" s="102">
        <v>44</v>
      </c>
      <c r="V258" s="102">
        <v>40</v>
      </c>
      <c r="W258" s="102">
        <v>37</v>
      </c>
      <c r="X258" s="102">
        <v>27</v>
      </c>
      <c r="Y258" s="102">
        <v>19</v>
      </c>
      <c r="Z258" s="102">
        <v>28</v>
      </c>
      <c r="AA258" s="102">
        <v>0</v>
      </c>
      <c r="AB258" s="102">
        <v>48</v>
      </c>
      <c r="AC258" s="102">
        <v>30</v>
      </c>
      <c r="AD258" s="102">
        <v>14</v>
      </c>
      <c r="AE258" s="102">
        <v>0</v>
      </c>
      <c r="AF258" s="104">
        <f t="shared" si="91"/>
        <v>0</v>
      </c>
      <c r="AG258" s="102">
        <v>0</v>
      </c>
      <c r="AH258" s="102">
        <v>0</v>
      </c>
      <c r="AI258" s="197">
        <f t="shared" si="69"/>
        <v>0</v>
      </c>
    </row>
    <row r="259" spans="1:35" s="198" customFormat="1" ht="26.1" customHeight="1">
      <c r="A259" s="126" t="s">
        <v>765</v>
      </c>
      <c r="B259" s="99" t="s">
        <v>475</v>
      </c>
      <c r="C259" s="109" t="s">
        <v>421</v>
      </c>
      <c r="D259" s="101">
        <v>4</v>
      </c>
      <c r="E259" s="102">
        <f t="shared" si="88"/>
        <v>8244</v>
      </c>
      <c r="F259" s="102">
        <v>8041</v>
      </c>
      <c r="G259" s="102">
        <v>203</v>
      </c>
      <c r="H259" s="102">
        <f t="shared" si="89"/>
        <v>2489</v>
      </c>
      <c r="I259" s="102">
        <v>0</v>
      </c>
      <c r="J259" s="102">
        <v>36</v>
      </c>
      <c r="K259" s="102">
        <v>353</v>
      </c>
      <c r="L259" s="102">
        <v>250</v>
      </c>
      <c r="M259" s="102">
        <v>1240</v>
      </c>
      <c r="N259" s="102">
        <v>610</v>
      </c>
      <c r="O259" s="103">
        <v>0</v>
      </c>
      <c r="P259" s="107">
        <f t="shared" si="90"/>
        <v>5350</v>
      </c>
      <c r="Q259" s="102">
        <v>60</v>
      </c>
      <c r="R259" s="102">
        <v>150</v>
      </c>
      <c r="S259" s="102">
        <v>225</v>
      </c>
      <c r="T259" s="102">
        <v>1260</v>
      </c>
      <c r="U259" s="102">
        <v>525</v>
      </c>
      <c r="V259" s="102">
        <v>710</v>
      </c>
      <c r="W259" s="102">
        <v>570</v>
      </c>
      <c r="X259" s="102">
        <v>1200</v>
      </c>
      <c r="Y259" s="102">
        <v>280</v>
      </c>
      <c r="Z259" s="102">
        <v>210</v>
      </c>
      <c r="AA259" s="102">
        <v>45</v>
      </c>
      <c r="AB259" s="102">
        <v>20</v>
      </c>
      <c r="AC259" s="102">
        <v>60</v>
      </c>
      <c r="AD259" s="102">
        <v>35</v>
      </c>
      <c r="AE259" s="102">
        <v>0</v>
      </c>
      <c r="AF259" s="104">
        <f t="shared" si="91"/>
        <v>405</v>
      </c>
      <c r="AG259" s="102">
        <v>375</v>
      </c>
      <c r="AH259" s="102">
        <v>30</v>
      </c>
      <c r="AI259" s="197">
        <f t="shared" si="69"/>
        <v>0</v>
      </c>
    </row>
    <row r="260" spans="1:35" s="198" customFormat="1" ht="26.1" customHeight="1">
      <c r="A260" s="126" t="s">
        <v>765</v>
      </c>
      <c r="B260" s="99" t="s">
        <v>475</v>
      </c>
      <c r="C260" s="109" t="s">
        <v>422</v>
      </c>
      <c r="D260" s="101">
        <v>4</v>
      </c>
      <c r="E260" s="102">
        <f t="shared" si="88"/>
        <v>4714</v>
      </c>
      <c r="F260" s="102">
        <v>4714</v>
      </c>
      <c r="G260" s="102">
        <v>0</v>
      </c>
      <c r="H260" s="102">
        <f t="shared" si="89"/>
        <v>1200</v>
      </c>
      <c r="I260" s="102">
        <v>0</v>
      </c>
      <c r="J260" s="102">
        <v>130</v>
      </c>
      <c r="K260" s="102">
        <v>200</v>
      </c>
      <c r="L260" s="102">
        <v>290</v>
      </c>
      <c r="M260" s="102">
        <v>290</v>
      </c>
      <c r="N260" s="102">
        <v>290</v>
      </c>
      <c r="O260" s="103">
        <v>0</v>
      </c>
      <c r="P260" s="107">
        <f t="shared" si="90"/>
        <v>3214</v>
      </c>
      <c r="Q260" s="102">
        <v>200</v>
      </c>
      <c r="R260" s="102">
        <v>200</v>
      </c>
      <c r="S260" s="102">
        <v>200</v>
      </c>
      <c r="T260" s="102">
        <v>200</v>
      </c>
      <c r="U260" s="102">
        <v>350</v>
      </c>
      <c r="V260" s="102">
        <v>200</v>
      </c>
      <c r="W260" s="102">
        <v>200</v>
      </c>
      <c r="X260" s="102">
        <v>200</v>
      </c>
      <c r="Y260" s="102">
        <v>300</v>
      </c>
      <c r="Z260" s="102">
        <v>200</v>
      </c>
      <c r="AA260" s="102">
        <v>150</v>
      </c>
      <c r="AB260" s="102">
        <v>150</v>
      </c>
      <c r="AC260" s="102">
        <v>150</v>
      </c>
      <c r="AD260" s="102">
        <v>150</v>
      </c>
      <c r="AE260" s="102">
        <v>364</v>
      </c>
      <c r="AF260" s="104">
        <f t="shared" si="91"/>
        <v>300</v>
      </c>
      <c r="AG260" s="102">
        <v>220</v>
      </c>
      <c r="AH260" s="102">
        <v>80</v>
      </c>
      <c r="AI260" s="197">
        <f t="shared" si="69"/>
        <v>0</v>
      </c>
    </row>
    <row r="261" spans="1:35" s="198" customFormat="1" ht="26.1" customHeight="1">
      <c r="A261" s="126" t="s">
        <v>765</v>
      </c>
      <c r="B261" s="99" t="s">
        <v>475</v>
      </c>
      <c r="C261" s="109" t="s">
        <v>423</v>
      </c>
      <c r="D261" s="101">
        <v>4</v>
      </c>
      <c r="E261" s="102">
        <f t="shared" si="88"/>
        <v>152</v>
      </c>
      <c r="F261" s="102">
        <v>152</v>
      </c>
      <c r="G261" s="102">
        <v>0</v>
      </c>
      <c r="H261" s="102">
        <f t="shared" si="89"/>
        <v>0</v>
      </c>
      <c r="I261" s="102">
        <v>0</v>
      </c>
      <c r="J261" s="102">
        <v>0</v>
      </c>
      <c r="K261" s="102">
        <v>0</v>
      </c>
      <c r="L261" s="102">
        <v>0</v>
      </c>
      <c r="M261" s="102">
        <v>0</v>
      </c>
      <c r="N261" s="102">
        <v>0</v>
      </c>
      <c r="O261" s="103">
        <v>0</v>
      </c>
      <c r="P261" s="107">
        <f t="shared" si="90"/>
        <v>152</v>
      </c>
      <c r="Q261" s="102">
        <v>0</v>
      </c>
      <c r="R261" s="102">
        <v>0</v>
      </c>
      <c r="S261" s="102">
        <v>0</v>
      </c>
      <c r="T261" s="102">
        <v>0</v>
      </c>
      <c r="U261" s="102">
        <v>0</v>
      </c>
      <c r="V261" s="102">
        <v>0</v>
      </c>
      <c r="W261" s="102">
        <v>0</v>
      </c>
      <c r="X261" s="102">
        <v>76</v>
      </c>
      <c r="Y261" s="102">
        <v>0</v>
      </c>
      <c r="Z261" s="102">
        <v>0</v>
      </c>
      <c r="AA261" s="102">
        <v>76</v>
      </c>
      <c r="AB261" s="102">
        <v>0</v>
      </c>
      <c r="AC261" s="102">
        <v>0</v>
      </c>
      <c r="AD261" s="102">
        <v>0</v>
      </c>
      <c r="AE261" s="102">
        <v>0</v>
      </c>
      <c r="AF261" s="104">
        <f t="shared" si="91"/>
        <v>0</v>
      </c>
      <c r="AG261" s="102">
        <v>0</v>
      </c>
      <c r="AH261" s="102">
        <v>0</v>
      </c>
      <c r="AI261" s="197">
        <f t="shared" si="69"/>
        <v>0</v>
      </c>
    </row>
    <row r="262" spans="1:35" s="198" customFormat="1" ht="26.1" customHeight="1">
      <c r="A262" s="126" t="s">
        <v>765</v>
      </c>
      <c r="B262" s="99" t="s">
        <v>475</v>
      </c>
      <c r="C262" s="109" t="s">
        <v>424</v>
      </c>
      <c r="D262" s="101">
        <v>4</v>
      </c>
      <c r="E262" s="102">
        <f t="shared" si="88"/>
        <v>2389</v>
      </c>
      <c r="F262" s="102">
        <v>2389</v>
      </c>
      <c r="G262" s="102">
        <v>0</v>
      </c>
      <c r="H262" s="102">
        <f t="shared" si="89"/>
        <v>620</v>
      </c>
      <c r="I262" s="102">
        <v>0</v>
      </c>
      <c r="J262" s="102">
        <v>95</v>
      </c>
      <c r="K262" s="102">
        <v>95</v>
      </c>
      <c r="L262" s="102">
        <v>130</v>
      </c>
      <c r="M262" s="102">
        <v>150</v>
      </c>
      <c r="N262" s="102">
        <v>150</v>
      </c>
      <c r="O262" s="103">
        <v>0</v>
      </c>
      <c r="P262" s="107">
        <f t="shared" si="90"/>
        <v>1714</v>
      </c>
      <c r="Q262" s="102">
        <v>100</v>
      </c>
      <c r="R262" s="102">
        <v>100</v>
      </c>
      <c r="S262" s="102">
        <v>90</v>
      </c>
      <c r="T262" s="102">
        <v>140</v>
      </c>
      <c r="U262" s="102">
        <v>100</v>
      </c>
      <c r="V262" s="102">
        <v>140</v>
      </c>
      <c r="W262" s="102">
        <v>140</v>
      </c>
      <c r="X262" s="102">
        <v>140</v>
      </c>
      <c r="Y262" s="102">
        <v>100</v>
      </c>
      <c r="Z262" s="102">
        <v>100</v>
      </c>
      <c r="AA262" s="102">
        <v>20</v>
      </c>
      <c r="AB262" s="102">
        <v>15</v>
      </c>
      <c r="AC262" s="102">
        <v>20</v>
      </c>
      <c r="AD262" s="102">
        <v>15</v>
      </c>
      <c r="AE262" s="102">
        <v>494</v>
      </c>
      <c r="AF262" s="104">
        <f t="shared" si="91"/>
        <v>55</v>
      </c>
      <c r="AG262" s="102">
        <v>55</v>
      </c>
      <c r="AH262" s="102" t="s">
        <v>145</v>
      </c>
      <c r="AI262" s="197">
        <f t="shared" ref="AI262:AI325" si="92">IF(+F262+G262=E262,0,FALSE)</f>
        <v>0</v>
      </c>
    </row>
    <row r="263" spans="1:35" s="198" customFormat="1" ht="26.1" customHeight="1">
      <c r="A263" s="126" t="s">
        <v>765</v>
      </c>
      <c r="B263" s="99" t="s">
        <v>475</v>
      </c>
      <c r="C263" s="109" t="s">
        <v>425</v>
      </c>
      <c r="D263" s="101">
        <v>4</v>
      </c>
      <c r="E263" s="102">
        <f t="shared" si="88"/>
        <v>9182</v>
      </c>
      <c r="F263" s="102">
        <v>8526</v>
      </c>
      <c r="G263" s="102">
        <v>656</v>
      </c>
      <c r="H263" s="102">
        <f t="shared" si="89"/>
        <v>3381</v>
      </c>
      <c r="I263" s="102">
        <v>0</v>
      </c>
      <c r="J263" s="102">
        <v>351</v>
      </c>
      <c r="K263" s="102">
        <v>385</v>
      </c>
      <c r="L263" s="102">
        <v>635</v>
      </c>
      <c r="M263" s="102">
        <v>732</v>
      </c>
      <c r="N263" s="102">
        <v>1278</v>
      </c>
      <c r="O263" s="103">
        <v>0</v>
      </c>
      <c r="P263" s="107">
        <f t="shared" si="90"/>
        <v>5110</v>
      </c>
      <c r="Q263" s="102">
        <v>345</v>
      </c>
      <c r="R263" s="102">
        <v>366</v>
      </c>
      <c r="S263" s="102">
        <v>340</v>
      </c>
      <c r="T263" s="102">
        <v>547</v>
      </c>
      <c r="U263" s="102">
        <v>343</v>
      </c>
      <c r="V263" s="102">
        <v>537</v>
      </c>
      <c r="W263" s="102">
        <v>358</v>
      </c>
      <c r="X263" s="102">
        <v>510</v>
      </c>
      <c r="Y263" s="102">
        <v>416</v>
      </c>
      <c r="Z263" s="102">
        <v>447</v>
      </c>
      <c r="AA263" s="102">
        <v>558</v>
      </c>
      <c r="AB263" s="102">
        <v>18</v>
      </c>
      <c r="AC263" s="102">
        <v>24</v>
      </c>
      <c r="AD263" s="102">
        <v>301</v>
      </c>
      <c r="AE263" s="102">
        <v>0</v>
      </c>
      <c r="AF263" s="104">
        <f t="shared" si="91"/>
        <v>691</v>
      </c>
      <c r="AG263" s="102">
        <v>681</v>
      </c>
      <c r="AH263" s="102">
        <v>10</v>
      </c>
      <c r="AI263" s="197">
        <f t="shared" si="92"/>
        <v>0</v>
      </c>
    </row>
    <row r="264" spans="1:35" s="198" customFormat="1" ht="26.1" customHeight="1">
      <c r="A264" s="126" t="s">
        <v>765</v>
      </c>
      <c r="B264" s="99" t="s">
        <v>475</v>
      </c>
      <c r="C264" s="109" t="s">
        <v>426</v>
      </c>
      <c r="D264" s="101">
        <v>4</v>
      </c>
      <c r="E264" s="102">
        <f t="shared" si="88"/>
        <v>47335</v>
      </c>
      <c r="F264" s="102">
        <v>47335</v>
      </c>
      <c r="G264" s="102">
        <v>0</v>
      </c>
      <c r="H264" s="102">
        <f t="shared" si="89"/>
        <v>7834</v>
      </c>
      <c r="I264" s="102">
        <v>0</v>
      </c>
      <c r="J264" s="102">
        <v>1054</v>
      </c>
      <c r="K264" s="102">
        <v>1404</v>
      </c>
      <c r="L264" s="102">
        <v>1587</v>
      </c>
      <c r="M264" s="102">
        <v>1789</v>
      </c>
      <c r="N264" s="102">
        <v>2000</v>
      </c>
      <c r="O264" s="103">
        <v>0</v>
      </c>
      <c r="P264" s="107">
        <f t="shared" si="90"/>
        <v>38382</v>
      </c>
      <c r="Q264" s="102">
        <v>1054</v>
      </c>
      <c r="R264" s="102">
        <v>1054</v>
      </c>
      <c r="S264" s="102">
        <v>1054</v>
      </c>
      <c r="T264" s="102">
        <v>1696</v>
      </c>
      <c r="U264" s="102">
        <v>1054</v>
      </c>
      <c r="V264" s="102">
        <v>1776</v>
      </c>
      <c r="W264" s="102">
        <v>1416</v>
      </c>
      <c r="X264" s="102">
        <v>1426</v>
      </c>
      <c r="Y264" s="102">
        <v>798</v>
      </c>
      <c r="Z264" s="102">
        <v>1084</v>
      </c>
      <c r="AA264" s="102">
        <v>377</v>
      </c>
      <c r="AB264" s="102">
        <v>377</v>
      </c>
      <c r="AC264" s="102">
        <v>377</v>
      </c>
      <c r="AD264" s="102">
        <v>620</v>
      </c>
      <c r="AE264" s="102">
        <v>24219</v>
      </c>
      <c r="AF264" s="104">
        <f t="shared" si="91"/>
        <v>1119</v>
      </c>
      <c r="AG264" s="102">
        <v>1044</v>
      </c>
      <c r="AH264" s="102">
        <v>75</v>
      </c>
      <c r="AI264" s="197">
        <f t="shared" si="92"/>
        <v>0</v>
      </c>
    </row>
    <row r="265" spans="1:35" s="198" customFormat="1" ht="26.1" customHeight="1">
      <c r="A265" s="126" t="s">
        <v>765</v>
      </c>
      <c r="B265" s="99" t="s">
        <v>475</v>
      </c>
      <c r="C265" s="109" t="s">
        <v>544</v>
      </c>
      <c r="D265" s="101">
        <v>4</v>
      </c>
      <c r="E265" s="102">
        <f t="shared" si="88"/>
        <v>23661</v>
      </c>
      <c r="F265" s="102">
        <v>23661</v>
      </c>
      <c r="G265" s="102">
        <v>0</v>
      </c>
      <c r="H265" s="102">
        <f t="shared" si="89"/>
        <v>5952</v>
      </c>
      <c r="I265" s="102">
        <v>0</v>
      </c>
      <c r="J265" s="102">
        <v>80</v>
      </c>
      <c r="K265" s="102">
        <v>820</v>
      </c>
      <c r="L265" s="102">
        <v>700</v>
      </c>
      <c r="M265" s="102">
        <v>2900</v>
      </c>
      <c r="N265" s="102">
        <v>1452</v>
      </c>
      <c r="O265" s="103">
        <v>0</v>
      </c>
      <c r="P265" s="107">
        <f t="shared" si="90"/>
        <v>16406</v>
      </c>
      <c r="Q265" s="102">
        <v>112</v>
      </c>
      <c r="R265" s="102">
        <v>446</v>
      </c>
      <c r="S265" s="102">
        <v>651</v>
      </c>
      <c r="T265" s="102">
        <v>3906</v>
      </c>
      <c r="U265" s="102">
        <v>1897</v>
      </c>
      <c r="V265" s="102">
        <v>2345</v>
      </c>
      <c r="W265" s="102">
        <v>1453</v>
      </c>
      <c r="X265" s="102">
        <v>3757</v>
      </c>
      <c r="Y265" s="102">
        <v>725</v>
      </c>
      <c r="Z265" s="102">
        <v>670</v>
      </c>
      <c r="AA265" s="102">
        <v>100</v>
      </c>
      <c r="AB265" s="102">
        <v>42</v>
      </c>
      <c r="AC265" s="102">
        <v>190</v>
      </c>
      <c r="AD265" s="102">
        <v>112</v>
      </c>
      <c r="AE265" s="102">
        <v>0</v>
      </c>
      <c r="AF265" s="104">
        <f t="shared" si="91"/>
        <v>1303</v>
      </c>
      <c r="AG265" s="102">
        <v>1200</v>
      </c>
      <c r="AH265" s="102">
        <v>103</v>
      </c>
      <c r="AI265" s="197">
        <f t="shared" si="92"/>
        <v>0</v>
      </c>
    </row>
    <row r="266" spans="1:35" s="198" customFormat="1" ht="26.1" customHeight="1">
      <c r="A266" s="126" t="s">
        <v>765</v>
      </c>
      <c r="B266" s="99" t="s">
        <v>475</v>
      </c>
      <c r="C266" s="109" t="s">
        <v>427</v>
      </c>
      <c r="D266" s="101">
        <v>4</v>
      </c>
      <c r="E266" s="102">
        <f t="shared" si="88"/>
        <v>2965</v>
      </c>
      <c r="F266" s="102">
        <v>2965</v>
      </c>
      <c r="G266" s="102">
        <v>0</v>
      </c>
      <c r="H266" s="102">
        <f t="shared" si="89"/>
        <v>745</v>
      </c>
      <c r="I266" s="102">
        <v>0</v>
      </c>
      <c r="J266" s="102">
        <v>70</v>
      </c>
      <c r="K266" s="102">
        <v>90</v>
      </c>
      <c r="L266" s="102">
        <v>95</v>
      </c>
      <c r="M266" s="102">
        <v>225</v>
      </c>
      <c r="N266" s="102">
        <v>265</v>
      </c>
      <c r="O266" s="103">
        <v>0</v>
      </c>
      <c r="P266" s="107">
        <f t="shared" si="90"/>
        <v>2190</v>
      </c>
      <c r="Q266" s="102">
        <v>160</v>
      </c>
      <c r="R266" s="102">
        <v>145</v>
      </c>
      <c r="S266" s="102">
        <v>130</v>
      </c>
      <c r="T266" s="102">
        <v>150</v>
      </c>
      <c r="U266" s="102">
        <v>160</v>
      </c>
      <c r="V266" s="102">
        <v>370</v>
      </c>
      <c r="W266" s="102">
        <v>285</v>
      </c>
      <c r="X266" s="102">
        <v>270</v>
      </c>
      <c r="Y266" s="102">
        <v>160</v>
      </c>
      <c r="Z266" s="102">
        <v>160</v>
      </c>
      <c r="AA266" s="102">
        <v>140</v>
      </c>
      <c r="AB266" s="102">
        <v>35</v>
      </c>
      <c r="AC266" s="102">
        <v>25</v>
      </c>
      <c r="AD266" s="102">
        <v>0</v>
      </c>
      <c r="AE266" s="102">
        <v>0</v>
      </c>
      <c r="AF266" s="104">
        <f t="shared" si="91"/>
        <v>30</v>
      </c>
      <c r="AG266" s="102">
        <v>30</v>
      </c>
      <c r="AH266" s="102">
        <v>0</v>
      </c>
      <c r="AI266" s="197">
        <f t="shared" si="92"/>
        <v>0</v>
      </c>
    </row>
    <row r="267" spans="1:35" s="198" customFormat="1" ht="26.1" customHeight="1">
      <c r="A267" s="126"/>
      <c r="B267" s="99"/>
      <c r="C267" s="109"/>
      <c r="D267" s="101"/>
      <c r="E267" s="278">
        <f t="shared" ref="E267:AH267" si="93">SUM(E268:E279)</f>
        <v>203748</v>
      </c>
      <c r="F267" s="102">
        <f t="shared" si="93"/>
        <v>158468</v>
      </c>
      <c r="G267" s="102">
        <f t="shared" si="93"/>
        <v>45280</v>
      </c>
      <c r="H267" s="278">
        <f t="shared" si="93"/>
        <v>119545</v>
      </c>
      <c r="I267" s="102">
        <f t="shared" si="93"/>
        <v>0</v>
      </c>
      <c r="J267" s="102">
        <f t="shared" si="93"/>
        <v>2260</v>
      </c>
      <c r="K267" s="102">
        <f t="shared" si="93"/>
        <v>2688</v>
      </c>
      <c r="L267" s="102">
        <f t="shared" si="93"/>
        <v>98399</v>
      </c>
      <c r="M267" s="102">
        <f t="shared" si="93"/>
        <v>5273</v>
      </c>
      <c r="N267" s="102">
        <f t="shared" si="93"/>
        <v>4383</v>
      </c>
      <c r="O267" s="102">
        <f t="shared" si="93"/>
        <v>6542</v>
      </c>
      <c r="P267" s="278">
        <f t="shared" si="93"/>
        <v>83143</v>
      </c>
      <c r="Q267" s="102">
        <f t="shared" si="93"/>
        <v>2743</v>
      </c>
      <c r="R267" s="102">
        <f t="shared" si="93"/>
        <v>3008</v>
      </c>
      <c r="S267" s="102">
        <f t="shared" si="93"/>
        <v>3376</v>
      </c>
      <c r="T267" s="102">
        <f t="shared" si="93"/>
        <v>5032</v>
      </c>
      <c r="U267" s="102">
        <f t="shared" si="93"/>
        <v>4464</v>
      </c>
      <c r="V267" s="102">
        <f t="shared" si="93"/>
        <v>6318</v>
      </c>
      <c r="W267" s="102">
        <f t="shared" si="93"/>
        <v>5216</v>
      </c>
      <c r="X267" s="102">
        <f t="shared" si="93"/>
        <v>6174</v>
      </c>
      <c r="Y267" s="102">
        <f t="shared" si="93"/>
        <v>9137</v>
      </c>
      <c r="Z267" s="102">
        <f t="shared" si="93"/>
        <v>13810</v>
      </c>
      <c r="AA267" s="102">
        <f t="shared" si="93"/>
        <v>962</v>
      </c>
      <c r="AB267" s="102">
        <f t="shared" si="93"/>
        <v>322</v>
      </c>
      <c r="AC267" s="102">
        <f t="shared" si="93"/>
        <v>428</v>
      </c>
      <c r="AD267" s="102">
        <f t="shared" si="93"/>
        <v>412</v>
      </c>
      <c r="AE267" s="102">
        <f t="shared" si="93"/>
        <v>21741</v>
      </c>
      <c r="AF267" s="278">
        <f t="shared" si="93"/>
        <v>1060</v>
      </c>
      <c r="AG267" s="102">
        <f t="shared" si="93"/>
        <v>841</v>
      </c>
      <c r="AH267" s="102">
        <f t="shared" si="93"/>
        <v>219</v>
      </c>
      <c r="AI267" s="197">
        <f t="shared" si="92"/>
        <v>0</v>
      </c>
    </row>
    <row r="268" spans="1:35" s="198" customFormat="1" ht="26.1" customHeight="1">
      <c r="A268" s="126" t="s">
        <v>765</v>
      </c>
      <c r="B268" s="99" t="s">
        <v>9</v>
      </c>
      <c r="C268" s="109" t="s">
        <v>148</v>
      </c>
      <c r="D268" s="101">
        <v>4</v>
      </c>
      <c r="E268" s="102">
        <f t="shared" ref="E268:E280" si="94">SUM(H268,P268,AF268)</f>
        <v>11781</v>
      </c>
      <c r="F268" s="102">
        <v>11781</v>
      </c>
      <c r="G268" s="102">
        <v>0</v>
      </c>
      <c r="H268" s="102">
        <f t="shared" ref="H268:H280" si="95">SUM(I268:O268)</f>
        <v>2613</v>
      </c>
      <c r="I268" s="102">
        <v>0</v>
      </c>
      <c r="J268" s="102">
        <v>95</v>
      </c>
      <c r="K268" s="102">
        <v>238</v>
      </c>
      <c r="L268" s="102">
        <v>760</v>
      </c>
      <c r="M268" s="102">
        <v>760</v>
      </c>
      <c r="N268" s="102">
        <v>760</v>
      </c>
      <c r="O268" s="103">
        <v>0</v>
      </c>
      <c r="P268" s="107">
        <f t="shared" ref="P268:P280" si="96">SUM(Q268:AE268)</f>
        <v>9073</v>
      </c>
      <c r="Q268" s="102">
        <v>428</v>
      </c>
      <c r="R268" s="102">
        <v>665</v>
      </c>
      <c r="S268" s="102">
        <v>712</v>
      </c>
      <c r="T268" s="102">
        <v>760</v>
      </c>
      <c r="U268" s="102">
        <v>760</v>
      </c>
      <c r="V268" s="102">
        <v>760</v>
      </c>
      <c r="W268" s="102">
        <v>760</v>
      </c>
      <c r="X268" s="102">
        <v>760</v>
      </c>
      <c r="Y268" s="102">
        <v>522</v>
      </c>
      <c r="Z268" s="102">
        <v>475</v>
      </c>
      <c r="AA268" s="102">
        <v>95</v>
      </c>
      <c r="AB268" s="102">
        <v>48</v>
      </c>
      <c r="AC268" s="102">
        <v>95</v>
      </c>
      <c r="AD268" s="102">
        <v>95</v>
      </c>
      <c r="AE268" s="102">
        <v>2138</v>
      </c>
      <c r="AF268" s="104">
        <f t="shared" ref="AF268:AF280" si="97">SUM(AG268:AH268)</f>
        <v>95</v>
      </c>
      <c r="AG268" s="102">
        <v>95</v>
      </c>
      <c r="AH268" s="102">
        <v>0</v>
      </c>
      <c r="AI268" s="197">
        <f t="shared" si="92"/>
        <v>0</v>
      </c>
    </row>
    <row r="269" spans="1:35" s="198" customFormat="1" ht="26.1" customHeight="1">
      <c r="A269" s="126" t="s">
        <v>765</v>
      </c>
      <c r="B269" s="99" t="s">
        <v>9</v>
      </c>
      <c r="C269" s="109" t="s">
        <v>149</v>
      </c>
      <c r="D269" s="101">
        <v>4</v>
      </c>
      <c r="E269" s="102">
        <f t="shared" si="94"/>
        <v>47125</v>
      </c>
      <c r="F269" s="102">
        <v>47125</v>
      </c>
      <c r="G269" s="102">
        <v>0</v>
      </c>
      <c r="H269" s="102">
        <f t="shared" si="95"/>
        <v>12321</v>
      </c>
      <c r="I269" s="102">
        <v>0</v>
      </c>
      <c r="J269" s="102">
        <v>1764</v>
      </c>
      <c r="K269" s="102">
        <v>2081</v>
      </c>
      <c r="L269" s="102">
        <v>1706</v>
      </c>
      <c r="M269" s="102">
        <v>3943</v>
      </c>
      <c r="N269" s="102">
        <v>2827</v>
      </c>
      <c r="O269" s="103">
        <v>0</v>
      </c>
      <c r="P269" s="107">
        <f t="shared" si="96"/>
        <v>34187</v>
      </c>
      <c r="Q269" s="102">
        <v>1943</v>
      </c>
      <c r="R269" s="102">
        <v>2051</v>
      </c>
      <c r="S269" s="102">
        <v>2283</v>
      </c>
      <c r="T269" s="102">
        <v>3514</v>
      </c>
      <c r="U269" s="102">
        <v>3173</v>
      </c>
      <c r="V269" s="102">
        <v>4056</v>
      </c>
      <c r="W269" s="102">
        <v>4045</v>
      </c>
      <c r="X269" s="102">
        <v>3968</v>
      </c>
      <c r="Y269" s="102">
        <v>2672</v>
      </c>
      <c r="Z269" s="102">
        <v>3470</v>
      </c>
      <c r="AA269" s="102">
        <v>681</v>
      </c>
      <c r="AB269" s="102">
        <v>109</v>
      </c>
      <c r="AC269" s="102">
        <v>162</v>
      </c>
      <c r="AD269" s="102">
        <v>160</v>
      </c>
      <c r="AE269" s="102">
        <v>1900</v>
      </c>
      <c r="AF269" s="104">
        <f t="shared" si="97"/>
        <v>617</v>
      </c>
      <c r="AG269" s="102">
        <v>495</v>
      </c>
      <c r="AH269" s="102">
        <v>122</v>
      </c>
      <c r="AI269" s="197">
        <f t="shared" si="92"/>
        <v>0</v>
      </c>
    </row>
    <row r="270" spans="1:35" s="198" customFormat="1" ht="26.1" customHeight="1">
      <c r="A270" s="126" t="s">
        <v>765</v>
      </c>
      <c r="B270" s="99" t="s">
        <v>9</v>
      </c>
      <c r="C270" s="109" t="s">
        <v>428</v>
      </c>
      <c r="D270" s="101">
        <v>3</v>
      </c>
      <c r="E270" s="102">
        <f t="shared" si="94"/>
        <v>2850</v>
      </c>
      <c r="F270" s="102">
        <v>2850</v>
      </c>
      <c r="G270" s="102">
        <v>0</v>
      </c>
      <c r="H270" s="102">
        <f t="shared" si="95"/>
        <v>328</v>
      </c>
      <c r="I270" s="102">
        <v>0</v>
      </c>
      <c r="J270" s="102">
        <v>10</v>
      </c>
      <c r="K270" s="102">
        <v>10</v>
      </c>
      <c r="L270" s="102">
        <v>142</v>
      </c>
      <c r="M270" s="102">
        <v>80</v>
      </c>
      <c r="N270" s="102">
        <v>86</v>
      </c>
      <c r="O270" s="103">
        <v>0</v>
      </c>
      <c r="P270" s="107">
        <f t="shared" si="96"/>
        <v>2522</v>
      </c>
      <c r="Q270" s="102">
        <v>52</v>
      </c>
      <c r="R270" s="102">
        <v>10</v>
      </c>
      <c r="S270" s="102">
        <v>10</v>
      </c>
      <c r="T270" s="102">
        <v>57</v>
      </c>
      <c r="U270" s="102">
        <v>57</v>
      </c>
      <c r="V270" s="102">
        <v>779</v>
      </c>
      <c r="W270" s="102">
        <v>47</v>
      </c>
      <c r="X270" s="102">
        <v>655</v>
      </c>
      <c r="Y270" s="102">
        <v>836</v>
      </c>
      <c r="Z270" s="102">
        <v>19</v>
      </c>
      <c r="AA270" s="102">
        <v>0</v>
      </c>
      <c r="AB270" s="102">
        <v>0</v>
      </c>
      <c r="AC270" s="102">
        <v>0</v>
      </c>
      <c r="AD270" s="102">
        <v>0</v>
      </c>
      <c r="AE270" s="102">
        <v>0</v>
      </c>
      <c r="AF270" s="104">
        <f t="shared" si="97"/>
        <v>0</v>
      </c>
      <c r="AG270" s="102">
        <v>0</v>
      </c>
      <c r="AH270" s="102">
        <v>0</v>
      </c>
      <c r="AI270" s="197">
        <f t="shared" si="92"/>
        <v>0</v>
      </c>
    </row>
    <row r="271" spans="1:35" s="198" customFormat="1" ht="26.1" customHeight="1">
      <c r="A271" s="126" t="s">
        <v>765</v>
      </c>
      <c r="B271" s="99" t="s">
        <v>9</v>
      </c>
      <c r="C271" s="109" t="s">
        <v>545</v>
      </c>
      <c r="D271" s="101">
        <v>4</v>
      </c>
      <c r="E271" s="102">
        <f t="shared" si="94"/>
        <v>956</v>
      </c>
      <c r="F271" s="102">
        <v>956</v>
      </c>
      <c r="G271" s="102">
        <v>0</v>
      </c>
      <c r="H271" s="102">
        <f t="shared" si="95"/>
        <v>307</v>
      </c>
      <c r="I271" s="102">
        <v>0</v>
      </c>
      <c r="J271" s="102">
        <v>55</v>
      </c>
      <c r="K271" s="102">
        <v>59</v>
      </c>
      <c r="L271" s="102">
        <v>64</v>
      </c>
      <c r="M271" s="102">
        <v>73</v>
      </c>
      <c r="N271" s="102">
        <v>56</v>
      </c>
      <c r="O271" s="103">
        <v>0</v>
      </c>
      <c r="P271" s="107">
        <f t="shared" si="96"/>
        <v>576</v>
      </c>
      <c r="Q271" s="102">
        <v>30</v>
      </c>
      <c r="R271" s="102">
        <v>30</v>
      </c>
      <c r="S271" s="102">
        <v>38</v>
      </c>
      <c r="T271" s="102">
        <v>65</v>
      </c>
      <c r="U271" s="102">
        <v>57</v>
      </c>
      <c r="V271" s="102">
        <v>52</v>
      </c>
      <c r="W271" s="102">
        <v>47</v>
      </c>
      <c r="X271" s="102">
        <v>55</v>
      </c>
      <c r="Y271" s="102">
        <v>44</v>
      </c>
      <c r="Z271" s="102">
        <v>38</v>
      </c>
      <c r="AA271" s="102">
        <v>29</v>
      </c>
      <c r="AB271" s="102">
        <v>29</v>
      </c>
      <c r="AC271" s="102">
        <v>34</v>
      </c>
      <c r="AD271" s="102">
        <v>28</v>
      </c>
      <c r="AE271" s="102">
        <v>0</v>
      </c>
      <c r="AF271" s="104">
        <f t="shared" si="97"/>
        <v>73</v>
      </c>
      <c r="AG271" s="102">
        <v>35</v>
      </c>
      <c r="AH271" s="102">
        <v>38</v>
      </c>
      <c r="AI271" s="197">
        <f t="shared" si="92"/>
        <v>0</v>
      </c>
    </row>
    <row r="272" spans="1:35" s="198" customFormat="1" ht="26.1" customHeight="1">
      <c r="A272" s="126" t="s">
        <v>765</v>
      </c>
      <c r="B272" s="99" t="s">
        <v>9</v>
      </c>
      <c r="C272" s="109" t="s">
        <v>546</v>
      </c>
      <c r="D272" s="101">
        <v>4</v>
      </c>
      <c r="E272" s="102">
        <f t="shared" si="94"/>
        <v>113</v>
      </c>
      <c r="F272" s="102">
        <v>113</v>
      </c>
      <c r="G272" s="102">
        <v>0</v>
      </c>
      <c r="H272" s="102">
        <f t="shared" si="95"/>
        <v>47</v>
      </c>
      <c r="I272" s="102">
        <v>0</v>
      </c>
      <c r="J272" s="102">
        <v>0</v>
      </c>
      <c r="K272" s="102">
        <v>0</v>
      </c>
      <c r="L272" s="102">
        <v>47</v>
      </c>
      <c r="M272" s="102">
        <v>0</v>
      </c>
      <c r="N272" s="102">
        <v>0</v>
      </c>
      <c r="O272" s="103">
        <v>0</v>
      </c>
      <c r="P272" s="107">
        <f t="shared" si="96"/>
        <v>66</v>
      </c>
      <c r="Q272" s="102">
        <v>0</v>
      </c>
      <c r="R272" s="102">
        <v>0</v>
      </c>
      <c r="S272" s="102">
        <v>0</v>
      </c>
      <c r="T272" s="102">
        <v>0</v>
      </c>
      <c r="U272" s="102">
        <v>19</v>
      </c>
      <c r="V272" s="102">
        <v>0</v>
      </c>
      <c r="W272" s="102">
        <v>0</v>
      </c>
      <c r="X272" s="102">
        <v>47</v>
      </c>
      <c r="Y272" s="102">
        <v>0</v>
      </c>
      <c r="Z272" s="102">
        <v>0</v>
      </c>
      <c r="AA272" s="102">
        <v>0</v>
      </c>
      <c r="AB272" s="102">
        <v>0</v>
      </c>
      <c r="AC272" s="102">
        <v>0</v>
      </c>
      <c r="AD272" s="102">
        <v>0</v>
      </c>
      <c r="AE272" s="102">
        <v>0</v>
      </c>
      <c r="AF272" s="104">
        <f t="shared" si="97"/>
        <v>0</v>
      </c>
      <c r="AG272" s="102">
        <v>0</v>
      </c>
      <c r="AH272" s="102">
        <v>0</v>
      </c>
      <c r="AI272" s="197">
        <f t="shared" si="92"/>
        <v>0</v>
      </c>
    </row>
    <row r="273" spans="1:35" s="198" customFormat="1" ht="26.1" customHeight="1">
      <c r="A273" s="126" t="s">
        <v>765</v>
      </c>
      <c r="B273" s="99" t="s">
        <v>9</v>
      </c>
      <c r="C273" s="109" t="s">
        <v>547</v>
      </c>
      <c r="D273" s="101">
        <v>4</v>
      </c>
      <c r="E273" s="102">
        <f t="shared" si="94"/>
        <v>5711</v>
      </c>
      <c r="F273" s="102">
        <v>5711</v>
      </c>
      <c r="G273" s="102">
        <v>0</v>
      </c>
      <c r="H273" s="102">
        <f t="shared" si="95"/>
        <v>1863</v>
      </c>
      <c r="I273" s="102">
        <v>0</v>
      </c>
      <c r="J273" s="102">
        <v>217</v>
      </c>
      <c r="K273" s="102">
        <v>158</v>
      </c>
      <c r="L273" s="102">
        <v>252</v>
      </c>
      <c r="M273" s="102">
        <v>253</v>
      </c>
      <c r="N273" s="102">
        <v>243</v>
      </c>
      <c r="O273" s="103">
        <v>740</v>
      </c>
      <c r="P273" s="107">
        <f t="shared" si="96"/>
        <v>3772</v>
      </c>
      <c r="Q273" s="102">
        <v>154</v>
      </c>
      <c r="R273" s="102">
        <v>129</v>
      </c>
      <c r="S273" s="102">
        <v>190</v>
      </c>
      <c r="T273" s="102">
        <v>223</v>
      </c>
      <c r="U273" s="102">
        <v>243</v>
      </c>
      <c r="V273" s="102">
        <v>200</v>
      </c>
      <c r="W273" s="102">
        <v>143</v>
      </c>
      <c r="X273" s="102">
        <v>308</v>
      </c>
      <c r="Y273" s="102">
        <v>186</v>
      </c>
      <c r="Z273" s="102">
        <v>153</v>
      </c>
      <c r="AA273" s="102">
        <v>84</v>
      </c>
      <c r="AB273" s="102">
        <v>84</v>
      </c>
      <c r="AC273" s="102">
        <v>72</v>
      </c>
      <c r="AD273" s="102">
        <v>71</v>
      </c>
      <c r="AE273" s="102">
        <v>1532</v>
      </c>
      <c r="AF273" s="104">
        <f t="shared" si="97"/>
        <v>76</v>
      </c>
      <c r="AG273" s="102">
        <v>76</v>
      </c>
      <c r="AH273" s="102">
        <v>0</v>
      </c>
      <c r="AI273" s="197">
        <f t="shared" si="92"/>
        <v>0</v>
      </c>
    </row>
    <row r="274" spans="1:35" s="198" customFormat="1" ht="26.1" customHeight="1">
      <c r="A274" s="126" t="s">
        <v>765</v>
      </c>
      <c r="B274" s="99" t="s">
        <v>9</v>
      </c>
      <c r="C274" s="109" t="s">
        <v>429</v>
      </c>
      <c r="D274" s="101">
        <v>4</v>
      </c>
      <c r="E274" s="102">
        <f t="shared" si="94"/>
        <v>6417</v>
      </c>
      <c r="F274" s="102">
        <v>6417</v>
      </c>
      <c r="G274" s="102">
        <v>0</v>
      </c>
      <c r="H274" s="102">
        <f t="shared" si="95"/>
        <v>2136</v>
      </c>
      <c r="I274" s="102">
        <v>0</v>
      </c>
      <c r="J274" s="102">
        <v>48</v>
      </c>
      <c r="K274" s="102">
        <v>71</v>
      </c>
      <c r="L274" s="102">
        <v>357</v>
      </c>
      <c r="M274" s="102">
        <v>93</v>
      </c>
      <c r="N274" s="102">
        <v>340</v>
      </c>
      <c r="O274" s="103">
        <v>1227</v>
      </c>
      <c r="P274" s="107">
        <f t="shared" si="96"/>
        <v>4201</v>
      </c>
      <c r="Q274" s="102">
        <v>76</v>
      </c>
      <c r="R274" s="102">
        <v>52</v>
      </c>
      <c r="S274" s="102">
        <v>72</v>
      </c>
      <c r="T274" s="102">
        <v>342</v>
      </c>
      <c r="U274" s="102">
        <v>84</v>
      </c>
      <c r="V274" s="102">
        <v>395</v>
      </c>
      <c r="W274" s="102">
        <v>103</v>
      </c>
      <c r="X274" s="102">
        <v>310</v>
      </c>
      <c r="Y274" s="102">
        <v>67</v>
      </c>
      <c r="Z274" s="102">
        <v>95</v>
      </c>
      <c r="AA274" s="102">
        <v>45</v>
      </c>
      <c r="AB274" s="102">
        <v>32</v>
      </c>
      <c r="AC274" s="102">
        <v>40</v>
      </c>
      <c r="AD274" s="102">
        <v>33</v>
      </c>
      <c r="AE274" s="102">
        <v>2455</v>
      </c>
      <c r="AF274" s="104">
        <f t="shared" si="97"/>
        <v>80</v>
      </c>
      <c r="AG274" s="102">
        <v>45</v>
      </c>
      <c r="AH274" s="102">
        <v>35</v>
      </c>
      <c r="AI274" s="197">
        <f t="shared" si="92"/>
        <v>0</v>
      </c>
    </row>
    <row r="275" spans="1:35" s="198" customFormat="1" ht="26.1" customHeight="1">
      <c r="A275" s="126" t="s">
        <v>765</v>
      </c>
      <c r="B275" s="99" t="s">
        <v>9</v>
      </c>
      <c r="C275" s="109" t="s">
        <v>430</v>
      </c>
      <c r="D275" s="101">
        <v>4</v>
      </c>
      <c r="E275" s="102">
        <f t="shared" si="94"/>
        <v>10639</v>
      </c>
      <c r="F275" s="102">
        <v>10639</v>
      </c>
      <c r="G275" s="102">
        <v>0</v>
      </c>
      <c r="H275" s="102">
        <f t="shared" si="95"/>
        <v>2128</v>
      </c>
      <c r="I275" s="102">
        <v>0</v>
      </c>
      <c r="J275" s="102">
        <v>0</v>
      </c>
      <c r="K275" s="102">
        <v>0</v>
      </c>
      <c r="L275" s="102">
        <v>0</v>
      </c>
      <c r="M275" s="102">
        <v>0</v>
      </c>
      <c r="N275" s="102">
        <v>0</v>
      </c>
      <c r="O275" s="103">
        <v>2128</v>
      </c>
      <c r="P275" s="107">
        <f t="shared" si="96"/>
        <v>8511</v>
      </c>
      <c r="Q275" s="102">
        <v>0</v>
      </c>
      <c r="R275" s="102">
        <v>0</v>
      </c>
      <c r="S275" s="102">
        <v>0</v>
      </c>
      <c r="T275" s="102">
        <v>0</v>
      </c>
      <c r="U275" s="102">
        <v>0</v>
      </c>
      <c r="V275" s="102">
        <v>0</v>
      </c>
      <c r="W275" s="102">
        <v>0</v>
      </c>
      <c r="X275" s="102">
        <v>0</v>
      </c>
      <c r="Y275" s="102">
        <v>0</v>
      </c>
      <c r="Z275" s="102">
        <v>0</v>
      </c>
      <c r="AA275" s="102">
        <v>0</v>
      </c>
      <c r="AB275" s="102">
        <v>0</v>
      </c>
      <c r="AC275" s="102">
        <v>0</v>
      </c>
      <c r="AD275" s="102">
        <v>0</v>
      </c>
      <c r="AE275" s="102">
        <v>8511</v>
      </c>
      <c r="AF275" s="104">
        <f t="shared" si="97"/>
        <v>0</v>
      </c>
      <c r="AG275" s="102">
        <v>0</v>
      </c>
      <c r="AH275" s="102">
        <v>0</v>
      </c>
      <c r="AI275" s="197">
        <f t="shared" si="92"/>
        <v>0</v>
      </c>
    </row>
    <row r="276" spans="1:35" s="198" customFormat="1" ht="26.1" customHeight="1">
      <c r="A276" s="126" t="s">
        <v>765</v>
      </c>
      <c r="B276" s="99" t="s">
        <v>9</v>
      </c>
      <c r="C276" s="109" t="s">
        <v>150</v>
      </c>
      <c r="D276" s="101">
        <v>4</v>
      </c>
      <c r="E276" s="102">
        <f t="shared" si="94"/>
        <v>5011</v>
      </c>
      <c r="F276" s="102">
        <v>5011</v>
      </c>
      <c r="G276" s="102">
        <v>0</v>
      </c>
      <c r="H276" s="102">
        <f t="shared" si="95"/>
        <v>1757</v>
      </c>
      <c r="I276" s="102">
        <v>0</v>
      </c>
      <c r="J276" s="102">
        <v>71</v>
      </c>
      <c r="K276" s="102">
        <v>71</v>
      </c>
      <c r="L276" s="102">
        <v>71</v>
      </c>
      <c r="M276" s="102">
        <v>71</v>
      </c>
      <c r="N276" s="102">
        <v>71</v>
      </c>
      <c r="O276" s="103">
        <v>1402</v>
      </c>
      <c r="P276" s="107">
        <f t="shared" si="96"/>
        <v>3135</v>
      </c>
      <c r="Q276" s="102">
        <v>60</v>
      </c>
      <c r="R276" s="102">
        <v>71</v>
      </c>
      <c r="S276" s="102">
        <v>71</v>
      </c>
      <c r="T276" s="102">
        <v>71</v>
      </c>
      <c r="U276" s="102">
        <v>71</v>
      </c>
      <c r="V276" s="102">
        <v>76</v>
      </c>
      <c r="W276" s="102">
        <v>71</v>
      </c>
      <c r="X276" s="102">
        <v>71</v>
      </c>
      <c r="Y276" s="102">
        <v>60</v>
      </c>
      <c r="Z276" s="102">
        <v>60</v>
      </c>
      <c r="AA276" s="102">
        <v>28</v>
      </c>
      <c r="AB276" s="102">
        <v>20</v>
      </c>
      <c r="AC276" s="102">
        <v>25</v>
      </c>
      <c r="AD276" s="102">
        <v>25</v>
      </c>
      <c r="AE276" s="102">
        <v>2355</v>
      </c>
      <c r="AF276" s="104">
        <f t="shared" si="97"/>
        <v>119</v>
      </c>
      <c r="AG276" s="102">
        <v>95</v>
      </c>
      <c r="AH276" s="102">
        <v>24</v>
      </c>
      <c r="AI276" s="197">
        <f t="shared" si="92"/>
        <v>0</v>
      </c>
    </row>
    <row r="277" spans="1:35" s="198" customFormat="1" ht="26.1" customHeight="1">
      <c r="A277" s="126" t="s">
        <v>765</v>
      </c>
      <c r="B277" s="99" t="s">
        <v>9</v>
      </c>
      <c r="C277" s="109" t="s">
        <v>431</v>
      </c>
      <c r="D277" s="101">
        <v>4</v>
      </c>
      <c r="E277" s="102">
        <f t="shared" si="94"/>
        <v>14250</v>
      </c>
      <c r="F277" s="102">
        <v>14250</v>
      </c>
      <c r="G277" s="102">
        <v>0</v>
      </c>
      <c r="H277" s="102">
        <f t="shared" si="95"/>
        <v>0</v>
      </c>
      <c r="I277" s="102">
        <v>0</v>
      </c>
      <c r="J277" s="102">
        <v>0</v>
      </c>
      <c r="K277" s="102">
        <v>0</v>
      </c>
      <c r="L277" s="102">
        <v>0</v>
      </c>
      <c r="M277" s="102">
        <v>0</v>
      </c>
      <c r="N277" s="102">
        <v>0</v>
      </c>
      <c r="O277" s="103">
        <v>0</v>
      </c>
      <c r="P277" s="107">
        <f t="shared" si="96"/>
        <v>14250</v>
      </c>
      <c r="Q277" s="102">
        <v>0</v>
      </c>
      <c r="R277" s="102">
        <v>0</v>
      </c>
      <c r="S277" s="102">
        <v>0</v>
      </c>
      <c r="T277" s="102">
        <v>0</v>
      </c>
      <c r="U277" s="102">
        <v>0</v>
      </c>
      <c r="V277" s="102">
        <v>0</v>
      </c>
      <c r="W277" s="102">
        <v>0</v>
      </c>
      <c r="X277" s="102">
        <v>0</v>
      </c>
      <c r="Y277" s="102">
        <v>4750</v>
      </c>
      <c r="Z277" s="102">
        <v>9500</v>
      </c>
      <c r="AA277" s="102">
        <v>0</v>
      </c>
      <c r="AB277" s="102">
        <v>0</v>
      </c>
      <c r="AC277" s="102">
        <v>0</v>
      </c>
      <c r="AD277" s="102">
        <v>0</v>
      </c>
      <c r="AE277" s="102">
        <v>0</v>
      </c>
      <c r="AF277" s="104">
        <f t="shared" si="97"/>
        <v>0</v>
      </c>
      <c r="AG277" s="102">
        <v>0</v>
      </c>
      <c r="AH277" s="102">
        <v>0</v>
      </c>
      <c r="AI277" s="197">
        <f t="shared" si="92"/>
        <v>0</v>
      </c>
    </row>
    <row r="278" spans="1:35" s="198" customFormat="1" ht="26.1" customHeight="1">
      <c r="A278" s="126" t="s">
        <v>765</v>
      </c>
      <c r="B278" s="99" t="s">
        <v>9</v>
      </c>
      <c r="C278" s="109" t="s">
        <v>151</v>
      </c>
      <c r="D278" s="101">
        <v>4</v>
      </c>
      <c r="E278" s="102">
        <f t="shared" si="94"/>
        <v>3895</v>
      </c>
      <c r="F278" s="102">
        <v>3895</v>
      </c>
      <c r="G278" s="102">
        <v>0</v>
      </c>
      <c r="H278" s="102">
        <f t="shared" si="95"/>
        <v>1045</v>
      </c>
      <c r="I278" s="102">
        <v>0</v>
      </c>
      <c r="J278" s="102">
        <v>0</v>
      </c>
      <c r="K278" s="102">
        <v>0</v>
      </c>
      <c r="L278" s="102">
        <v>0</v>
      </c>
      <c r="M278" s="102">
        <v>0</v>
      </c>
      <c r="N278" s="102">
        <v>0</v>
      </c>
      <c r="O278" s="103">
        <v>1045</v>
      </c>
      <c r="P278" s="107">
        <f t="shared" si="96"/>
        <v>2850</v>
      </c>
      <c r="Q278" s="102">
        <v>0</v>
      </c>
      <c r="R278" s="102">
        <v>0</v>
      </c>
      <c r="S278" s="102">
        <v>0</v>
      </c>
      <c r="T278" s="102">
        <v>0</v>
      </c>
      <c r="U278" s="102">
        <v>0</v>
      </c>
      <c r="V278" s="102">
        <v>0</v>
      </c>
      <c r="W278" s="102">
        <v>0</v>
      </c>
      <c r="X278" s="102">
        <v>0</v>
      </c>
      <c r="Y278" s="102">
        <v>0</v>
      </c>
      <c r="Z278" s="102">
        <v>0</v>
      </c>
      <c r="AA278" s="102">
        <v>0</v>
      </c>
      <c r="AB278" s="102">
        <v>0</v>
      </c>
      <c r="AC278" s="102">
        <v>0</v>
      </c>
      <c r="AD278" s="102">
        <v>0</v>
      </c>
      <c r="AE278" s="102">
        <v>2850</v>
      </c>
      <c r="AF278" s="104">
        <f t="shared" si="97"/>
        <v>0</v>
      </c>
      <c r="AG278" s="102">
        <v>0</v>
      </c>
      <c r="AH278" s="102">
        <v>0</v>
      </c>
      <c r="AI278" s="197">
        <f t="shared" si="92"/>
        <v>0</v>
      </c>
    </row>
    <row r="279" spans="1:35" s="198" customFormat="1" ht="26.1" customHeight="1">
      <c r="A279" s="126" t="s">
        <v>765</v>
      </c>
      <c r="B279" s="99" t="s">
        <v>9</v>
      </c>
      <c r="C279" s="109" t="s">
        <v>548</v>
      </c>
      <c r="D279" s="101">
        <v>4</v>
      </c>
      <c r="E279" s="102">
        <f t="shared" si="94"/>
        <v>95000</v>
      </c>
      <c r="F279" s="102">
        <v>49720</v>
      </c>
      <c r="G279" s="102">
        <v>45280</v>
      </c>
      <c r="H279" s="102">
        <f t="shared" si="95"/>
        <v>95000</v>
      </c>
      <c r="I279" s="102">
        <v>0</v>
      </c>
      <c r="J279" s="102">
        <v>0</v>
      </c>
      <c r="K279" s="102">
        <v>0</v>
      </c>
      <c r="L279" s="102">
        <v>95000</v>
      </c>
      <c r="M279" s="102">
        <v>0</v>
      </c>
      <c r="N279" s="102">
        <v>0</v>
      </c>
      <c r="O279" s="103">
        <v>0</v>
      </c>
      <c r="P279" s="107">
        <f t="shared" si="96"/>
        <v>0</v>
      </c>
      <c r="Q279" s="102">
        <v>0</v>
      </c>
      <c r="R279" s="102">
        <v>0</v>
      </c>
      <c r="S279" s="102">
        <v>0</v>
      </c>
      <c r="T279" s="102">
        <v>0</v>
      </c>
      <c r="U279" s="102">
        <v>0</v>
      </c>
      <c r="V279" s="102">
        <v>0</v>
      </c>
      <c r="W279" s="102">
        <v>0</v>
      </c>
      <c r="X279" s="102">
        <v>0</v>
      </c>
      <c r="Y279" s="102">
        <v>0</v>
      </c>
      <c r="Z279" s="102">
        <v>0</v>
      </c>
      <c r="AA279" s="102">
        <v>0</v>
      </c>
      <c r="AB279" s="102">
        <v>0</v>
      </c>
      <c r="AC279" s="102">
        <v>0</v>
      </c>
      <c r="AD279" s="102">
        <v>0</v>
      </c>
      <c r="AE279" s="102">
        <v>0</v>
      </c>
      <c r="AF279" s="104">
        <f t="shared" si="97"/>
        <v>0</v>
      </c>
      <c r="AG279" s="102">
        <v>0</v>
      </c>
      <c r="AH279" s="102">
        <v>0</v>
      </c>
      <c r="AI279" s="197">
        <f t="shared" si="92"/>
        <v>0</v>
      </c>
    </row>
    <row r="280" spans="1:35" s="198" customFormat="1" ht="26.1" customHeight="1">
      <c r="A280" s="206" t="s">
        <v>766</v>
      </c>
      <c r="B280" s="191" t="s">
        <v>497</v>
      </c>
      <c r="C280" s="201" t="s">
        <v>482</v>
      </c>
      <c r="D280" s="202">
        <v>5</v>
      </c>
      <c r="E280" s="207">
        <f t="shared" si="94"/>
        <v>628796</v>
      </c>
      <c r="F280" s="203">
        <v>628796</v>
      </c>
      <c r="G280" s="203"/>
      <c r="H280" s="207">
        <f t="shared" si="95"/>
        <v>628796</v>
      </c>
      <c r="I280" s="203">
        <v>588984</v>
      </c>
      <c r="J280" s="203"/>
      <c r="K280" s="203"/>
      <c r="L280" s="203"/>
      <c r="M280" s="203"/>
      <c r="N280" s="203">
        <v>39812</v>
      </c>
      <c r="O280" s="205"/>
      <c r="P280" s="205">
        <f t="shared" si="96"/>
        <v>0</v>
      </c>
      <c r="Q280" s="203"/>
      <c r="R280" s="203"/>
      <c r="S280" s="203"/>
      <c r="T280" s="203"/>
      <c r="U280" s="203"/>
      <c r="V280" s="203"/>
      <c r="W280" s="203"/>
      <c r="X280" s="203"/>
      <c r="Y280" s="203"/>
      <c r="Z280" s="203"/>
      <c r="AA280" s="203"/>
      <c r="AB280" s="203"/>
      <c r="AC280" s="203"/>
      <c r="AD280" s="203"/>
      <c r="AE280" s="203"/>
      <c r="AF280" s="203">
        <f t="shared" si="97"/>
        <v>0</v>
      </c>
      <c r="AG280" s="203"/>
      <c r="AH280" s="203"/>
      <c r="AI280" s="197">
        <f t="shared" si="92"/>
        <v>0</v>
      </c>
    </row>
    <row r="281" spans="1:35" s="198" customFormat="1" ht="26.1" customHeight="1">
      <c r="A281" s="206"/>
      <c r="B281" s="191"/>
      <c r="C281" s="201"/>
      <c r="D281" s="202"/>
      <c r="E281" s="207">
        <f t="shared" ref="E281:AH281" si="98">E282+E297+E309+E310</f>
        <v>15040801</v>
      </c>
      <c r="F281" s="207">
        <f t="shared" si="98"/>
        <v>14787683</v>
      </c>
      <c r="G281" s="207">
        <f t="shared" si="98"/>
        <v>253118</v>
      </c>
      <c r="H281" s="207">
        <f t="shared" si="98"/>
        <v>9772249</v>
      </c>
      <c r="I281" s="207">
        <f t="shared" si="98"/>
        <v>2044817</v>
      </c>
      <c r="J281" s="207">
        <f t="shared" si="98"/>
        <v>2123581</v>
      </c>
      <c r="K281" s="207">
        <f t="shared" si="98"/>
        <v>900784</v>
      </c>
      <c r="L281" s="207">
        <f t="shared" si="98"/>
        <v>1660538</v>
      </c>
      <c r="M281" s="207">
        <f t="shared" si="98"/>
        <v>1181112</v>
      </c>
      <c r="N281" s="207">
        <f t="shared" si="98"/>
        <v>1861417</v>
      </c>
      <c r="O281" s="207">
        <f t="shared" si="98"/>
        <v>0</v>
      </c>
      <c r="P281" s="207">
        <f t="shared" si="98"/>
        <v>5126934</v>
      </c>
      <c r="Q281" s="207">
        <f t="shared" si="98"/>
        <v>295078</v>
      </c>
      <c r="R281" s="207">
        <f t="shared" si="98"/>
        <v>293621</v>
      </c>
      <c r="S281" s="207">
        <f t="shared" si="98"/>
        <v>382266</v>
      </c>
      <c r="T281" s="207">
        <f t="shared" si="98"/>
        <v>759375</v>
      </c>
      <c r="U281" s="207">
        <f t="shared" si="98"/>
        <v>448234</v>
      </c>
      <c r="V281" s="207">
        <f t="shared" si="98"/>
        <v>504747</v>
      </c>
      <c r="W281" s="207">
        <f t="shared" si="98"/>
        <v>424877</v>
      </c>
      <c r="X281" s="207">
        <f t="shared" si="98"/>
        <v>750069</v>
      </c>
      <c r="Y281" s="207">
        <f t="shared" si="98"/>
        <v>284468</v>
      </c>
      <c r="Z281" s="207">
        <f t="shared" si="98"/>
        <v>278838</v>
      </c>
      <c r="AA281" s="207">
        <f t="shared" si="98"/>
        <v>144243</v>
      </c>
      <c r="AB281" s="207">
        <f t="shared" si="98"/>
        <v>177708</v>
      </c>
      <c r="AC281" s="207">
        <f t="shared" si="98"/>
        <v>208643</v>
      </c>
      <c r="AD281" s="207">
        <f t="shared" si="98"/>
        <v>171090</v>
      </c>
      <c r="AE281" s="207">
        <f t="shared" si="98"/>
        <v>3677</v>
      </c>
      <c r="AF281" s="207">
        <f t="shared" si="98"/>
        <v>141618</v>
      </c>
      <c r="AG281" s="207">
        <f t="shared" si="98"/>
        <v>105957</v>
      </c>
      <c r="AH281" s="207">
        <f t="shared" si="98"/>
        <v>35661</v>
      </c>
      <c r="AI281" s="197">
        <f t="shared" si="92"/>
        <v>0</v>
      </c>
    </row>
    <row r="282" spans="1:35" s="198" customFormat="1" ht="26.1" customHeight="1">
      <c r="A282" s="206"/>
      <c r="B282" s="191"/>
      <c r="C282" s="201"/>
      <c r="D282" s="202"/>
      <c r="E282" s="213">
        <f t="shared" ref="E282:AH282" si="99">SUM(E283:E296)</f>
        <v>2916023</v>
      </c>
      <c r="F282" s="203">
        <f t="shared" si="99"/>
        <v>2836487</v>
      </c>
      <c r="G282" s="203">
        <f t="shared" si="99"/>
        <v>79536</v>
      </c>
      <c r="H282" s="213">
        <f t="shared" si="99"/>
        <v>2148604</v>
      </c>
      <c r="I282" s="203">
        <f t="shared" si="99"/>
        <v>920011</v>
      </c>
      <c r="J282" s="203">
        <f t="shared" si="99"/>
        <v>313167</v>
      </c>
      <c r="K282" s="203">
        <f t="shared" si="99"/>
        <v>92368</v>
      </c>
      <c r="L282" s="203">
        <f t="shared" si="99"/>
        <v>290912</v>
      </c>
      <c r="M282" s="203">
        <f t="shared" si="99"/>
        <v>190570</v>
      </c>
      <c r="N282" s="203">
        <f t="shared" si="99"/>
        <v>341576</v>
      </c>
      <c r="O282" s="203">
        <f t="shared" si="99"/>
        <v>0</v>
      </c>
      <c r="P282" s="213">
        <f t="shared" si="99"/>
        <v>720046</v>
      </c>
      <c r="Q282" s="203">
        <f t="shared" si="99"/>
        <v>34704</v>
      </c>
      <c r="R282" s="203">
        <f t="shared" si="99"/>
        <v>38466</v>
      </c>
      <c r="S282" s="203">
        <f t="shared" si="99"/>
        <v>66130</v>
      </c>
      <c r="T282" s="203">
        <f t="shared" si="99"/>
        <v>71187</v>
      </c>
      <c r="U282" s="203">
        <f t="shared" si="99"/>
        <v>43722</v>
      </c>
      <c r="V282" s="203">
        <f t="shared" si="99"/>
        <v>39113</v>
      </c>
      <c r="W282" s="203">
        <f t="shared" si="99"/>
        <v>37438</v>
      </c>
      <c r="X282" s="203">
        <f t="shared" si="99"/>
        <v>142555</v>
      </c>
      <c r="Y282" s="203">
        <f t="shared" si="99"/>
        <v>82496</v>
      </c>
      <c r="Z282" s="203">
        <f t="shared" si="99"/>
        <v>47397</v>
      </c>
      <c r="AA282" s="203">
        <f t="shared" si="99"/>
        <v>41312</v>
      </c>
      <c r="AB282" s="203">
        <f t="shared" si="99"/>
        <v>27863</v>
      </c>
      <c r="AC282" s="203">
        <f t="shared" si="99"/>
        <v>31479</v>
      </c>
      <c r="AD282" s="203">
        <f t="shared" si="99"/>
        <v>16184</v>
      </c>
      <c r="AE282" s="203">
        <f t="shared" si="99"/>
        <v>0</v>
      </c>
      <c r="AF282" s="213">
        <f t="shared" si="99"/>
        <v>47373</v>
      </c>
      <c r="AG282" s="203">
        <f t="shared" si="99"/>
        <v>21236</v>
      </c>
      <c r="AH282" s="203">
        <f t="shared" si="99"/>
        <v>26137</v>
      </c>
      <c r="AI282" s="197">
        <f t="shared" si="92"/>
        <v>0</v>
      </c>
    </row>
    <row r="283" spans="1:35" s="198" customFormat="1" ht="26.1" customHeight="1">
      <c r="A283" s="200" t="s">
        <v>180</v>
      </c>
      <c r="B283" s="191" t="s">
        <v>181</v>
      </c>
      <c r="C283" s="201" t="s">
        <v>152</v>
      </c>
      <c r="D283" s="202">
        <v>5</v>
      </c>
      <c r="E283" s="203">
        <f t="shared" ref="E283:E296" si="100">SUM(H283,P283,AF283)</f>
        <v>22275</v>
      </c>
      <c r="F283" s="203">
        <v>15022</v>
      </c>
      <c r="G283" s="203">
        <v>7253</v>
      </c>
      <c r="H283" s="204">
        <f t="shared" ref="H283:H296" si="101">SUM(I283:O283)</f>
        <v>5371</v>
      </c>
      <c r="I283" s="203">
        <v>0</v>
      </c>
      <c r="J283" s="203">
        <v>762</v>
      </c>
      <c r="K283" s="203">
        <v>980</v>
      </c>
      <c r="L283" s="203">
        <v>1080</v>
      </c>
      <c r="M283" s="203">
        <v>1559</v>
      </c>
      <c r="N283" s="203">
        <v>990</v>
      </c>
      <c r="O283" s="205">
        <v>0</v>
      </c>
      <c r="P283" s="205">
        <f t="shared" ref="P283:P296" si="102">SUM(Q283:AE283)</f>
        <v>16562</v>
      </c>
      <c r="Q283" s="203">
        <v>1906</v>
      </c>
      <c r="R283" s="203">
        <v>926</v>
      </c>
      <c r="S283" s="203">
        <v>1205</v>
      </c>
      <c r="T283" s="203">
        <v>1350</v>
      </c>
      <c r="U283" s="203">
        <v>644</v>
      </c>
      <c r="V283" s="203">
        <v>1875</v>
      </c>
      <c r="W283" s="203">
        <v>1350</v>
      </c>
      <c r="X283" s="203">
        <v>1500</v>
      </c>
      <c r="Y283" s="203">
        <v>1402</v>
      </c>
      <c r="Z283" s="203">
        <v>1465</v>
      </c>
      <c r="AA283" s="203">
        <v>1421</v>
      </c>
      <c r="AB283" s="203">
        <v>478</v>
      </c>
      <c r="AC283" s="203">
        <v>520</v>
      </c>
      <c r="AD283" s="203">
        <v>520</v>
      </c>
      <c r="AE283" s="203"/>
      <c r="AF283" s="203">
        <f t="shared" ref="AF283:AF296" si="103">SUM(AG283:AH283)</f>
        <v>342</v>
      </c>
      <c r="AG283" s="203">
        <v>42</v>
      </c>
      <c r="AH283" s="203">
        <v>300</v>
      </c>
      <c r="AI283" s="197">
        <f t="shared" si="92"/>
        <v>0</v>
      </c>
    </row>
    <row r="284" spans="1:35" s="198" customFormat="1" ht="26.1" customHeight="1">
      <c r="A284" s="190" t="s">
        <v>180</v>
      </c>
      <c r="B284" s="191" t="s">
        <v>181</v>
      </c>
      <c r="C284" s="201" t="s">
        <v>182</v>
      </c>
      <c r="D284" s="202">
        <v>5</v>
      </c>
      <c r="E284" s="203">
        <f t="shared" si="100"/>
        <v>145346</v>
      </c>
      <c r="F284" s="203">
        <v>145346</v>
      </c>
      <c r="G284" s="203">
        <v>0</v>
      </c>
      <c r="H284" s="204">
        <f t="shared" si="101"/>
        <v>65073</v>
      </c>
      <c r="I284" s="203">
        <v>0</v>
      </c>
      <c r="J284" s="203">
        <v>17185</v>
      </c>
      <c r="K284" s="203">
        <v>7806</v>
      </c>
      <c r="L284" s="203">
        <v>12930</v>
      </c>
      <c r="M284" s="203">
        <v>10949</v>
      </c>
      <c r="N284" s="203">
        <v>16203</v>
      </c>
      <c r="O284" s="205">
        <v>0</v>
      </c>
      <c r="P284" s="205">
        <f t="shared" si="102"/>
        <v>76973</v>
      </c>
      <c r="Q284" s="203">
        <v>6270</v>
      </c>
      <c r="R284" s="203">
        <v>5748</v>
      </c>
      <c r="S284" s="203">
        <v>5747</v>
      </c>
      <c r="T284" s="203">
        <v>7838</v>
      </c>
      <c r="U284" s="203">
        <v>6792</v>
      </c>
      <c r="V284" s="203">
        <v>6793</v>
      </c>
      <c r="W284" s="203">
        <v>5225</v>
      </c>
      <c r="X284" s="203">
        <v>7315</v>
      </c>
      <c r="Y284" s="203">
        <v>4703</v>
      </c>
      <c r="Z284" s="203">
        <v>6297</v>
      </c>
      <c r="AA284" s="203">
        <v>2750</v>
      </c>
      <c r="AB284" s="203">
        <v>4180</v>
      </c>
      <c r="AC284" s="203">
        <v>3657</v>
      </c>
      <c r="AD284" s="203">
        <v>3658</v>
      </c>
      <c r="AE284" s="203">
        <v>0</v>
      </c>
      <c r="AF284" s="203">
        <f t="shared" si="103"/>
        <v>3300</v>
      </c>
      <c r="AG284" s="203">
        <v>2200</v>
      </c>
      <c r="AH284" s="203">
        <v>1100</v>
      </c>
      <c r="AI284" s="197">
        <f t="shared" si="92"/>
        <v>0</v>
      </c>
    </row>
    <row r="285" spans="1:35" s="198" customFormat="1" ht="26.1" customHeight="1">
      <c r="A285" s="190" t="s">
        <v>180</v>
      </c>
      <c r="B285" s="191" t="s">
        <v>181</v>
      </c>
      <c r="C285" s="201" t="s">
        <v>183</v>
      </c>
      <c r="D285" s="202">
        <v>5</v>
      </c>
      <c r="E285" s="203">
        <f t="shared" si="100"/>
        <v>20614</v>
      </c>
      <c r="F285" s="203">
        <v>20614</v>
      </c>
      <c r="G285" s="203">
        <v>0</v>
      </c>
      <c r="H285" s="204">
        <f t="shared" si="101"/>
        <v>0</v>
      </c>
      <c r="I285" s="203">
        <v>0</v>
      </c>
      <c r="J285" s="203">
        <v>0</v>
      </c>
      <c r="K285" s="203">
        <v>0</v>
      </c>
      <c r="L285" s="203">
        <v>0</v>
      </c>
      <c r="M285" s="203">
        <v>0</v>
      </c>
      <c r="N285" s="203">
        <v>0</v>
      </c>
      <c r="O285" s="205">
        <v>0</v>
      </c>
      <c r="P285" s="205">
        <f t="shared" si="102"/>
        <v>10924</v>
      </c>
      <c r="Q285" s="203">
        <v>0</v>
      </c>
      <c r="R285" s="203">
        <v>0</v>
      </c>
      <c r="S285" s="203">
        <v>0</v>
      </c>
      <c r="T285" s="203">
        <v>0</v>
      </c>
      <c r="U285" s="203">
        <v>0</v>
      </c>
      <c r="V285" s="203">
        <v>0</v>
      </c>
      <c r="W285" s="203">
        <v>0</v>
      </c>
      <c r="X285" s="203">
        <v>0</v>
      </c>
      <c r="Y285" s="203">
        <v>1250</v>
      </c>
      <c r="Z285" s="203">
        <v>0</v>
      </c>
      <c r="AA285" s="203">
        <v>9674</v>
      </c>
      <c r="AB285" s="203">
        <v>0</v>
      </c>
      <c r="AC285" s="203">
        <v>0</v>
      </c>
      <c r="AD285" s="203">
        <v>0</v>
      </c>
      <c r="AE285" s="203">
        <v>0</v>
      </c>
      <c r="AF285" s="203">
        <f t="shared" si="103"/>
        <v>9690</v>
      </c>
      <c r="AG285" s="203">
        <v>8100</v>
      </c>
      <c r="AH285" s="203">
        <v>1590</v>
      </c>
      <c r="AI285" s="197">
        <f t="shared" si="92"/>
        <v>0</v>
      </c>
    </row>
    <row r="286" spans="1:35" s="198" customFormat="1" ht="26.1" customHeight="1">
      <c r="A286" s="190" t="s">
        <v>180</v>
      </c>
      <c r="B286" s="191" t="s">
        <v>181</v>
      </c>
      <c r="C286" s="201" t="s">
        <v>184</v>
      </c>
      <c r="D286" s="202">
        <v>5</v>
      </c>
      <c r="E286" s="203">
        <f t="shared" si="100"/>
        <v>139451</v>
      </c>
      <c r="F286" s="203">
        <v>69258</v>
      </c>
      <c r="G286" s="203">
        <v>70193</v>
      </c>
      <c r="H286" s="204">
        <f t="shared" si="101"/>
        <v>14780</v>
      </c>
      <c r="I286" s="203">
        <v>0</v>
      </c>
      <c r="J286" s="203">
        <v>1910</v>
      </c>
      <c r="K286" s="203">
        <v>6137</v>
      </c>
      <c r="L286" s="203">
        <v>2448</v>
      </c>
      <c r="M286" s="203">
        <v>0</v>
      </c>
      <c r="N286" s="203">
        <v>4285</v>
      </c>
      <c r="O286" s="205">
        <v>0</v>
      </c>
      <c r="P286" s="205">
        <f t="shared" si="102"/>
        <v>96986</v>
      </c>
      <c r="Q286" s="203">
        <v>3821</v>
      </c>
      <c r="R286" s="203">
        <v>5105</v>
      </c>
      <c r="S286" s="203">
        <v>3740</v>
      </c>
      <c r="T286" s="203">
        <v>0</v>
      </c>
      <c r="U286" s="203">
        <v>5127</v>
      </c>
      <c r="V286" s="203">
        <v>0</v>
      </c>
      <c r="W286" s="203">
        <v>2372</v>
      </c>
      <c r="X286" s="203">
        <v>11609</v>
      </c>
      <c r="Y286" s="203">
        <v>38185</v>
      </c>
      <c r="Z286" s="203">
        <v>6456</v>
      </c>
      <c r="AA286" s="203">
        <v>20571</v>
      </c>
      <c r="AB286" s="203">
        <v>0</v>
      </c>
      <c r="AC286" s="203">
        <v>0</v>
      </c>
      <c r="AD286" s="203">
        <v>0</v>
      </c>
      <c r="AE286" s="203">
        <v>0</v>
      </c>
      <c r="AF286" s="203">
        <f t="shared" si="103"/>
        <v>27685</v>
      </c>
      <c r="AG286" s="203">
        <v>6140</v>
      </c>
      <c r="AH286" s="203">
        <v>21545</v>
      </c>
      <c r="AI286" s="197">
        <f t="shared" si="92"/>
        <v>0</v>
      </c>
    </row>
    <row r="287" spans="1:35" s="198" customFormat="1" ht="26.1" customHeight="1">
      <c r="A287" s="190" t="s">
        <v>180</v>
      </c>
      <c r="B287" s="191" t="s">
        <v>181</v>
      </c>
      <c r="C287" s="201" t="s">
        <v>186</v>
      </c>
      <c r="D287" s="202">
        <v>5</v>
      </c>
      <c r="E287" s="203">
        <f t="shared" si="100"/>
        <v>2090</v>
      </c>
      <c r="F287" s="203">
        <v>0</v>
      </c>
      <c r="G287" s="203">
        <v>2090</v>
      </c>
      <c r="H287" s="204">
        <f t="shared" si="101"/>
        <v>0</v>
      </c>
      <c r="I287" s="203">
        <v>0</v>
      </c>
      <c r="J287" s="203">
        <v>0</v>
      </c>
      <c r="K287" s="203">
        <v>0</v>
      </c>
      <c r="L287" s="203">
        <v>0</v>
      </c>
      <c r="M287" s="203">
        <v>0</v>
      </c>
      <c r="N287" s="203">
        <v>0</v>
      </c>
      <c r="O287" s="205">
        <v>0</v>
      </c>
      <c r="P287" s="205">
        <f t="shared" si="102"/>
        <v>2090</v>
      </c>
      <c r="Q287" s="203">
        <v>0</v>
      </c>
      <c r="R287" s="203">
        <v>0</v>
      </c>
      <c r="S287" s="203">
        <v>0</v>
      </c>
      <c r="T287" s="203">
        <v>0</v>
      </c>
      <c r="U287" s="203">
        <v>0</v>
      </c>
      <c r="V287" s="203">
        <v>0</v>
      </c>
      <c r="W287" s="203">
        <v>0</v>
      </c>
      <c r="X287" s="203">
        <v>0</v>
      </c>
      <c r="Y287" s="203">
        <v>1090</v>
      </c>
      <c r="Z287" s="203">
        <v>0</v>
      </c>
      <c r="AA287" s="203">
        <v>1000</v>
      </c>
      <c r="AB287" s="203">
        <v>0</v>
      </c>
      <c r="AC287" s="203">
        <v>0</v>
      </c>
      <c r="AD287" s="203">
        <v>0</v>
      </c>
      <c r="AE287" s="203">
        <v>0</v>
      </c>
      <c r="AF287" s="203">
        <f t="shared" si="103"/>
        <v>0</v>
      </c>
      <c r="AG287" s="203">
        <v>0</v>
      </c>
      <c r="AH287" s="203">
        <v>0</v>
      </c>
      <c r="AI287" s="197">
        <f t="shared" si="92"/>
        <v>0</v>
      </c>
    </row>
    <row r="288" spans="1:35" s="198" customFormat="1" ht="26.1" customHeight="1">
      <c r="A288" s="190" t="s">
        <v>180</v>
      </c>
      <c r="B288" s="191" t="s">
        <v>181</v>
      </c>
      <c r="C288" s="201" t="s">
        <v>185</v>
      </c>
      <c r="D288" s="202">
        <v>5</v>
      </c>
      <c r="E288" s="203">
        <f t="shared" si="100"/>
        <v>140373</v>
      </c>
      <c r="F288" s="203">
        <v>140373</v>
      </c>
      <c r="G288" s="203">
        <v>0</v>
      </c>
      <c r="H288" s="204">
        <f t="shared" si="101"/>
        <v>66620</v>
      </c>
      <c r="I288" s="203">
        <v>0</v>
      </c>
      <c r="J288" s="203">
        <v>10354</v>
      </c>
      <c r="K288" s="203">
        <v>9922</v>
      </c>
      <c r="L288" s="203">
        <v>25892</v>
      </c>
      <c r="M288" s="203">
        <v>9993</v>
      </c>
      <c r="N288" s="203">
        <v>10459</v>
      </c>
      <c r="O288" s="205">
        <v>0</v>
      </c>
      <c r="P288" s="205">
        <f t="shared" si="102"/>
        <v>72545</v>
      </c>
      <c r="Q288" s="203">
        <v>9923</v>
      </c>
      <c r="R288" s="203">
        <v>4326</v>
      </c>
      <c r="S288" s="203">
        <v>7354</v>
      </c>
      <c r="T288" s="203">
        <v>8636</v>
      </c>
      <c r="U288" s="203">
        <v>7875</v>
      </c>
      <c r="V288" s="203">
        <v>3674</v>
      </c>
      <c r="W288" s="203">
        <v>8696</v>
      </c>
      <c r="X288" s="203">
        <v>3608</v>
      </c>
      <c r="Y288" s="203">
        <v>2942</v>
      </c>
      <c r="Z288" s="203">
        <v>6001</v>
      </c>
      <c r="AA288" s="203">
        <v>1378</v>
      </c>
      <c r="AB288" s="203">
        <v>1857</v>
      </c>
      <c r="AC288" s="203">
        <v>2393</v>
      </c>
      <c r="AD288" s="203">
        <v>3882</v>
      </c>
      <c r="AE288" s="203">
        <v>0</v>
      </c>
      <c r="AF288" s="203">
        <f t="shared" si="103"/>
        <v>1208</v>
      </c>
      <c r="AG288" s="203">
        <v>972</v>
      </c>
      <c r="AH288" s="203">
        <v>236</v>
      </c>
      <c r="AI288" s="197">
        <f t="shared" si="92"/>
        <v>0</v>
      </c>
    </row>
    <row r="289" spans="1:35" s="198" customFormat="1" ht="26.1" customHeight="1">
      <c r="A289" s="190" t="s">
        <v>180</v>
      </c>
      <c r="B289" s="191" t="s">
        <v>181</v>
      </c>
      <c r="C289" s="201" t="s">
        <v>187</v>
      </c>
      <c r="D289" s="202">
        <v>5</v>
      </c>
      <c r="E289" s="203">
        <f t="shared" si="100"/>
        <v>55321</v>
      </c>
      <c r="F289" s="203">
        <v>55321</v>
      </c>
      <c r="G289" s="203">
        <v>0</v>
      </c>
      <c r="H289" s="204">
        <f t="shared" si="101"/>
        <v>36274</v>
      </c>
      <c r="I289" s="203">
        <v>6314</v>
      </c>
      <c r="J289" s="203">
        <v>9415</v>
      </c>
      <c r="K289" s="203">
        <v>2628</v>
      </c>
      <c r="L289" s="203">
        <v>3766</v>
      </c>
      <c r="M289" s="203">
        <v>3462</v>
      </c>
      <c r="N289" s="203">
        <v>10689</v>
      </c>
      <c r="O289" s="205">
        <v>0</v>
      </c>
      <c r="P289" s="205">
        <f t="shared" si="102"/>
        <v>18808</v>
      </c>
      <c r="Q289" s="203">
        <v>1515</v>
      </c>
      <c r="R289" s="203">
        <v>900</v>
      </c>
      <c r="S289" s="203">
        <v>938</v>
      </c>
      <c r="T289" s="203">
        <v>3986</v>
      </c>
      <c r="U289" s="203">
        <v>540</v>
      </c>
      <c r="V289" s="203">
        <v>1168</v>
      </c>
      <c r="W289" s="203">
        <v>1605</v>
      </c>
      <c r="X289" s="203">
        <v>2510</v>
      </c>
      <c r="Y289" s="203">
        <v>579</v>
      </c>
      <c r="Z289" s="203">
        <v>1460</v>
      </c>
      <c r="AA289" s="203">
        <v>348</v>
      </c>
      <c r="AB289" s="203">
        <v>872</v>
      </c>
      <c r="AC289" s="203">
        <v>1205</v>
      </c>
      <c r="AD289" s="203">
        <v>1182</v>
      </c>
      <c r="AE289" s="203">
        <v>0</v>
      </c>
      <c r="AF289" s="203">
        <f t="shared" si="103"/>
        <v>239</v>
      </c>
      <c r="AG289" s="203">
        <v>239</v>
      </c>
      <c r="AH289" s="203">
        <v>0</v>
      </c>
      <c r="AI289" s="197">
        <f t="shared" si="92"/>
        <v>0</v>
      </c>
    </row>
    <row r="290" spans="1:35" s="198" customFormat="1" ht="26.1" customHeight="1">
      <c r="A290" s="190" t="s">
        <v>180</v>
      </c>
      <c r="B290" s="191" t="s">
        <v>181</v>
      </c>
      <c r="C290" s="201" t="s">
        <v>188</v>
      </c>
      <c r="D290" s="202">
        <v>5</v>
      </c>
      <c r="E290" s="203">
        <f t="shared" si="100"/>
        <v>91391</v>
      </c>
      <c r="F290" s="203">
        <v>91391</v>
      </c>
      <c r="G290" s="203">
        <v>0</v>
      </c>
      <c r="H290" s="204">
        <f t="shared" si="101"/>
        <v>56852</v>
      </c>
      <c r="I290" s="203">
        <v>8560</v>
      </c>
      <c r="J290" s="203">
        <v>12330</v>
      </c>
      <c r="K290" s="203">
        <v>8050</v>
      </c>
      <c r="L290" s="203">
        <v>12770</v>
      </c>
      <c r="M290" s="203">
        <v>6792</v>
      </c>
      <c r="N290" s="203">
        <v>8350</v>
      </c>
      <c r="O290" s="205">
        <v>0</v>
      </c>
      <c r="P290" s="205">
        <f t="shared" si="102"/>
        <v>33689</v>
      </c>
      <c r="Q290" s="203">
        <v>2402</v>
      </c>
      <c r="R290" s="203">
        <v>3045</v>
      </c>
      <c r="S290" s="203">
        <v>2506</v>
      </c>
      <c r="T290" s="203">
        <v>7935</v>
      </c>
      <c r="U290" s="203">
        <v>1985</v>
      </c>
      <c r="V290" s="203">
        <v>3140</v>
      </c>
      <c r="W290" s="203">
        <v>1430</v>
      </c>
      <c r="X290" s="203">
        <v>4498</v>
      </c>
      <c r="Y290" s="203">
        <v>573</v>
      </c>
      <c r="Z290" s="203">
        <v>1712</v>
      </c>
      <c r="AA290" s="203">
        <v>306</v>
      </c>
      <c r="AB290" s="203">
        <v>1595</v>
      </c>
      <c r="AC290" s="203">
        <v>1672</v>
      </c>
      <c r="AD290" s="203">
        <v>890</v>
      </c>
      <c r="AE290" s="203">
        <v>0</v>
      </c>
      <c r="AF290" s="203">
        <f t="shared" si="103"/>
        <v>850</v>
      </c>
      <c r="AG290" s="203">
        <v>560</v>
      </c>
      <c r="AH290" s="203">
        <v>290</v>
      </c>
      <c r="AI290" s="197">
        <f t="shared" si="92"/>
        <v>0</v>
      </c>
    </row>
    <row r="291" spans="1:35" s="198" customFormat="1" ht="26.1" customHeight="1">
      <c r="A291" s="190" t="s">
        <v>180</v>
      </c>
      <c r="B291" s="191" t="s">
        <v>181</v>
      </c>
      <c r="C291" s="201" t="s">
        <v>84</v>
      </c>
      <c r="D291" s="202">
        <v>5</v>
      </c>
      <c r="E291" s="203">
        <f t="shared" si="100"/>
        <v>2000</v>
      </c>
      <c r="F291" s="203">
        <v>2000</v>
      </c>
      <c r="G291" s="203">
        <v>0</v>
      </c>
      <c r="H291" s="204">
        <f t="shared" si="101"/>
        <v>1275</v>
      </c>
      <c r="I291" s="203">
        <v>170</v>
      </c>
      <c r="J291" s="203">
        <v>400</v>
      </c>
      <c r="K291" s="203">
        <v>75</v>
      </c>
      <c r="L291" s="203">
        <v>210</v>
      </c>
      <c r="M291" s="203">
        <v>180</v>
      </c>
      <c r="N291" s="203">
        <v>240</v>
      </c>
      <c r="O291" s="205">
        <v>0</v>
      </c>
      <c r="P291" s="205">
        <f t="shared" si="102"/>
        <v>719</v>
      </c>
      <c r="Q291" s="203">
        <v>45</v>
      </c>
      <c r="R291" s="203">
        <v>38</v>
      </c>
      <c r="S291" s="203">
        <v>40</v>
      </c>
      <c r="T291" s="203">
        <v>85</v>
      </c>
      <c r="U291" s="203">
        <v>66</v>
      </c>
      <c r="V291" s="203">
        <v>50</v>
      </c>
      <c r="W291" s="203">
        <v>42</v>
      </c>
      <c r="X291" s="203">
        <v>130</v>
      </c>
      <c r="Y291" s="203">
        <v>75</v>
      </c>
      <c r="Z291" s="203">
        <v>50</v>
      </c>
      <c r="AA291" s="203">
        <v>25</v>
      </c>
      <c r="AB291" s="203">
        <v>27</v>
      </c>
      <c r="AC291" s="203">
        <v>24</v>
      </c>
      <c r="AD291" s="203">
        <v>22</v>
      </c>
      <c r="AE291" s="203">
        <v>0</v>
      </c>
      <c r="AF291" s="203">
        <f t="shared" si="103"/>
        <v>6</v>
      </c>
      <c r="AG291" s="203">
        <v>6</v>
      </c>
      <c r="AH291" s="203">
        <v>0</v>
      </c>
      <c r="AI291" s="197">
        <f t="shared" si="92"/>
        <v>0</v>
      </c>
    </row>
    <row r="292" spans="1:35" s="198" customFormat="1" ht="26.1" customHeight="1">
      <c r="A292" s="190" t="s">
        <v>180</v>
      </c>
      <c r="B292" s="191" t="s">
        <v>181</v>
      </c>
      <c r="C292" s="201" t="s">
        <v>189</v>
      </c>
      <c r="D292" s="202">
        <v>5</v>
      </c>
      <c r="E292" s="203">
        <f t="shared" si="100"/>
        <v>922087</v>
      </c>
      <c r="F292" s="203">
        <v>922087</v>
      </c>
      <c r="G292" s="203">
        <v>0</v>
      </c>
      <c r="H292" s="204">
        <f t="shared" si="101"/>
        <v>745854</v>
      </c>
      <c r="I292" s="203">
        <v>83837</v>
      </c>
      <c r="J292" s="203">
        <v>185583</v>
      </c>
      <c r="K292" s="203">
        <v>17304</v>
      </c>
      <c r="L292" s="203">
        <v>176255</v>
      </c>
      <c r="M292" s="203">
        <v>121071</v>
      </c>
      <c r="N292" s="203">
        <v>161804</v>
      </c>
      <c r="O292" s="205">
        <v>0</v>
      </c>
      <c r="P292" s="205">
        <f t="shared" si="102"/>
        <v>175770</v>
      </c>
      <c r="Q292" s="203">
        <v>103</v>
      </c>
      <c r="R292" s="203">
        <v>8720</v>
      </c>
      <c r="S292" s="203">
        <v>27661</v>
      </c>
      <c r="T292" s="203">
        <v>19149</v>
      </c>
      <c r="U292" s="203">
        <v>1687</v>
      </c>
      <c r="V292" s="203">
        <v>5669</v>
      </c>
      <c r="W292" s="203">
        <v>2913</v>
      </c>
      <c r="X292" s="203">
        <v>75723</v>
      </c>
      <c r="Y292" s="203">
        <v>15606</v>
      </c>
      <c r="Z292" s="203">
        <v>6027</v>
      </c>
      <c r="AA292" s="203">
        <v>0</v>
      </c>
      <c r="AB292" s="203">
        <v>0</v>
      </c>
      <c r="AC292" s="203">
        <v>12512</v>
      </c>
      <c r="AD292" s="203">
        <v>0</v>
      </c>
      <c r="AE292" s="203">
        <v>0</v>
      </c>
      <c r="AF292" s="203">
        <f t="shared" si="103"/>
        <v>463</v>
      </c>
      <c r="AG292" s="203">
        <v>0</v>
      </c>
      <c r="AH292" s="203">
        <v>463</v>
      </c>
      <c r="AI292" s="197">
        <f t="shared" si="92"/>
        <v>0</v>
      </c>
    </row>
    <row r="293" spans="1:35" s="198" customFormat="1" ht="26.1" customHeight="1">
      <c r="A293" s="190" t="s">
        <v>180</v>
      </c>
      <c r="B293" s="191" t="s">
        <v>181</v>
      </c>
      <c r="C293" s="201" t="s">
        <v>190</v>
      </c>
      <c r="D293" s="202">
        <v>5</v>
      </c>
      <c r="E293" s="203">
        <f t="shared" si="100"/>
        <v>42353</v>
      </c>
      <c r="F293" s="203">
        <v>42353</v>
      </c>
      <c r="G293" s="203">
        <v>0</v>
      </c>
      <c r="H293" s="204">
        <f t="shared" si="101"/>
        <v>26619</v>
      </c>
      <c r="I293" s="203">
        <v>1813</v>
      </c>
      <c r="J293" s="203">
        <v>9791</v>
      </c>
      <c r="K293" s="203">
        <v>79</v>
      </c>
      <c r="L293" s="203">
        <v>8985</v>
      </c>
      <c r="M293" s="203">
        <v>4847</v>
      </c>
      <c r="N293" s="203">
        <v>1104</v>
      </c>
      <c r="O293" s="205">
        <v>0</v>
      </c>
      <c r="P293" s="205">
        <f t="shared" si="102"/>
        <v>15442</v>
      </c>
      <c r="Q293" s="203">
        <v>106</v>
      </c>
      <c r="R293" s="203">
        <v>0</v>
      </c>
      <c r="S293" s="203">
        <v>1146</v>
      </c>
      <c r="T293" s="203">
        <v>2156</v>
      </c>
      <c r="U293" s="203">
        <v>0</v>
      </c>
      <c r="V293" s="203">
        <v>694</v>
      </c>
      <c r="W293" s="203">
        <v>1988</v>
      </c>
      <c r="X293" s="203">
        <v>305</v>
      </c>
      <c r="Y293" s="203">
        <v>4026</v>
      </c>
      <c r="Z293" s="203">
        <v>0</v>
      </c>
      <c r="AA293" s="203">
        <v>832</v>
      </c>
      <c r="AB293" s="203">
        <v>49</v>
      </c>
      <c r="AC293" s="203">
        <v>3503</v>
      </c>
      <c r="AD293" s="203">
        <v>637</v>
      </c>
      <c r="AE293" s="203">
        <v>0</v>
      </c>
      <c r="AF293" s="203">
        <f t="shared" si="103"/>
        <v>292</v>
      </c>
      <c r="AG293" s="203">
        <v>292</v>
      </c>
      <c r="AH293" s="203">
        <v>0</v>
      </c>
      <c r="AI293" s="197">
        <f t="shared" si="92"/>
        <v>0</v>
      </c>
    </row>
    <row r="294" spans="1:35" s="198" customFormat="1" ht="26.1" customHeight="1">
      <c r="A294" s="190" t="s">
        <v>180</v>
      </c>
      <c r="B294" s="191" t="s">
        <v>181</v>
      </c>
      <c r="C294" s="201" t="s">
        <v>85</v>
      </c>
      <c r="D294" s="202">
        <v>5</v>
      </c>
      <c r="E294" s="203">
        <f t="shared" si="100"/>
        <v>92215</v>
      </c>
      <c r="F294" s="203">
        <v>92215</v>
      </c>
      <c r="G294" s="203">
        <v>0</v>
      </c>
      <c r="H294" s="204">
        <f t="shared" si="101"/>
        <v>59188</v>
      </c>
      <c r="I294" s="203">
        <v>5437</v>
      </c>
      <c r="J294" s="203">
        <v>16208</v>
      </c>
      <c r="K294" s="203">
        <v>9367</v>
      </c>
      <c r="L294" s="203">
        <v>13896</v>
      </c>
      <c r="M294" s="203">
        <v>8632</v>
      </c>
      <c r="N294" s="203">
        <v>5648</v>
      </c>
      <c r="O294" s="205">
        <v>0</v>
      </c>
      <c r="P294" s="205">
        <f t="shared" si="102"/>
        <v>32271</v>
      </c>
      <c r="Q294" s="203">
        <v>1773</v>
      </c>
      <c r="R294" s="203">
        <v>2124</v>
      </c>
      <c r="S294" s="203">
        <v>2721</v>
      </c>
      <c r="T294" s="203">
        <v>6980</v>
      </c>
      <c r="U294" s="203">
        <v>2048</v>
      </c>
      <c r="V294" s="203">
        <v>3700</v>
      </c>
      <c r="W294" s="203">
        <v>2583</v>
      </c>
      <c r="X294" s="203">
        <v>3057</v>
      </c>
      <c r="Y294" s="203">
        <v>1283</v>
      </c>
      <c r="Z294" s="203">
        <v>1779</v>
      </c>
      <c r="AA294" s="203">
        <v>537</v>
      </c>
      <c r="AB294" s="203">
        <v>1468</v>
      </c>
      <c r="AC294" s="203">
        <v>1195</v>
      </c>
      <c r="AD294" s="203">
        <v>1023</v>
      </c>
      <c r="AE294" s="203">
        <v>0</v>
      </c>
      <c r="AF294" s="203">
        <f t="shared" si="103"/>
        <v>756</v>
      </c>
      <c r="AG294" s="203">
        <v>523</v>
      </c>
      <c r="AH294" s="203">
        <v>233</v>
      </c>
      <c r="AI294" s="197">
        <f t="shared" si="92"/>
        <v>0</v>
      </c>
    </row>
    <row r="295" spans="1:35" s="198" customFormat="1" ht="26.1" customHeight="1">
      <c r="A295" s="190" t="s">
        <v>180</v>
      </c>
      <c r="B295" s="191" t="s">
        <v>181</v>
      </c>
      <c r="C295" s="201" t="s">
        <v>83</v>
      </c>
      <c r="D295" s="202">
        <v>5</v>
      </c>
      <c r="E295" s="203">
        <f t="shared" si="100"/>
        <v>384718</v>
      </c>
      <c r="F295" s="203">
        <v>384718</v>
      </c>
      <c r="G295" s="203">
        <v>0</v>
      </c>
      <c r="H295" s="204">
        <f t="shared" si="101"/>
        <v>214909</v>
      </c>
      <c r="I295" s="203">
        <v>32680</v>
      </c>
      <c r="J295" s="203">
        <v>49229</v>
      </c>
      <c r="K295" s="203">
        <v>30020</v>
      </c>
      <c r="L295" s="203">
        <v>32680</v>
      </c>
      <c r="M295" s="203">
        <v>23085</v>
      </c>
      <c r="N295" s="203">
        <v>47215</v>
      </c>
      <c r="O295" s="205">
        <v>0</v>
      </c>
      <c r="P295" s="205">
        <f t="shared" si="102"/>
        <v>167267</v>
      </c>
      <c r="Q295" s="203">
        <v>6840</v>
      </c>
      <c r="R295" s="203">
        <v>7534</v>
      </c>
      <c r="S295" s="203">
        <v>13072</v>
      </c>
      <c r="T295" s="203">
        <v>13072</v>
      </c>
      <c r="U295" s="203">
        <v>16958</v>
      </c>
      <c r="V295" s="203">
        <v>12350</v>
      </c>
      <c r="W295" s="203">
        <v>9234</v>
      </c>
      <c r="X295" s="203">
        <v>32300</v>
      </c>
      <c r="Y295" s="203">
        <v>10782</v>
      </c>
      <c r="Z295" s="203">
        <v>16150</v>
      </c>
      <c r="AA295" s="203">
        <v>2470</v>
      </c>
      <c r="AB295" s="203">
        <v>17337</v>
      </c>
      <c r="AC295" s="203">
        <v>4798</v>
      </c>
      <c r="AD295" s="203">
        <v>4370</v>
      </c>
      <c r="AE295" s="203">
        <v>0</v>
      </c>
      <c r="AF295" s="203">
        <f t="shared" si="103"/>
        <v>2542</v>
      </c>
      <c r="AG295" s="203">
        <v>2162</v>
      </c>
      <c r="AH295" s="203">
        <v>380</v>
      </c>
      <c r="AI295" s="197">
        <f t="shared" si="92"/>
        <v>0</v>
      </c>
    </row>
    <row r="296" spans="1:35" s="198" customFormat="1" ht="26.1" customHeight="1">
      <c r="A296" s="190" t="s">
        <v>180</v>
      </c>
      <c r="B296" s="191" t="s">
        <v>181</v>
      </c>
      <c r="C296" s="201" t="s">
        <v>153</v>
      </c>
      <c r="D296" s="202">
        <v>5</v>
      </c>
      <c r="E296" s="203">
        <f t="shared" si="100"/>
        <v>855789</v>
      </c>
      <c r="F296" s="203">
        <v>855789</v>
      </c>
      <c r="G296" s="203">
        <v>0</v>
      </c>
      <c r="H296" s="204">
        <f t="shared" si="101"/>
        <v>855789</v>
      </c>
      <c r="I296" s="203">
        <v>781200</v>
      </c>
      <c r="J296" s="203">
        <v>0</v>
      </c>
      <c r="K296" s="203">
        <v>0</v>
      </c>
      <c r="L296" s="203">
        <v>0</v>
      </c>
      <c r="M296" s="203">
        <v>0</v>
      </c>
      <c r="N296" s="203">
        <v>74589</v>
      </c>
      <c r="O296" s="205">
        <v>0</v>
      </c>
      <c r="P296" s="205">
        <f t="shared" si="102"/>
        <v>0</v>
      </c>
      <c r="Q296" s="203">
        <v>0</v>
      </c>
      <c r="R296" s="203">
        <v>0</v>
      </c>
      <c r="S296" s="203">
        <v>0</v>
      </c>
      <c r="T296" s="203">
        <v>0</v>
      </c>
      <c r="U296" s="203">
        <v>0</v>
      </c>
      <c r="V296" s="203">
        <v>0</v>
      </c>
      <c r="W296" s="203">
        <v>0</v>
      </c>
      <c r="X296" s="203">
        <v>0</v>
      </c>
      <c r="Y296" s="203">
        <v>0</v>
      </c>
      <c r="Z296" s="203">
        <v>0</v>
      </c>
      <c r="AA296" s="203">
        <v>0</v>
      </c>
      <c r="AB296" s="203">
        <v>0</v>
      </c>
      <c r="AC296" s="203">
        <v>0</v>
      </c>
      <c r="AD296" s="203">
        <v>0</v>
      </c>
      <c r="AE296" s="203">
        <v>0</v>
      </c>
      <c r="AF296" s="203">
        <f t="shared" si="103"/>
        <v>0</v>
      </c>
      <c r="AG296" s="203">
        <v>0</v>
      </c>
      <c r="AH296" s="203">
        <v>0</v>
      </c>
      <c r="AI296" s="197">
        <f t="shared" si="92"/>
        <v>0</v>
      </c>
    </row>
    <row r="297" spans="1:35" s="198" customFormat="1" ht="26.1" customHeight="1">
      <c r="A297" s="190"/>
      <c r="B297" s="191"/>
      <c r="C297" s="201"/>
      <c r="D297" s="202"/>
      <c r="E297" s="213">
        <f t="shared" ref="E297:AH297" si="104">SUM(E298:E308)</f>
        <v>11865536</v>
      </c>
      <c r="F297" s="203">
        <f t="shared" si="104"/>
        <v>11734300</v>
      </c>
      <c r="G297" s="203">
        <f t="shared" si="104"/>
        <v>131236</v>
      </c>
      <c r="H297" s="213">
        <f t="shared" si="104"/>
        <v>7514087</v>
      </c>
      <c r="I297" s="203">
        <f t="shared" si="104"/>
        <v>1119424</v>
      </c>
      <c r="J297" s="203">
        <f t="shared" si="104"/>
        <v>1790277</v>
      </c>
      <c r="K297" s="203">
        <f t="shared" si="104"/>
        <v>795859</v>
      </c>
      <c r="L297" s="203">
        <f t="shared" si="104"/>
        <v>1348867</v>
      </c>
      <c r="M297" s="203">
        <f t="shared" si="104"/>
        <v>962839</v>
      </c>
      <c r="N297" s="203">
        <f t="shared" si="104"/>
        <v>1496821</v>
      </c>
      <c r="O297" s="203">
        <f t="shared" si="104"/>
        <v>0</v>
      </c>
      <c r="P297" s="213">
        <f t="shared" si="104"/>
        <v>4263950</v>
      </c>
      <c r="Q297" s="203">
        <f t="shared" si="104"/>
        <v>250454</v>
      </c>
      <c r="R297" s="203">
        <f t="shared" si="104"/>
        <v>245488</v>
      </c>
      <c r="S297" s="203">
        <f t="shared" si="104"/>
        <v>304603</v>
      </c>
      <c r="T297" s="203">
        <f t="shared" si="104"/>
        <v>674164</v>
      </c>
      <c r="U297" s="203">
        <f t="shared" si="104"/>
        <v>395520</v>
      </c>
      <c r="V297" s="203">
        <f t="shared" si="104"/>
        <v>454527</v>
      </c>
      <c r="W297" s="203">
        <f t="shared" si="104"/>
        <v>377039</v>
      </c>
      <c r="X297" s="203">
        <f t="shared" si="104"/>
        <v>586359</v>
      </c>
      <c r="Y297" s="203">
        <f t="shared" si="104"/>
        <v>191822</v>
      </c>
      <c r="Z297" s="203">
        <f t="shared" si="104"/>
        <v>221938</v>
      </c>
      <c r="AA297" s="203">
        <f t="shared" si="104"/>
        <v>95255</v>
      </c>
      <c r="AB297" s="203">
        <f t="shared" si="104"/>
        <v>141676</v>
      </c>
      <c r="AC297" s="203">
        <f t="shared" si="104"/>
        <v>171864</v>
      </c>
      <c r="AD297" s="203">
        <f t="shared" si="104"/>
        <v>149564</v>
      </c>
      <c r="AE297" s="203">
        <f t="shared" si="104"/>
        <v>3677</v>
      </c>
      <c r="AF297" s="213">
        <f t="shared" si="104"/>
        <v>87499</v>
      </c>
      <c r="AG297" s="203">
        <f t="shared" si="104"/>
        <v>81634</v>
      </c>
      <c r="AH297" s="203">
        <f t="shared" si="104"/>
        <v>5865</v>
      </c>
      <c r="AI297" s="197">
        <f t="shared" si="92"/>
        <v>0</v>
      </c>
    </row>
    <row r="298" spans="1:35" s="198" customFormat="1" ht="26.1" customHeight="1">
      <c r="A298" s="190" t="s">
        <v>180</v>
      </c>
      <c r="B298" s="191" t="s">
        <v>191</v>
      </c>
      <c r="C298" s="201" t="s">
        <v>699</v>
      </c>
      <c r="D298" s="202">
        <v>5</v>
      </c>
      <c r="E298" s="203">
        <f t="shared" ref="E298:E309" si="105">SUM(H298,P298,AF298)</f>
        <v>3778776</v>
      </c>
      <c r="F298" s="203">
        <v>3657017</v>
      </c>
      <c r="G298" s="203">
        <v>121759</v>
      </c>
      <c r="H298" s="204">
        <f t="shared" ref="H298:H309" si="106">SUM(I298:O298)</f>
        <v>2093241</v>
      </c>
      <c r="I298" s="203">
        <v>268923</v>
      </c>
      <c r="J298" s="203">
        <v>424021</v>
      </c>
      <c r="K298" s="203">
        <v>229200</v>
      </c>
      <c r="L298" s="203">
        <v>273530</v>
      </c>
      <c r="M298" s="203">
        <v>338050</v>
      </c>
      <c r="N298" s="203">
        <v>559517</v>
      </c>
      <c r="O298" s="205">
        <v>0</v>
      </c>
      <c r="P298" s="205">
        <f t="shared" ref="P298:P309" si="107">SUM(Q298:AE298)</f>
        <v>1663982</v>
      </c>
      <c r="Q298" s="203">
        <v>80800</v>
      </c>
      <c r="R298" s="203">
        <v>79047</v>
      </c>
      <c r="S298" s="203">
        <v>114300</v>
      </c>
      <c r="T298" s="203">
        <v>236854</v>
      </c>
      <c r="U298" s="203">
        <v>179900</v>
      </c>
      <c r="V298" s="203">
        <v>186350</v>
      </c>
      <c r="W298" s="203">
        <v>157900</v>
      </c>
      <c r="X298" s="203">
        <v>292200</v>
      </c>
      <c r="Y298" s="203">
        <v>82530</v>
      </c>
      <c r="Z298" s="203">
        <v>81500</v>
      </c>
      <c r="AA298" s="203">
        <v>47500</v>
      </c>
      <c r="AB298" s="203">
        <v>37632</v>
      </c>
      <c r="AC298" s="203">
        <v>37090</v>
      </c>
      <c r="AD298" s="203">
        <v>50379</v>
      </c>
      <c r="AE298" s="203">
        <v>0</v>
      </c>
      <c r="AF298" s="203">
        <f>SUM(AG298:AH298)</f>
        <v>21553</v>
      </c>
      <c r="AG298" s="203">
        <v>18653</v>
      </c>
      <c r="AH298" s="203">
        <v>2900</v>
      </c>
      <c r="AI298" s="197">
        <f t="shared" si="92"/>
        <v>0</v>
      </c>
    </row>
    <row r="299" spans="1:35" s="198" customFormat="1" ht="26.1" customHeight="1">
      <c r="A299" s="190" t="s">
        <v>180</v>
      </c>
      <c r="B299" s="191" t="s">
        <v>191</v>
      </c>
      <c r="C299" s="201" t="s">
        <v>192</v>
      </c>
      <c r="D299" s="202">
        <v>5</v>
      </c>
      <c r="E299" s="203">
        <f t="shared" si="105"/>
        <v>81236</v>
      </c>
      <c r="F299" s="203">
        <v>75436</v>
      </c>
      <c r="G299" s="203">
        <v>5800</v>
      </c>
      <c r="H299" s="204">
        <f t="shared" si="106"/>
        <v>53443</v>
      </c>
      <c r="I299" s="203">
        <v>893</v>
      </c>
      <c r="J299" s="203">
        <v>6401</v>
      </c>
      <c r="K299" s="203">
        <v>6008</v>
      </c>
      <c r="L299" s="203">
        <v>5292</v>
      </c>
      <c r="M299" s="203">
        <v>28607</v>
      </c>
      <c r="N299" s="203">
        <v>6242</v>
      </c>
      <c r="O299" s="205">
        <v>0</v>
      </c>
      <c r="P299" s="205">
        <f t="shared" si="107"/>
        <v>27290</v>
      </c>
      <c r="Q299" s="203">
        <v>1738</v>
      </c>
      <c r="R299" s="203">
        <v>1209</v>
      </c>
      <c r="S299" s="203">
        <v>1738</v>
      </c>
      <c r="T299" s="203">
        <v>2898</v>
      </c>
      <c r="U299" s="203">
        <v>2041</v>
      </c>
      <c r="V299" s="203">
        <v>1688</v>
      </c>
      <c r="W299" s="203">
        <v>1952</v>
      </c>
      <c r="X299" s="203">
        <v>3880</v>
      </c>
      <c r="Y299" s="203">
        <v>1386</v>
      </c>
      <c r="Z299" s="203">
        <v>1008</v>
      </c>
      <c r="AA299" s="203">
        <v>823</v>
      </c>
      <c r="AB299" s="203">
        <v>5305</v>
      </c>
      <c r="AC299" s="203">
        <v>806</v>
      </c>
      <c r="AD299" s="203">
        <v>818</v>
      </c>
      <c r="AE299" s="203">
        <v>0</v>
      </c>
      <c r="AF299" s="203">
        <f>SUM(AG299:AH299)</f>
        <v>503</v>
      </c>
      <c r="AG299" s="203">
        <v>277</v>
      </c>
      <c r="AH299" s="203">
        <v>226</v>
      </c>
      <c r="AI299" s="197">
        <f t="shared" si="92"/>
        <v>0</v>
      </c>
    </row>
    <row r="300" spans="1:35" s="198" customFormat="1" ht="26.1" customHeight="1">
      <c r="A300" s="190" t="s">
        <v>180</v>
      </c>
      <c r="B300" s="191" t="s">
        <v>191</v>
      </c>
      <c r="C300" s="201" t="s">
        <v>193</v>
      </c>
      <c r="D300" s="202">
        <v>5</v>
      </c>
      <c r="E300" s="203">
        <f t="shared" si="105"/>
        <v>114000</v>
      </c>
      <c r="F300" s="203">
        <v>114000</v>
      </c>
      <c r="G300" s="203">
        <v>0</v>
      </c>
      <c r="H300" s="204">
        <f t="shared" si="106"/>
        <v>72323</v>
      </c>
      <c r="I300" s="203">
        <v>9015</v>
      </c>
      <c r="J300" s="203">
        <v>10025</v>
      </c>
      <c r="K300" s="203">
        <v>6043</v>
      </c>
      <c r="L300" s="203">
        <v>10541</v>
      </c>
      <c r="M300" s="203">
        <v>7902</v>
      </c>
      <c r="N300" s="203">
        <v>28797</v>
      </c>
      <c r="O300" s="205">
        <v>0</v>
      </c>
      <c r="P300" s="205">
        <f t="shared" si="107"/>
        <v>41604</v>
      </c>
      <c r="Q300" s="203">
        <v>2048</v>
      </c>
      <c r="R300" s="203">
        <v>1160</v>
      </c>
      <c r="S300" s="203">
        <v>2392</v>
      </c>
      <c r="T300" s="203">
        <v>4872</v>
      </c>
      <c r="U300" s="203">
        <v>5469</v>
      </c>
      <c r="V300" s="203">
        <v>4968</v>
      </c>
      <c r="W300" s="203">
        <v>4909</v>
      </c>
      <c r="X300" s="203">
        <v>6260</v>
      </c>
      <c r="Y300" s="203">
        <v>1045</v>
      </c>
      <c r="Z300" s="203">
        <v>1485</v>
      </c>
      <c r="AA300" s="203">
        <v>882</v>
      </c>
      <c r="AB300" s="203">
        <v>2972</v>
      </c>
      <c r="AC300" s="203">
        <v>1123</v>
      </c>
      <c r="AD300" s="203">
        <v>2019</v>
      </c>
      <c r="AE300" s="203">
        <v>0</v>
      </c>
      <c r="AF300" s="203">
        <f>SUM(AG300:AH300)</f>
        <v>73</v>
      </c>
      <c r="AG300" s="203">
        <v>61</v>
      </c>
      <c r="AH300" s="203">
        <v>12</v>
      </c>
      <c r="AI300" s="197">
        <f t="shared" si="92"/>
        <v>0</v>
      </c>
    </row>
    <row r="301" spans="1:35" s="198" customFormat="1" ht="26.1" customHeight="1">
      <c r="A301" s="190" t="s">
        <v>180</v>
      </c>
      <c r="B301" s="191" t="s">
        <v>191</v>
      </c>
      <c r="C301" s="201" t="s">
        <v>117</v>
      </c>
      <c r="D301" s="202">
        <v>5</v>
      </c>
      <c r="E301" s="203">
        <f t="shared" si="105"/>
        <v>268200</v>
      </c>
      <c r="F301" s="203">
        <v>268200</v>
      </c>
      <c r="G301" s="203">
        <v>0</v>
      </c>
      <c r="H301" s="204">
        <f t="shared" si="106"/>
        <v>179288</v>
      </c>
      <c r="I301" s="203">
        <v>22000</v>
      </c>
      <c r="J301" s="203">
        <v>40039</v>
      </c>
      <c r="K301" s="203">
        <v>11569</v>
      </c>
      <c r="L301" s="203">
        <v>33259</v>
      </c>
      <c r="M301" s="203">
        <v>20463</v>
      </c>
      <c r="N301" s="203">
        <v>51958</v>
      </c>
      <c r="O301" s="205">
        <v>0</v>
      </c>
      <c r="P301" s="205">
        <f t="shared" si="107"/>
        <v>88725</v>
      </c>
      <c r="Q301" s="203">
        <v>3199</v>
      </c>
      <c r="R301" s="203">
        <v>2224</v>
      </c>
      <c r="S301" s="203">
        <v>4875</v>
      </c>
      <c r="T301" s="203">
        <v>11924</v>
      </c>
      <c r="U301" s="203">
        <v>11088</v>
      </c>
      <c r="V301" s="203">
        <v>10390</v>
      </c>
      <c r="W301" s="203">
        <v>9154</v>
      </c>
      <c r="X301" s="203">
        <v>11311</v>
      </c>
      <c r="Y301" s="203">
        <v>2516</v>
      </c>
      <c r="Z301" s="203">
        <v>3816</v>
      </c>
      <c r="AA301" s="203">
        <v>2376</v>
      </c>
      <c r="AB301" s="203">
        <v>6093</v>
      </c>
      <c r="AC301" s="203">
        <v>4770</v>
      </c>
      <c r="AD301" s="203">
        <v>4989</v>
      </c>
      <c r="AE301" s="203">
        <v>0</v>
      </c>
      <c r="AF301" s="203">
        <f>SUM(AG301:AH301)</f>
        <v>187</v>
      </c>
      <c r="AG301" s="203">
        <v>100</v>
      </c>
      <c r="AH301" s="203">
        <v>87</v>
      </c>
      <c r="AI301" s="197">
        <f t="shared" si="92"/>
        <v>0</v>
      </c>
    </row>
    <row r="302" spans="1:35" s="198" customFormat="1" ht="26.1" customHeight="1">
      <c r="A302" s="190" t="s">
        <v>180</v>
      </c>
      <c r="B302" s="191" t="s">
        <v>191</v>
      </c>
      <c r="C302" s="201" t="s">
        <v>700</v>
      </c>
      <c r="D302" s="202">
        <v>5</v>
      </c>
      <c r="E302" s="203">
        <f t="shared" si="105"/>
        <v>1605360</v>
      </c>
      <c r="F302" s="203">
        <v>1605360</v>
      </c>
      <c r="G302" s="203">
        <v>0</v>
      </c>
      <c r="H302" s="204">
        <f t="shared" si="106"/>
        <v>1085523</v>
      </c>
      <c r="I302" s="203">
        <v>144517</v>
      </c>
      <c r="J302" s="203">
        <v>290816</v>
      </c>
      <c r="K302" s="203">
        <v>44323</v>
      </c>
      <c r="L302" s="203">
        <v>289018</v>
      </c>
      <c r="M302" s="203">
        <v>130596</v>
      </c>
      <c r="N302" s="203">
        <v>186253</v>
      </c>
      <c r="O302" s="205">
        <v>0</v>
      </c>
      <c r="P302" s="205">
        <f t="shared" si="107"/>
        <v>493566</v>
      </c>
      <c r="Q302" s="203">
        <v>32777</v>
      </c>
      <c r="R302" s="203">
        <v>22940</v>
      </c>
      <c r="S302" s="203">
        <v>35314</v>
      </c>
      <c r="T302" s="203">
        <v>54100</v>
      </c>
      <c r="U302" s="203">
        <v>49137</v>
      </c>
      <c r="V302" s="203">
        <v>48140</v>
      </c>
      <c r="W302" s="203">
        <v>66331</v>
      </c>
      <c r="X302" s="203">
        <v>54166</v>
      </c>
      <c r="Y302" s="203">
        <v>35148</v>
      </c>
      <c r="Z302" s="203">
        <v>34575</v>
      </c>
      <c r="AA302" s="203">
        <v>11809</v>
      </c>
      <c r="AB302" s="203">
        <v>15649</v>
      </c>
      <c r="AC302" s="203">
        <v>9044</v>
      </c>
      <c r="AD302" s="203">
        <v>24436</v>
      </c>
      <c r="AE302" s="203">
        <v>0</v>
      </c>
      <c r="AF302" s="203">
        <f>AG302+AH302</f>
        <v>26271</v>
      </c>
      <c r="AG302" s="203">
        <v>26098</v>
      </c>
      <c r="AH302" s="203">
        <v>173</v>
      </c>
      <c r="AI302" s="197">
        <f t="shared" si="92"/>
        <v>0</v>
      </c>
    </row>
    <row r="303" spans="1:35" s="198" customFormat="1" ht="26.1" customHeight="1">
      <c r="A303" s="190" t="s">
        <v>180</v>
      </c>
      <c r="B303" s="191" t="s">
        <v>191</v>
      </c>
      <c r="C303" s="201" t="s">
        <v>701</v>
      </c>
      <c r="D303" s="202">
        <v>5</v>
      </c>
      <c r="E303" s="203">
        <f t="shared" si="105"/>
        <v>270240</v>
      </c>
      <c r="F303" s="203">
        <v>270240</v>
      </c>
      <c r="G303" s="203">
        <v>0</v>
      </c>
      <c r="H303" s="204">
        <f t="shared" si="106"/>
        <v>143315</v>
      </c>
      <c r="I303" s="203">
        <v>9868</v>
      </c>
      <c r="J303" s="203">
        <v>28920</v>
      </c>
      <c r="K303" s="203">
        <v>30514</v>
      </c>
      <c r="L303" s="203">
        <v>22522</v>
      </c>
      <c r="M303" s="203">
        <v>17893</v>
      </c>
      <c r="N303" s="203">
        <v>33598</v>
      </c>
      <c r="O303" s="205">
        <v>0</v>
      </c>
      <c r="P303" s="205">
        <f t="shared" si="107"/>
        <v>125228</v>
      </c>
      <c r="Q303" s="203">
        <v>4907</v>
      </c>
      <c r="R303" s="203">
        <v>6277</v>
      </c>
      <c r="S303" s="203">
        <v>10192</v>
      </c>
      <c r="T303" s="203">
        <v>26976</v>
      </c>
      <c r="U303" s="203">
        <v>15454</v>
      </c>
      <c r="V303" s="203">
        <v>12116</v>
      </c>
      <c r="W303" s="203">
        <v>10460</v>
      </c>
      <c r="X303" s="203">
        <v>11438</v>
      </c>
      <c r="Y303" s="203">
        <v>8368</v>
      </c>
      <c r="Z303" s="203">
        <v>8335</v>
      </c>
      <c r="AA303" s="203">
        <v>2070</v>
      </c>
      <c r="AB303" s="203">
        <v>5136</v>
      </c>
      <c r="AC303" s="203">
        <v>1696</v>
      </c>
      <c r="AD303" s="203">
        <v>1803</v>
      </c>
      <c r="AE303" s="203">
        <v>0</v>
      </c>
      <c r="AF303" s="203">
        <f t="shared" ref="AF303:AF309" si="108">SUM(AG303:AH303)</f>
        <v>1697</v>
      </c>
      <c r="AG303" s="203">
        <v>1697</v>
      </c>
      <c r="AH303" s="203"/>
      <c r="AI303" s="197">
        <f t="shared" si="92"/>
        <v>0</v>
      </c>
    </row>
    <row r="304" spans="1:35" s="198" customFormat="1" ht="26.1" customHeight="1">
      <c r="A304" s="190" t="s">
        <v>180</v>
      </c>
      <c r="B304" s="191" t="s">
        <v>191</v>
      </c>
      <c r="C304" s="201" t="s">
        <v>432</v>
      </c>
      <c r="D304" s="202">
        <v>5</v>
      </c>
      <c r="E304" s="203">
        <f t="shared" si="105"/>
        <v>4558677</v>
      </c>
      <c r="F304" s="203">
        <v>4558677</v>
      </c>
      <c r="G304" s="203">
        <v>0</v>
      </c>
      <c r="H304" s="204">
        <f t="shared" si="106"/>
        <v>3038056</v>
      </c>
      <c r="I304" s="203">
        <v>523436</v>
      </c>
      <c r="J304" s="203">
        <v>749570</v>
      </c>
      <c r="K304" s="203">
        <v>364887</v>
      </c>
      <c r="L304" s="203">
        <v>547704</v>
      </c>
      <c r="M304" s="203">
        <v>332838</v>
      </c>
      <c r="N304" s="203">
        <v>519621</v>
      </c>
      <c r="O304" s="205">
        <v>0</v>
      </c>
      <c r="P304" s="205">
        <f t="shared" si="107"/>
        <v>1487390</v>
      </c>
      <c r="Q304" s="203">
        <v>102147</v>
      </c>
      <c r="R304" s="203">
        <v>94535</v>
      </c>
      <c r="S304" s="203">
        <v>105353</v>
      </c>
      <c r="T304" s="203">
        <v>280892</v>
      </c>
      <c r="U304" s="203">
        <v>110520</v>
      </c>
      <c r="V304" s="203">
        <v>167344</v>
      </c>
      <c r="W304" s="203">
        <v>110029</v>
      </c>
      <c r="X304" s="203">
        <v>183474</v>
      </c>
      <c r="Y304" s="203">
        <v>52001</v>
      </c>
      <c r="Z304" s="203">
        <v>76481</v>
      </c>
      <c r="AA304" s="203">
        <v>27240</v>
      </c>
      <c r="AB304" s="203">
        <v>51775</v>
      </c>
      <c r="AC304" s="203">
        <v>75414</v>
      </c>
      <c r="AD304" s="203">
        <v>50185</v>
      </c>
      <c r="AE304" s="203">
        <v>0</v>
      </c>
      <c r="AF304" s="203">
        <f t="shared" si="108"/>
        <v>33231</v>
      </c>
      <c r="AG304" s="203">
        <v>31528</v>
      </c>
      <c r="AH304" s="203">
        <v>1703</v>
      </c>
      <c r="AI304" s="197">
        <f t="shared" si="92"/>
        <v>0</v>
      </c>
    </row>
    <row r="305" spans="1:35" s="198" customFormat="1" ht="26.1" customHeight="1">
      <c r="A305" s="190" t="s">
        <v>180</v>
      </c>
      <c r="B305" s="191" t="s">
        <v>191</v>
      </c>
      <c r="C305" s="201" t="s">
        <v>702</v>
      </c>
      <c r="D305" s="202">
        <v>5</v>
      </c>
      <c r="E305" s="203">
        <f t="shared" si="105"/>
        <v>960860</v>
      </c>
      <c r="F305" s="203">
        <v>960860</v>
      </c>
      <c r="G305" s="203">
        <v>0</v>
      </c>
      <c r="H305" s="204">
        <f t="shared" si="106"/>
        <v>702723</v>
      </c>
      <c r="I305" s="203">
        <v>118238</v>
      </c>
      <c r="J305" s="203">
        <v>206667</v>
      </c>
      <c r="K305" s="203">
        <v>84515</v>
      </c>
      <c r="L305" s="203">
        <v>138562</v>
      </c>
      <c r="M305" s="203">
        <v>67269</v>
      </c>
      <c r="N305" s="203">
        <v>87472</v>
      </c>
      <c r="O305" s="205">
        <v>0</v>
      </c>
      <c r="P305" s="205">
        <f t="shared" si="107"/>
        <v>255335</v>
      </c>
      <c r="Q305" s="203">
        <v>17044</v>
      </c>
      <c r="R305" s="203">
        <v>31535</v>
      </c>
      <c r="S305" s="203">
        <v>22932</v>
      </c>
      <c r="T305" s="203">
        <v>42204</v>
      </c>
      <c r="U305" s="203">
        <v>16882</v>
      </c>
      <c r="V305" s="203">
        <v>16126</v>
      </c>
      <c r="W305" s="203">
        <v>10710</v>
      </c>
      <c r="X305" s="203">
        <v>14991</v>
      </c>
      <c r="Y305" s="203">
        <v>6362</v>
      </c>
      <c r="Z305" s="203">
        <v>11574</v>
      </c>
      <c r="AA305" s="203">
        <v>1702</v>
      </c>
      <c r="AB305" s="203">
        <v>14032</v>
      </c>
      <c r="AC305" s="203">
        <v>36991</v>
      </c>
      <c r="AD305" s="203">
        <v>12250</v>
      </c>
      <c r="AE305" s="203">
        <v>0</v>
      </c>
      <c r="AF305" s="203">
        <f t="shared" si="108"/>
        <v>2802</v>
      </c>
      <c r="AG305" s="203">
        <v>2202</v>
      </c>
      <c r="AH305" s="203">
        <v>600</v>
      </c>
      <c r="AI305" s="197">
        <f t="shared" si="92"/>
        <v>0</v>
      </c>
    </row>
    <row r="306" spans="1:35" s="198" customFormat="1" ht="26.1" customHeight="1">
      <c r="A306" s="190" t="s">
        <v>180</v>
      </c>
      <c r="B306" s="191" t="s">
        <v>191</v>
      </c>
      <c r="C306" s="201" t="s">
        <v>703</v>
      </c>
      <c r="D306" s="202">
        <v>5</v>
      </c>
      <c r="E306" s="203">
        <f t="shared" si="105"/>
        <v>51510</v>
      </c>
      <c r="F306" s="203">
        <v>51510</v>
      </c>
      <c r="G306" s="203">
        <v>0</v>
      </c>
      <c r="H306" s="204">
        <f t="shared" si="106"/>
        <v>27379</v>
      </c>
      <c r="I306" s="203">
        <v>2650</v>
      </c>
      <c r="J306" s="203">
        <v>4545</v>
      </c>
      <c r="K306" s="203">
        <v>3671</v>
      </c>
      <c r="L306" s="203">
        <v>8443</v>
      </c>
      <c r="M306" s="203">
        <v>5282</v>
      </c>
      <c r="N306" s="203">
        <v>2788</v>
      </c>
      <c r="O306" s="205">
        <v>0</v>
      </c>
      <c r="P306" s="205">
        <f t="shared" si="107"/>
        <v>23933</v>
      </c>
      <c r="Q306" s="203">
        <v>2401</v>
      </c>
      <c r="R306" s="203">
        <v>2635</v>
      </c>
      <c r="S306" s="203">
        <v>3321</v>
      </c>
      <c r="T306" s="203">
        <v>3852</v>
      </c>
      <c r="U306" s="203">
        <v>1201</v>
      </c>
      <c r="V306" s="203">
        <v>2166</v>
      </c>
      <c r="W306" s="203">
        <v>1677</v>
      </c>
      <c r="X306" s="203">
        <v>2331</v>
      </c>
      <c r="Y306" s="203">
        <v>802</v>
      </c>
      <c r="Z306" s="203">
        <v>692</v>
      </c>
      <c r="AA306" s="203">
        <v>110</v>
      </c>
      <c r="AB306" s="203">
        <v>307</v>
      </c>
      <c r="AC306" s="203">
        <v>1758</v>
      </c>
      <c r="AD306" s="203">
        <v>680</v>
      </c>
      <c r="AE306" s="203">
        <v>0</v>
      </c>
      <c r="AF306" s="203">
        <f t="shared" si="108"/>
        <v>198</v>
      </c>
      <c r="AG306" s="203">
        <v>124</v>
      </c>
      <c r="AH306" s="203">
        <v>74</v>
      </c>
      <c r="AI306" s="197">
        <f t="shared" si="92"/>
        <v>0</v>
      </c>
    </row>
    <row r="307" spans="1:35" s="198" customFormat="1" ht="26.1" customHeight="1">
      <c r="A307" s="190" t="s">
        <v>180</v>
      </c>
      <c r="B307" s="191" t="s">
        <v>191</v>
      </c>
      <c r="C307" s="201" t="s">
        <v>704</v>
      </c>
      <c r="D307" s="202">
        <v>5</v>
      </c>
      <c r="E307" s="203">
        <f t="shared" si="105"/>
        <v>173000</v>
      </c>
      <c r="F307" s="203">
        <v>173000</v>
      </c>
      <c r="G307" s="203">
        <v>0</v>
      </c>
      <c r="H307" s="204">
        <f t="shared" si="106"/>
        <v>118796</v>
      </c>
      <c r="I307" s="203">
        <v>19884</v>
      </c>
      <c r="J307" s="203">
        <v>29273</v>
      </c>
      <c r="K307" s="203">
        <v>15129</v>
      </c>
      <c r="L307" s="203">
        <v>19996</v>
      </c>
      <c r="M307" s="203">
        <v>13939</v>
      </c>
      <c r="N307" s="203">
        <v>20575</v>
      </c>
      <c r="O307" s="205">
        <v>0</v>
      </c>
      <c r="P307" s="205">
        <f t="shared" si="107"/>
        <v>53220</v>
      </c>
      <c r="Q307" s="203">
        <v>3393</v>
      </c>
      <c r="R307" s="203">
        <v>3926</v>
      </c>
      <c r="S307" s="203">
        <v>4186</v>
      </c>
      <c r="T307" s="203">
        <v>9592</v>
      </c>
      <c r="U307" s="203">
        <v>3828</v>
      </c>
      <c r="V307" s="203">
        <v>5239</v>
      </c>
      <c r="W307" s="203">
        <v>3917</v>
      </c>
      <c r="X307" s="203">
        <v>6308</v>
      </c>
      <c r="Y307" s="203">
        <v>1664</v>
      </c>
      <c r="Z307" s="203">
        <v>2472</v>
      </c>
      <c r="AA307" s="203">
        <v>743</v>
      </c>
      <c r="AB307" s="203">
        <v>2775</v>
      </c>
      <c r="AC307" s="203">
        <v>3172</v>
      </c>
      <c r="AD307" s="203">
        <v>2005</v>
      </c>
      <c r="AE307" s="203">
        <v>0</v>
      </c>
      <c r="AF307" s="203">
        <f t="shared" si="108"/>
        <v>984</v>
      </c>
      <c r="AG307" s="203">
        <v>894</v>
      </c>
      <c r="AH307" s="203">
        <v>90</v>
      </c>
      <c r="AI307" s="197">
        <f t="shared" si="92"/>
        <v>0</v>
      </c>
    </row>
    <row r="308" spans="1:35" s="198" customFormat="1" ht="26.1" customHeight="1">
      <c r="A308" s="190" t="s">
        <v>180</v>
      </c>
      <c r="B308" s="191" t="s">
        <v>191</v>
      </c>
      <c r="C308" s="201" t="s">
        <v>705</v>
      </c>
      <c r="D308" s="202">
        <v>5</v>
      </c>
      <c r="E308" s="203">
        <f t="shared" si="105"/>
        <v>3677</v>
      </c>
      <c r="F308" s="203">
        <v>0</v>
      </c>
      <c r="G308" s="203">
        <v>3677</v>
      </c>
      <c r="H308" s="204">
        <f t="shared" si="106"/>
        <v>0</v>
      </c>
      <c r="I308" s="203">
        <v>0</v>
      </c>
      <c r="J308" s="203">
        <v>0</v>
      </c>
      <c r="K308" s="203">
        <v>0</v>
      </c>
      <c r="L308" s="203">
        <v>0</v>
      </c>
      <c r="M308" s="203">
        <v>0</v>
      </c>
      <c r="N308" s="203">
        <v>0</v>
      </c>
      <c r="O308" s="205">
        <v>0</v>
      </c>
      <c r="P308" s="205">
        <f t="shared" si="107"/>
        <v>3677</v>
      </c>
      <c r="Q308" s="203">
        <v>0</v>
      </c>
      <c r="R308" s="203">
        <v>0</v>
      </c>
      <c r="S308" s="203">
        <v>0</v>
      </c>
      <c r="T308" s="203">
        <v>0</v>
      </c>
      <c r="U308" s="203">
        <v>0</v>
      </c>
      <c r="V308" s="203">
        <v>0</v>
      </c>
      <c r="W308" s="203">
        <v>0</v>
      </c>
      <c r="X308" s="203">
        <v>0</v>
      </c>
      <c r="Y308" s="203">
        <v>0</v>
      </c>
      <c r="Z308" s="203">
        <v>0</v>
      </c>
      <c r="AA308" s="203">
        <v>0</v>
      </c>
      <c r="AB308" s="203">
        <v>0</v>
      </c>
      <c r="AC308" s="203">
        <v>0</v>
      </c>
      <c r="AD308" s="203">
        <v>0</v>
      </c>
      <c r="AE308" s="203">
        <v>3677</v>
      </c>
      <c r="AF308" s="203">
        <f t="shared" si="108"/>
        <v>0</v>
      </c>
      <c r="AG308" s="203">
        <v>0</v>
      </c>
      <c r="AH308" s="203">
        <v>0</v>
      </c>
      <c r="AI308" s="197">
        <f t="shared" si="92"/>
        <v>0</v>
      </c>
    </row>
    <row r="309" spans="1:35" s="198" customFormat="1" ht="26.1" customHeight="1">
      <c r="A309" s="190" t="s">
        <v>180</v>
      </c>
      <c r="B309" s="191" t="s">
        <v>194</v>
      </c>
      <c r="C309" s="201" t="s">
        <v>195</v>
      </c>
      <c r="D309" s="202">
        <v>5</v>
      </c>
      <c r="E309" s="213">
        <f t="shared" si="105"/>
        <v>125132</v>
      </c>
      <c r="F309" s="203">
        <v>125132</v>
      </c>
      <c r="G309" s="203">
        <v>0</v>
      </c>
      <c r="H309" s="214">
        <f t="shared" si="106"/>
        <v>58903</v>
      </c>
      <c r="I309" s="203">
        <v>5382</v>
      </c>
      <c r="J309" s="203">
        <v>11063</v>
      </c>
      <c r="K309" s="203">
        <v>5382</v>
      </c>
      <c r="L309" s="203">
        <v>11512</v>
      </c>
      <c r="M309" s="203">
        <v>12259</v>
      </c>
      <c r="N309" s="203">
        <v>13305</v>
      </c>
      <c r="O309" s="205">
        <v>0</v>
      </c>
      <c r="P309" s="215">
        <f t="shared" si="107"/>
        <v>63239</v>
      </c>
      <c r="Q309" s="203">
        <v>3738</v>
      </c>
      <c r="R309" s="203">
        <v>4186</v>
      </c>
      <c r="S309" s="203">
        <v>5681</v>
      </c>
      <c r="T309" s="203">
        <v>8222</v>
      </c>
      <c r="U309" s="203">
        <v>4336</v>
      </c>
      <c r="V309" s="203">
        <v>6129</v>
      </c>
      <c r="W309" s="203">
        <v>5532</v>
      </c>
      <c r="X309" s="203">
        <v>10016</v>
      </c>
      <c r="Y309" s="203">
        <v>4934</v>
      </c>
      <c r="Z309" s="203">
        <v>4186</v>
      </c>
      <c r="AA309" s="203">
        <v>1794</v>
      </c>
      <c r="AB309" s="203">
        <v>2392</v>
      </c>
      <c r="AC309" s="203">
        <v>1196</v>
      </c>
      <c r="AD309" s="203">
        <v>897</v>
      </c>
      <c r="AE309" s="203">
        <v>0</v>
      </c>
      <c r="AF309" s="213">
        <f t="shared" si="108"/>
        <v>2990</v>
      </c>
      <c r="AG309" s="203">
        <v>1794</v>
      </c>
      <c r="AH309" s="203">
        <v>1196</v>
      </c>
      <c r="AI309" s="197">
        <f t="shared" si="92"/>
        <v>0</v>
      </c>
    </row>
    <row r="310" spans="1:35" s="198" customFormat="1" ht="26.1" customHeight="1">
      <c r="A310" s="190"/>
      <c r="B310" s="191"/>
      <c r="C310" s="201"/>
      <c r="D310" s="202"/>
      <c r="E310" s="213">
        <f t="shared" ref="E310:AH310" si="109">SUM(E311:E314)</f>
        <v>134110</v>
      </c>
      <c r="F310" s="203">
        <f t="shared" si="109"/>
        <v>91764</v>
      </c>
      <c r="G310" s="203">
        <f t="shared" si="109"/>
        <v>42346</v>
      </c>
      <c r="H310" s="213">
        <f t="shared" si="109"/>
        <v>50655</v>
      </c>
      <c r="I310" s="203">
        <f t="shared" si="109"/>
        <v>0</v>
      </c>
      <c r="J310" s="203">
        <f t="shared" si="109"/>
        <v>9074</v>
      </c>
      <c r="K310" s="203">
        <f t="shared" si="109"/>
        <v>7175</v>
      </c>
      <c r="L310" s="203">
        <f t="shared" si="109"/>
        <v>9247</v>
      </c>
      <c r="M310" s="203">
        <f t="shared" si="109"/>
        <v>15444</v>
      </c>
      <c r="N310" s="203">
        <f t="shared" si="109"/>
        <v>9715</v>
      </c>
      <c r="O310" s="203">
        <f t="shared" si="109"/>
        <v>0</v>
      </c>
      <c r="P310" s="213">
        <f t="shared" si="109"/>
        <v>79699</v>
      </c>
      <c r="Q310" s="203">
        <f t="shared" si="109"/>
        <v>6182</v>
      </c>
      <c r="R310" s="203">
        <f t="shared" si="109"/>
        <v>5481</v>
      </c>
      <c r="S310" s="203">
        <f t="shared" si="109"/>
        <v>5852</v>
      </c>
      <c r="T310" s="203">
        <f t="shared" si="109"/>
        <v>5802</v>
      </c>
      <c r="U310" s="203">
        <f t="shared" si="109"/>
        <v>4656</v>
      </c>
      <c r="V310" s="203">
        <f t="shared" si="109"/>
        <v>4978</v>
      </c>
      <c r="W310" s="203">
        <f t="shared" si="109"/>
        <v>4868</v>
      </c>
      <c r="X310" s="203">
        <f t="shared" si="109"/>
        <v>11139</v>
      </c>
      <c r="Y310" s="203">
        <f t="shared" si="109"/>
        <v>5216</v>
      </c>
      <c r="Z310" s="203">
        <f t="shared" si="109"/>
        <v>5317</v>
      </c>
      <c r="AA310" s="203">
        <f t="shared" si="109"/>
        <v>5882</v>
      </c>
      <c r="AB310" s="203">
        <f t="shared" si="109"/>
        <v>5777</v>
      </c>
      <c r="AC310" s="203">
        <f t="shared" si="109"/>
        <v>4104</v>
      </c>
      <c r="AD310" s="203">
        <f t="shared" si="109"/>
        <v>4445</v>
      </c>
      <c r="AE310" s="203">
        <f t="shared" si="109"/>
        <v>0</v>
      </c>
      <c r="AF310" s="213">
        <f t="shared" si="109"/>
        <v>3756</v>
      </c>
      <c r="AG310" s="203">
        <f t="shared" si="109"/>
        <v>1293</v>
      </c>
      <c r="AH310" s="203">
        <f t="shared" si="109"/>
        <v>2463</v>
      </c>
      <c r="AI310" s="197">
        <f t="shared" si="92"/>
        <v>0</v>
      </c>
    </row>
    <row r="311" spans="1:35" s="198" customFormat="1" ht="26.1" customHeight="1">
      <c r="A311" s="190" t="s">
        <v>180</v>
      </c>
      <c r="B311" s="191" t="s">
        <v>196</v>
      </c>
      <c r="C311" s="201" t="s">
        <v>154</v>
      </c>
      <c r="D311" s="202">
        <v>5</v>
      </c>
      <c r="E311" s="203">
        <f>SUM(H311,P311,AF311)</f>
        <v>24062</v>
      </c>
      <c r="F311" s="203">
        <v>14928</v>
      </c>
      <c r="G311" s="203">
        <v>9134</v>
      </c>
      <c r="H311" s="204">
        <f>SUM(I311:O311)</f>
        <v>4140</v>
      </c>
      <c r="I311" s="203">
        <v>0</v>
      </c>
      <c r="J311" s="203">
        <v>825</v>
      </c>
      <c r="K311" s="203">
        <v>725</v>
      </c>
      <c r="L311" s="203">
        <v>825</v>
      </c>
      <c r="M311" s="203">
        <v>885</v>
      </c>
      <c r="N311" s="203">
        <v>880</v>
      </c>
      <c r="O311" s="205"/>
      <c r="P311" s="205">
        <f>SUM(Q311:AE311)</f>
        <v>18999</v>
      </c>
      <c r="Q311" s="203">
        <v>2125</v>
      </c>
      <c r="R311" s="203">
        <v>840</v>
      </c>
      <c r="S311" s="203">
        <v>1234</v>
      </c>
      <c r="T311" s="203">
        <v>1068</v>
      </c>
      <c r="U311" s="203">
        <v>1326</v>
      </c>
      <c r="V311" s="203">
        <v>952</v>
      </c>
      <c r="W311" s="203">
        <v>1161</v>
      </c>
      <c r="X311" s="203">
        <v>782</v>
      </c>
      <c r="Y311" s="203">
        <v>2101</v>
      </c>
      <c r="Z311" s="203">
        <v>1122</v>
      </c>
      <c r="AA311" s="203">
        <v>2996</v>
      </c>
      <c r="AB311" s="203">
        <v>1702</v>
      </c>
      <c r="AC311" s="203">
        <v>790</v>
      </c>
      <c r="AD311" s="203">
        <v>800</v>
      </c>
      <c r="AE311" s="203"/>
      <c r="AF311" s="203">
        <f>SUM(AG311:AH311)</f>
        <v>923</v>
      </c>
      <c r="AG311" s="203">
        <v>0</v>
      </c>
      <c r="AH311" s="203">
        <v>923</v>
      </c>
      <c r="AI311" s="197">
        <f t="shared" si="92"/>
        <v>0</v>
      </c>
    </row>
    <row r="312" spans="1:35" s="198" customFormat="1" ht="26.1" customHeight="1">
      <c r="A312" s="190" t="s">
        <v>180</v>
      </c>
      <c r="B312" s="191" t="s">
        <v>196</v>
      </c>
      <c r="C312" s="201" t="s">
        <v>198</v>
      </c>
      <c r="D312" s="202">
        <v>5</v>
      </c>
      <c r="E312" s="203">
        <f>SUM(H312,P312,AF312)</f>
        <v>23096</v>
      </c>
      <c r="F312" s="203">
        <v>0</v>
      </c>
      <c r="G312" s="203">
        <v>23096</v>
      </c>
      <c r="H312" s="204">
        <f>SUM(I312:O312)</f>
        <v>17966</v>
      </c>
      <c r="I312" s="203"/>
      <c r="J312" s="203">
        <v>2364</v>
      </c>
      <c r="K312" s="203">
        <v>1605</v>
      </c>
      <c r="L312" s="203">
        <v>1965</v>
      </c>
      <c r="M312" s="203">
        <v>10016</v>
      </c>
      <c r="N312" s="203">
        <v>2016</v>
      </c>
      <c r="O312" s="205"/>
      <c r="P312" s="205">
        <f>SUM(Q312:AE312)</f>
        <v>5130</v>
      </c>
      <c r="Q312" s="203">
        <v>0</v>
      </c>
      <c r="R312" s="203">
        <v>0</v>
      </c>
      <c r="S312" s="203">
        <v>0</v>
      </c>
      <c r="T312" s="203">
        <v>0</v>
      </c>
      <c r="U312" s="203">
        <v>0</v>
      </c>
      <c r="V312" s="203">
        <v>0</v>
      </c>
      <c r="W312" s="203">
        <v>0</v>
      </c>
      <c r="X312" s="203">
        <v>5130</v>
      </c>
      <c r="Y312" s="203">
        <v>0</v>
      </c>
      <c r="Z312" s="203">
        <v>0</v>
      </c>
      <c r="AA312" s="203">
        <v>0</v>
      </c>
      <c r="AB312" s="203">
        <v>0</v>
      </c>
      <c r="AC312" s="203">
        <v>0</v>
      </c>
      <c r="AD312" s="203">
        <v>0</v>
      </c>
      <c r="AE312" s="203"/>
      <c r="AF312" s="203">
        <f>SUM(AG312:AH312)</f>
        <v>0</v>
      </c>
      <c r="AG312" s="203">
        <v>0</v>
      </c>
      <c r="AH312" s="203">
        <v>0</v>
      </c>
      <c r="AI312" s="197">
        <f t="shared" si="92"/>
        <v>0</v>
      </c>
    </row>
    <row r="313" spans="1:35" s="198" customFormat="1" ht="26.1" customHeight="1">
      <c r="A313" s="190" t="s">
        <v>180</v>
      </c>
      <c r="B313" s="191" t="s">
        <v>196</v>
      </c>
      <c r="C313" s="201" t="s">
        <v>706</v>
      </c>
      <c r="D313" s="202">
        <v>5</v>
      </c>
      <c r="E313" s="203">
        <f>SUM(H313,P313,AF313)</f>
        <v>8000</v>
      </c>
      <c r="F313" s="203">
        <v>7884</v>
      </c>
      <c r="G313" s="203">
        <v>116</v>
      </c>
      <c r="H313" s="204">
        <f>SUM(I313:O313)</f>
        <v>2139</v>
      </c>
      <c r="I313" s="203">
        <v>0</v>
      </c>
      <c r="J313" s="203">
        <v>485</v>
      </c>
      <c r="K313" s="203">
        <v>375</v>
      </c>
      <c r="L313" s="203">
        <v>452</v>
      </c>
      <c r="M313" s="203">
        <v>388</v>
      </c>
      <c r="N313" s="203">
        <v>439</v>
      </c>
      <c r="O313" s="205"/>
      <c r="P313" s="205">
        <f>SUM(Q313:AE313)</f>
        <v>5348</v>
      </c>
      <c r="Q313" s="203">
        <v>438</v>
      </c>
      <c r="R313" s="203">
        <v>361</v>
      </c>
      <c r="S313" s="203">
        <v>404</v>
      </c>
      <c r="T313" s="203">
        <v>380</v>
      </c>
      <c r="U313" s="203">
        <v>350</v>
      </c>
      <c r="V313" s="203">
        <v>409</v>
      </c>
      <c r="W313" s="203">
        <v>297</v>
      </c>
      <c r="X313" s="203">
        <v>377</v>
      </c>
      <c r="Y313" s="203">
        <v>323</v>
      </c>
      <c r="Z313" s="203">
        <v>321</v>
      </c>
      <c r="AA313" s="203">
        <v>350</v>
      </c>
      <c r="AB313" s="203">
        <v>479</v>
      </c>
      <c r="AC313" s="203">
        <v>414</v>
      </c>
      <c r="AD313" s="203">
        <v>445</v>
      </c>
      <c r="AE313" s="203"/>
      <c r="AF313" s="203">
        <f>SUM(AG313:AH313)</f>
        <v>513</v>
      </c>
      <c r="AG313" s="203">
        <v>266</v>
      </c>
      <c r="AH313" s="203">
        <v>247</v>
      </c>
      <c r="AI313" s="197">
        <f t="shared" si="92"/>
        <v>0</v>
      </c>
    </row>
    <row r="314" spans="1:35" s="198" customFormat="1" ht="26.1" customHeight="1">
      <c r="A314" s="190" t="s">
        <v>180</v>
      </c>
      <c r="B314" s="191" t="s">
        <v>196</v>
      </c>
      <c r="C314" s="201" t="s">
        <v>197</v>
      </c>
      <c r="D314" s="202">
        <v>5</v>
      </c>
      <c r="E314" s="203">
        <f>SUM(H314,P314,AF314)</f>
        <v>78952</v>
      </c>
      <c r="F314" s="203">
        <v>68952</v>
      </c>
      <c r="G314" s="203">
        <v>10000</v>
      </c>
      <c r="H314" s="204">
        <f>SUM(I314:O314)</f>
        <v>26410</v>
      </c>
      <c r="I314" s="203">
        <v>0</v>
      </c>
      <c r="J314" s="203">
        <v>5400</v>
      </c>
      <c r="K314" s="203">
        <v>4470</v>
      </c>
      <c r="L314" s="203">
        <v>6005</v>
      </c>
      <c r="M314" s="203">
        <v>4155</v>
      </c>
      <c r="N314" s="203">
        <v>6380</v>
      </c>
      <c r="O314" s="205"/>
      <c r="P314" s="205">
        <f>SUM(Q314:AE314)</f>
        <v>50222</v>
      </c>
      <c r="Q314" s="203">
        <v>3619</v>
      </c>
      <c r="R314" s="203">
        <v>4280</v>
      </c>
      <c r="S314" s="203">
        <v>4214</v>
      </c>
      <c r="T314" s="203">
        <v>4354</v>
      </c>
      <c r="U314" s="203">
        <v>2980</v>
      </c>
      <c r="V314" s="203">
        <v>3617</v>
      </c>
      <c r="W314" s="203">
        <v>3410</v>
      </c>
      <c r="X314" s="203">
        <v>4850</v>
      </c>
      <c r="Y314" s="203">
        <v>2792</v>
      </c>
      <c r="Z314" s="203">
        <v>3874</v>
      </c>
      <c r="AA314" s="203">
        <v>2536</v>
      </c>
      <c r="AB314" s="203">
        <v>3596</v>
      </c>
      <c r="AC314" s="203">
        <v>2900</v>
      </c>
      <c r="AD314" s="203">
        <v>3200</v>
      </c>
      <c r="AE314" s="203"/>
      <c r="AF314" s="203">
        <f>SUM(AG314:AH314)</f>
        <v>2320</v>
      </c>
      <c r="AG314" s="203">
        <v>1027</v>
      </c>
      <c r="AH314" s="203">
        <v>1293</v>
      </c>
      <c r="AI314" s="197">
        <f t="shared" si="92"/>
        <v>0</v>
      </c>
    </row>
    <row r="315" spans="1:35" s="198" customFormat="1" ht="26.1" customHeight="1">
      <c r="A315" s="190"/>
      <c r="B315" s="191"/>
      <c r="C315" s="201"/>
      <c r="D315" s="202"/>
      <c r="E315" s="207">
        <f t="shared" ref="E315:AH315" si="110">SUM(E316:E318)</f>
        <v>1891297</v>
      </c>
      <c r="F315" s="207">
        <f t="shared" si="110"/>
        <v>570923</v>
      </c>
      <c r="G315" s="207">
        <f t="shared" si="110"/>
        <v>1320374</v>
      </c>
      <c r="H315" s="207">
        <f t="shared" si="110"/>
        <v>774356</v>
      </c>
      <c r="I315" s="207">
        <f t="shared" si="110"/>
        <v>0</v>
      </c>
      <c r="J315" s="207">
        <f t="shared" si="110"/>
        <v>40648</v>
      </c>
      <c r="K315" s="207">
        <f t="shared" si="110"/>
        <v>228200</v>
      </c>
      <c r="L315" s="207">
        <f t="shared" si="110"/>
        <v>339776</v>
      </c>
      <c r="M315" s="207">
        <f t="shared" si="110"/>
        <v>122320</v>
      </c>
      <c r="N315" s="207">
        <f t="shared" si="110"/>
        <v>43412</v>
      </c>
      <c r="O315" s="207">
        <f t="shared" si="110"/>
        <v>0</v>
      </c>
      <c r="P315" s="207">
        <f t="shared" si="110"/>
        <v>1016121</v>
      </c>
      <c r="Q315" s="207">
        <f t="shared" si="110"/>
        <v>32663</v>
      </c>
      <c r="R315" s="207">
        <f t="shared" si="110"/>
        <v>41624</v>
      </c>
      <c r="S315" s="207">
        <f t="shared" si="110"/>
        <v>230784</v>
      </c>
      <c r="T315" s="207">
        <f t="shared" si="110"/>
        <v>17665</v>
      </c>
      <c r="U315" s="207">
        <f t="shared" si="110"/>
        <v>49875</v>
      </c>
      <c r="V315" s="207">
        <f t="shared" si="110"/>
        <v>18431</v>
      </c>
      <c r="W315" s="207">
        <f t="shared" si="110"/>
        <v>67711</v>
      </c>
      <c r="X315" s="207">
        <f t="shared" si="110"/>
        <v>34533</v>
      </c>
      <c r="Y315" s="207">
        <f t="shared" si="110"/>
        <v>150036</v>
      </c>
      <c r="Z315" s="207">
        <f t="shared" si="110"/>
        <v>52600</v>
      </c>
      <c r="AA315" s="207">
        <f t="shared" si="110"/>
        <v>76850</v>
      </c>
      <c r="AB315" s="207">
        <f t="shared" si="110"/>
        <v>8590</v>
      </c>
      <c r="AC315" s="207">
        <f t="shared" si="110"/>
        <v>65068</v>
      </c>
      <c r="AD315" s="207">
        <f t="shared" si="110"/>
        <v>9413</v>
      </c>
      <c r="AE315" s="207">
        <f t="shared" si="110"/>
        <v>160278</v>
      </c>
      <c r="AF315" s="207">
        <f t="shared" si="110"/>
        <v>100820</v>
      </c>
      <c r="AG315" s="207">
        <f t="shared" si="110"/>
        <v>58661</v>
      </c>
      <c r="AH315" s="207">
        <f t="shared" si="110"/>
        <v>42159</v>
      </c>
      <c r="AI315" s="197">
        <f t="shared" si="92"/>
        <v>0</v>
      </c>
    </row>
    <row r="316" spans="1:35" s="198" customFormat="1" ht="26.1" customHeight="1">
      <c r="A316" s="200" t="s">
        <v>767</v>
      </c>
      <c r="B316" s="190" t="s">
        <v>479</v>
      </c>
      <c r="C316" s="190" t="s">
        <v>480</v>
      </c>
      <c r="D316" s="202">
        <v>6</v>
      </c>
      <c r="E316" s="203">
        <f>SUM(H316,P316,AF316)</f>
        <v>382162</v>
      </c>
      <c r="F316" s="203">
        <v>129014</v>
      </c>
      <c r="G316" s="203">
        <v>253148</v>
      </c>
      <c r="H316" s="204">
        <f>SUM(I316:O316)</f>
        <v>246264</v>
      </c>
      <c r="I316" s="203"/>
      <c r="J316" s="203">
        <v>13180</v>
      </c>
      <c r="K316" s="203">
        <v>7906</v>
      </c>
      <c r="L316" s="203">
        <v>149946</v>
      </c>
      <c r="M316" s="203">
        <v>64050</v>
      </c>
      <c r="N316" s="203">
        <v>11182</v>
      </c>
      <c r="O316" s="203">
        <v>0</v>
      </c>
      <c r="P316" s="205">
        <f>SUM(Q316:AE316)</f>
        <v>132511</v>
      </c>
      <c r="Q316" s="203">
        <v>25553</v>
      </c>
      <c r="R316" s="203">
        <v>5843</v>
      </c>
      <c r="S316" s="203">
        <v>7430</v>
      </c>
      <c r="T316" s="203">
        <v>4900</v>
      </c>
      <c r="U316" s="203">
        <v>1500</v>
      </c>
      <c r="V316" s="203">
        <v>15056</v>
      </c>
      <c r="W316" s="203">
        <v>8481</v>
      </c>
      <c r="X316" s="203">
        <v>4600</v>
      </c>
      <c r="Y316" s="203">
        <v>8506</v>
      </c>
      <c r="Z316" s="203">
        <v>2900</v>
      </c>
      <c r="AA316" s="203">
        <v>3600</v>
      </c>
      <c r="AB316" s="203">
        <v>2000</v>
      </c>
      <c r="AC316" s="203">
        <v>12464</v>
      </c>
      <c r="AD316" s="203">
        <v>1400</v>
      </c>
      <c r="AE316" s="203">
        <v>28278</v>
      </c>
      <c r="AF316" s="203">
        <f>SUM(AG316:AH316)</f>
        <v>3387</v>
      </c>
      <c r="AG316" s="203">
        <v>1893</v>
      </c>
      <c r="AH316" s="203">
        <v>1494</v>
      </c>
      <c r="AI316" s="197">
        <f t="shared" si="92"/>
        <v>0</v>
      </c>
    </row>
    <row r="317" spans="1:35" s="198" customFormat="1" ht="26.1" customHeight="1">
      <c r="A317" s="190" t="s">
        <v>767</v>
      </c>
      <c r="B317" s="190" t="s">
        <v>479</v>
      </c>
      <c r="C317" s="190" t="s">
        <v>481</v>
      </c>
      <c r="D317" s="202">
        <v>6</v>
      </c>
      <c r="E317" s="203">
        <f>SUM(H317,P317,AF317)</f>
        <v>1327383</v>
      </c>
      <c r="F317" s="203">
        <v>416981</v>
      </c>
      <c r="G317" s="203">
        <v>910402</v>
      </c>
      <c r="H317" s="204">
        <f>SUM(I317:O317)</f>
        <v>485492</v>
      </c>
      <c r="I317" s="203"/>
      <c r="J317" s="203">
        <v>27318</v>
      </c>
      <c r="K317" s="203">
        <v>220294</v>
      </c>
      <c r="L317" s="203">
        <v>189680</v>
      </c>
      <c r="M317" s="203">
        <v>15970</v>
      </c>
      <c r="N317" s="203">
        <v>32230</v>
      </c>
      <c r="O317" s="203"/>
      <c r="P317" s="205">
        <f>SUM(Q317:AE317)</f>
        <v>756658</v>
      </c>
      <c r="Q317" s="203">
        <v>7110</v>
      </c>
      <c r="R317" s="203">
        <v>35781</v>
      </c>
      <c r="S317" s="203">
        <v>211154</v>
      </c>
      <c r="T317" s="203">
        <v>12765</v>
      </c>
      <c r="U317" s="203">
        <v>48375</v>
      </c>
      <c r="V317" s="203">
        <v>3375</v>
      </c>
      <c r="W317" s="203">
        <v>11078</v>
      </c>
      <c r="X317" s="203">
        <v>17733</v>
      </c>
      <c r="Y317" s="203">
        <v>129330</v>
      </c>
      <c r="Z317" s="203">
        <v>49500</v>
      </c>
      <c r="AA317" s="203">
        <v>73250</v>
      </c>
      <c r="AB317" s="203">
        <v>6590</v>
      </c>
      <c r="AC317" s="203">
        <v>10604</v>
      </c>
      <c r="AD317" s="203">
        <v>8013</v>
      </c>
      <c r="AE317" s="203">
        <v>132000</v>
      </c>
      <c r="AF317" s="203">
        <f>SUM(AG317:AH317)</f>
        <v>85233</v>
      </c>
      <c r="AG317" s="203">
        <v>56768</v>
      </c>
      <c r="AH317" s="203">
        <v>28465</v>
      </c>
      <c r="AI317" s="197">
        <f t="shared" si="92"/>
        <v>0</v>
      </c>
    </row>
    <row r="318" spans="1:35" s="198" customFormat="1" ht="26.1" customHeight="1">
      <c r="A318" s="190" t="s">
        <v>767</v>
      </c>
      <c r="B318" s="190" t="s">
        <v>479</v>
      </c>
      <c r="C318" s="190" t="s">
        <v>707</v>
      </c>
      <c r="D318" s="202">
        <v>6</v>
      </c>
      <c r="E318" s="203">
        <f>SUM(H318,P318,AF318)</f>
        <v>181752</v>
      </c>
      <c r="F318" s="203">
        <v>24928</v>
      </c>
      <c r="G318" s="203">
        <v>156824</v>
      </c>
      <c r="H318" s="204">
        <f>SUM(I318:O318)</f>
        <v>42600</v>
      </c>
      <c r="I318" s="203"/>
      <c r="J318" s="203">
        <v>150</v>
      </c>
      <c r="K318" s="203"/>
      <c r="L318" s="203">
        <v>150</v>
      </c>
      <c r="M318" s="203">
        <v>42300</v>
      </c>
      <c r="N318" s="203"/>
      <c r="O318" s="203"/>
      <c r="P318" s="205">
        <f>SUM(Q318:AE318)</f>
        <v>126952</v>
      </c>
      <c r="Q318" s="203"/>
      <c r="R318" s="203"/>
      <c r="S318" s="203">
        <v>12200</v>
      </c>
      <c r="T318" s="203"/>
      <c r="U318" s="203"/>
      <c r="V318" s="203"/>
      <c r="W318" s="203">
        <v>48152</v>
      </c>
      <c r="X318" s="203">
        <v>12200</v>
      </c>
      <c r="Y318" s="203">
        <v>12200</v>
      </c>
      <c r="Z318" s="203">
        <v>200</v>
      </c>
      <c r="AA318" s="203"/>
      <c r="AB318" s="203"/>
      <c r="AC318" s="203">
        <v>42000</v>
      </c>
      <c r="AD318" s="203"/>
      <c r="AE318" s="203"/>
      <c r="AF318" s="203">
        <f>SUM(AG318:AH318)</f>
        <v>12200</v>
      </c>
      <c r="AG318" s="203"/>
      <c r="AH318" s="203">
        <v>12200</v>
      </c>
      <c r="AI318" s="197">
        <f t="shared" si="92"/>
        <v>0</v>
      </c>
    </row>
    <row r="319" spans="1:35" s="198" customFormat="1" ht="26.1" customHeight="1">
      <c r="A319" s="190"/>
      <c r="B319" s="190"/>
      <c r="C319" s="243"/>
      <c r="D319" s="202"/>
      <c r="E319" s="207">
        <f t="shared" ref="E319:AH319" si="111">E320+E336</f>
        <v>1675347</v>
      </c>
      <c r="F319" s="207">
        <f t="shared" si="111"/>
        <v>627079</v>
      </c>
      <c r="G319" s="207">
        <f t="shared" si="111"/>
        <v>1048268</v>
      </c>
      <c r="H319" s="207">
        <f t="shared" si="111"/>
        <v>979291</v>
      </c>
      <c r="I319" s="207">
        <f t="shared" si="111"/>
        <v>25000</v>
      </c>
      <c r="J319" s="207">
        <f t="shared" si="111"/>
        <v>37530</v>
      </c>
      <c r="K319" s="207">
        <f t="shared" si="111"/>
        <v>40300</v>
      </c>
      <c r="L319" s="207">
        <f t="shared" si="111"/>
        <v>696445</v>
      </c>
      <c r="M319" s="207">
        <f t="shared" si="111"/>
        <v>71879</v>
      </c>
      <c r="N319" s="207">
        <f t="shared" si="111"/>
        <v>60337</v>
      </c>
      <c r="O319" s="207">
        <f t="shared" si="111"/>
        <v>47800</v>
      </c>
      <c r="P319" s="207">
        <f t="shared" si="111"/>
        <v>656991</v>
      </c>
      <c r="Q319" s="207">
        <f t="shared" si="111"/>
        <v>41183</v>
      </c>
      <c r="R319" s="207">
        <f t="shared" si="111"/>
        <v>41820</v>
      </c>
      <c r="S319" s="207">
        <f t="shared" si="111"/>
        <v>27930</v>
      </c>
      <c r="T319" s="207">
        <f t="shared" si="111"/>
        <v>38724</v>
      </c>
      <c r="U319" s="207">
        <f t="shared" si="111"/>
        <v>30520</v>
      </c>
      <c r="V319" s="207">
        <f t="shared" si="111"/>
        <v>44887</v>
      </c>
      <c r="W319" s="207">
        <f t="shared" si="111"/>
        <v>43080</v>
      </c>
      <c r="X319" s="207">
        <f t="shared" si="111"/>
        <v>47890</v>
      </c>
      <c r="Y319" s="207">
        <f t="shared" si="111"/>
        <v>32319</v>
      </c>
      <c r="Z319" s="207">
        <f t="shared" si="111"/>
        <v>31775</v>
      </c>
      <c r="AA319" s="207">
        <f t="shared" si="111"/>
        <v>54630</v>
      </c>
      <c r="AB319" s="207">
        <f t="shared" si="111"/>
        <v>30390</v>
      </c>
      <c r="AC319" s="207">
        <f t="shared" si="111"/>
        <v>32195</v>
      </c>
      <c r="AD319" s="207">
        <f t="shared" si="111"/>
        <v>24823</v>
      </c>
      <c r="AE319" s="207">
        <f t="shared" si="111"/>
        <v>134825</v>
      </c>
      <c r="AF319" s="207">
        <f t="shared" si="111"/>
        <v>39065</v>
      </c>
      <c r="AG319" s="207">
        <f t="shared" si="111"/>
        <v>19355</v>
      </c>
      <c r="AH319" s="207">
        <f t="shared" si="111"/>
        <v>19710</v>
      </c>
      <c r="AI319" s="197">
        <f t="shared" si="92"/>
        <v>0</v>
      </c>
    </row>
    <row r="320" spans="1:35" s="198" customFormat="1" ht="26.1" customHeight="1">
      <c r="A320" s="190"/>
      <c r="B320" s="190"/>
      <c r="C320" s="244"/>
      <c r="D320" s="202"/>
      <c r="E320" s="213">
        <f t="shared" ref="E320:AH320" si="112">SUM(E321:E335)</f>
        <v>1261978</v>
      </c>
      <c r="F320" s="203">
        <f t="shared" si="112"/>
        <v>506278</v>
      </c>
      <c r="G320" s="203">
        <f t="shared" si="112"/>
        <v>755700</v>
      </c>
      <c r="H320" s="213">
        <f t="shared" si="112"/>
        <v>832370</v>
      </c>
      <c r="I320" s="203">
        <f t="shared" si="112"/>
        <v>22400</v>
      </c>
      <c r="J320" s="203">
        <f t="shared" si="112"/>
        <v>30500</v>
      </c>
      <c r="K320" s="203">
        <f t="shared" si="112"/>
        <v>23470</v>
      </c>
      <c r="L320" s="203">
        <f t="shared" si="112"/>
        <v>649500</v>
      </c>
      <c r="M320" s="203">
        <f t="shared" si="112"/>
        <v>27400</v>
      </c>
      <c r="N320" s="203">
        <f t="shared" si="112"/>
        <v>31500</v>
      </c>
      <c r="O320" s="203">
        <f t="shared" si="112"/>
        <v>47600</v>
      </c>
      <c r="P320" s="213">
        <f t="shared" si="112"/>
        <v>405758</v>
      </c>
      <c r="Q320" s="203">
        <f t="shared" si="112"/>
        <v>25420</v>
      </c>
      <c r="R320" s="203">
        <f t="shared" si="112"/>
        <v>26500</v>
      </c>
      <c r="S320" s="203">
        <f t="shared" si="112"/>
        <v>19400</v>
      </c>
      <c r="T320" s="203">
        <f t="shared" si="112"/>
        <v>16450</v>
      </c>
      <c r="U320" s="203">
        <f t="shared" si="112"/>
        <v>20970</v>
      </c>
      <c r="V320" s="203">
        <f t="shared" si="112"/>
        <v>18420</v>
      </c>
      <c r="W320" s="203">
        <f t="shared" si="112"/>
        <v>30800</v>
      </c>
      <c r="X320" s="203">
        <f t="shared" si="112"/>
        <v>21500</v>
      </c>
      <c r="Y320" s="203">
        <f t="shared" si="112"/>
        <v>19100</v>
      </c>
      <c r="Z320" s="203">
        <f t="shared" si="112"/>
        <v>17900</v>
      </c>
      <c r="AA320" s="203">
        <f t="shared" si="112"/>
        <v>18525</v>
      </c>
      <c r="AB320" s="203">
        <f t="shared" si="112"/>
        <v>9800</v>
      </c>
      <c r="AC320" s="203">
        <f t="shared" si="112"/>
        <v>15900</v>
      </c>
      <c r="AD320" s="203">
        <f t="shared" si="112"/>
        <v>12848</v>
      </c>
      <c r="AE320" s="203">
        <f t="shared" si="112"/>
        <v>132225</v>
      </c>
      <c r="AF320" s="213">
        <f t="shared" si="112"/>
        <v>23850</v>
      </c>
      <c r="AG320" s="203">
        <f t="shared" si="112"/>
        <v>11500</v>
      </c>
      <c r="AH320" s="203">
        <f t="shared" si="112"/>
        <v>12350</v>
      </c>
      <c r="AI320" s="197">
        <f t="shared" si="92"/>
        <v>0</v>
      </c>
    </row>
    <row r="321" spans="1:35" s="198" customFormat="1" ht="26.1" customHeight="1">
      <c r="A321" s="206" t="s">
        <v>768</v>
      </c>
      <c r="B321" s="191" t="s">
        <v>272</v>
      </c>
      <c r="C321" s="201" t="s">
        <v>708</v>
      </c>
      <c r="D321" s="202" t="s">
        <v>493</v>
      </c>
      <c r="E321" s="203">
        <f t="shared" ref="E321:E335" si="113">SUM(H321,P321,AF321)</f>
        <v>625000</v>
      </c>
      <c r="F321" s="203">
        <v>0</v>
      </c>
      <c r="G321" s="203">
        <v>625000</v>
      </c>
      <c r="H321" s="204">
        <f t="shared" ref="H321:H335" si="114">SUM(I321:O321)</f>
        <v>625000</v>
      </c>
      <c r="I321" s="203">
        <v>0</v>
      </c>
      <c r="J321" s="203">
        <v>0</v>
      </c>
      <c r="K321" s="203">
        <v>0</v>
      </c>
      <c r="L321" s="203">
        <v>625000</v>
      </c>
      <c r="M321" s="203">
        <v>0</v>
      </c>
      <c r="N321" s="203">
        <v>0</v>
      </c>
      <c r="O321" s="205">
        <v>0</v>
      </c>
      <c r="P321" s="205">
        <f t="shared" ref="P321:P335" si="115">SUM(Q321:AE321)</f>
        <v>0</v>
      </c>
      <c r="Q321" s="203">
        <v>0</v>
      </c>
      <c r="R321" s="203">
        <v>0</v>
      </c>
      <c r="S321" s="203">
        <v>0</v>
      </c>
      <c r="T321" s="203">
        <v>0</v>
      </c>
      <c r="U321" s="203">
        <v>0</v>
      </c>
      <c r="V321" s="203">
        <v>0</v>
      </c>
      <c r="W321" s="203">
        <v>0</v>
      </c>
      <c r="X321" s="203">
        <v>0</v>
      </c>
      <c r="Y321" s="203">
        <v>0</v>
      </c>
      <c r="Z321" s="203">
        <v>0</v>
      </c>
      <c r="AA321" s="203">
        <v>0</v>
      </c>
      <c r="AB321" s="203">
        <v>0</v>
      </c>
      <c r="AC321" s="203">
        <v>0</v>
      </c>
      <c r="AD321" s="203">
        <v>0</v>
      </c>
      <c r="AE321" s="203">
        <v>0</v>
      </c>
      <c r="AF321" s="203">
        <f t="shared" ref="AF321:AF335" si="116">SUM(AG321:AH321)</f>
        <v>0</v>
      </c>
      <c r="AG321" s="203">
        <v>0</v>
      </c>
      <c r="AH321" s="203">
        <v>0</v>
      </c>
      <c r="AI321" s="197">
        <f t="shared" si="92"/>
        <v>0</v>
      </c>
    </row>
    <row r="322" spans="1:35" s="198" customFormat="1" ht="26.1" customHeight="1">
      <c r="A322" s="190" t="s">
        <v>768</v>
      </c>
      <c r="B322" s="191" t="s">
        <v>272</v>
      </c>
      <c r="C322" s="201" t="s">
        <v>709</v>
      </c>
      <c r="D322" s="202" t="s">
        <v>493</v>
      </c>
      <c r="E322" s="203">
        <f t="shared" si="113"/>
        <v>9600</v>
      </c>
      <c r="F322" s="203">
        <v>9600</v>
      </c>
      <c r="G322" s="203">
        <v>0</v>
      </c>
      <c r="H322" s="204">
        <f t="shared" si="114"/>
        <v>2400</v>
      </c>
      <c r="I322" s="203">
        <v>0</v>
      </c>
      <c r="J322" s="203">
        <v>0</v>
      </c>
      <c r="K322" s="203">
        <v>0</v>
      </c>
      <c r="L322" s="203">
        <v>0</v>
      </c>
      <c r="M322" s="203">
        <v>0</v>
      </c>
      <c r="N322" s="203">
        <v>0</v>
      </c>
      <c r="O322" s="205">
        <v>2400</v>
      </c>
      <c r="P322" s="205">
        <f t="shared" si="115"/>
        <v>6400</v>
      </c>
      <c r="Q322" s="203">
        <v>0</v>
      </c>
      <c r="R322" s="203">
        <v>0</v>
      </c>
      <c r="S322" s="203">
        <v>0</v>
      </c>
      <c r="T322" s="203">
        <v>0</v>
      </c>
      <c r="U322" s="203">
        <v>0</v>
      </c>
      <c r="V322" s="203">
        <v>0</v>
      </c>
      <c r="W322" s="203">
        <v>0</v>
      </c>
      <c r="X322" s="203">
        <v>0</v>
      </c>
      <c r="Y322" s="203">
        <v>0</v>
      </c>
      <c r="Z322" s="203">
        <v>0</v>
      </c>
      <c r="AA322" s="203">
        <v>0</v>
      </c>
      <c r="AB322" s="203">
        <v>0</v>
      </c>
      <c r="AC322" s="203">
        <v>0</v>
      </c>
      <c r="AD322" s="203">
        <v>0</v>
      </c>
      <c r="AE322" s="203">
        <v>6400</v>
      </c>
      <c r="AF322" s="203">
        <f t="shared" si="116"/>
        <v>800</v>
      </c>
      <c r="AG322" s="203">
        <v>400</v>
      </c>
      <c r="AH322" s="203">
        <v>400</v>
      </c>
      <c r="AI322" s="197">
        <f t="shared" si="92"/>
        <v>0</v>
      </c>
    </row>
    <row r="323" spans="1:35" s="198" customFormat="1" ht="26.1" customHeight="1">
      <c r="A323" s="190" t="s">
        <v>768</v>
      </c>
      <c r="B323" s="191" t="s">
        <v>272</v>
      </c>
      <c r="C323" s="201" t="s">
        <v>710</v>
      </c>
      <c r="D323" s="202" t="s">
        <v>493</v>
      </c>
      <c r="E323" s="203">
        <f t="shared" si="113"/>
        <v>114870</v>
      </c>
      <c r="F323" s="203">
        <v>114870</v>
      </c>
      <c r="G323" s="203">
        <v>0</v>
      </c>
      <c r="H323" s="204">
        <f t="shared" si="114"/>
        <v>35270</v>
      </c>
      <c r="I323" s="203">
        <v>3600</v>
      </c>
      <c r="J323" s="203">
        <v>4500</v>
      </c>
      <c r="K323" s="203">
        <v>5170</v>
      </c>
      <c r="L323" s="203">
        <v>7200</v>
      </c>
      <c r="M323" s="203">
        <v>7600</v>
      </c>
      <c r="N323" s="203">
        <v>7200</v>
      </c>
      <c r="O323" s="205">
        <v>0</v>
      </c>
      <c r="P323" s="205">
        <f t="shared" si="115"/>
        <v>71600</v>
      </c>
      <c r="Q323" s="203">
        <v>6120</v>
      </c>
      <c r="R323" s="203">
        <v>4500</v>
      </c>
      <c r="S323" s="203">
        <v>3600</v>
      </c>
      <c r="T323" s="203">
        <v>4650</v>
      </c>
      <c r="U323" s="203">
        <v>5170</v>
      </c>
      <c r="V323" s="203">
        <v>7020</v>
      </c>
      <c r="W323" s="203">
        <v>4500</v>
      </c>
      <c r="X323" s="203">
        <v>4500</v>
      </c>
      <c r="Y323" s="203">
        <v>3600</v>
      </c>
      <c r="Z323" s="203">
        <v>3600</v>
      </c>
      <c r="AA323" s="203">
        <v>3600</v>
      </c>
      <c r="AB323" s="203">
        <v>4500</v>
      </c>
      <c r="AC323" s="203">
        <v>3600</v>
      </c>
      <c r="AD323" s="203">
        <v>3600</v>
      </c>
      <c r="AE323" s="203">
        <v>9040</v>
      </c>
      <c r="AF323" s="203">
        <f t="shared" si="116"/>
        <v>8000</v>
      </c>
      <c r="AG323" s="203">
        <v>4000</v>
      </c>
      <c r="AH323" s="203">
        <v>4000</v>
      </c>
      <c r="AI323" s="197">
        <f t="shared" si="92"/>
        <v>0</v>
      </c>
    </row>
    <row r="324" spans="1:35" s="198" customFormat="1" ht="26.1" customHeight="1">
      <c r="A324" s="190" t="s">
        <v>768</v>
      </c>
      <c r="B324" s="191" t="s">
        <v>272</v>
      </c>
      <c r="C324" s="201" t="s">
        <v>711</v>
      </c>
      <c r="D324" s="202" t="s">
        <v>493</v>
      </c>
      <c r="E324" s="203">
        <f t="shared" si="113"/>
        <v>335348</v>
      </c>
      <c r="F324" s="203">
        <v>218648</v>
      </c>
      <c r="G324" s="203">
        <v>116700</v>
      </c>
      <c r="H324" s="204">
        <f t="shared" si="114"/>
        <v>121500</v>
      </c>
      <c r="I324" s="203">
        <v>18800</v>
      </c>
      <c r="J324" s="203">
        <v>26000</v>
      </c>
      <c r="K324" s="203">
        <v>16800</v>
      </c>
      <c r="L324" s="203">
        <v>17300</v>
      </c>
      <c r="M324" s="203">
        <v>19800</v>
      </c>
      <c r="N324" s="203">
        <v>22800</v>
      </c>
      <c r="O324" s="205">
        <v>0</v>
      </c>
      <c r="P324" s="205">
        <f t="shared" si="115"/>
        <v>208848</v>
      </c>
      <c r="Q324" s="203">
        <v>19300</v>
      </c>
      <c r="R324" s="203">
        <v>22000</v>
      </c>
      <c r="S324" s="203">
        <v>15800</v>
      </c>
      <c r="T324" s="203">
        <v>11800</v>
      </c>
      <c r="U324" s="203">
        <v>15800</v>
      </c>
      <c r="V324" s="203">
        <v>10800</v>
      </c>
      <c r="W324" s="203">
        <v>26300</v>
      </c>
      <c r="X324" s="203">
        <v>16300</v>
      </c>
      <c r="Y324" s="203">
        <v>14800</v>
      </c>
      <c r="Z324" s="203">
        <v>14300</v>
      </c>
      <c r="AA324" s="203">
        <v>14800</v>
      </c>
      <c r="AB324" s="203">
        <v>5300</v>
      </c>
      <c r="AC324" s="203">
        <v>12300</v>
      </c>
      <c r="AD324" s="203">
        <v>9248</v>
      </c>
      <c r="AE324" s="203">
        <v>0</v>
      </c>
      <c r="AF324" s="203">
        <f t="shared" si="116"/>
        <v>5000</v>
      </c>
      <c r="AG324" s="203">
        <v>2500</v>
      </c>
      <c r="AH324" s="203">
        <v>2500</v>
      </c>
      <c r="AI324" s="197">
        <f t="shared" si="92"/>
        <v>0</v>
      </c>
    </row>
    <row r="325" spans="1:35" s="198" customFormat="1" ht="26.1" customHeight="1">
      <c r="A325" s="190" t="s">
        <v>768</v>
      </c>
      <c r="B325" s="191" t="s">
        <v>272</v>
      </c>
      <c r="C325" s="201" t="s">
        <v>712</v>
      </c>
      <c r="D325" s="202" t="s">
        <v>493</v>
      </c>
      <c r="E325" s="203">
        <f t="shared" si="113"/>
        <v>52860</v>
      </c>
      <c r="F325" s="203">
        <v>42860</v>
      </c>
      <c r="G325" s="203">
        <v>10000</v>
      </c>
      <c r="H325" s="204">
        <f t="shared" si="114"/>
        <v>12000</v>
      </c>
      <c r="I325" s="203">
        <v>0</v>
      </c>
      <c r="J325" s="203">
        <v>0</v>
      </c>
      <c r="K325" s="203">
        <v>0</v>
      </c>
      <c r="L325" s="203">
        <v>0</v>
      </c>
      <c r="M325" s="203">
        <v>0</v>
      </c>
      <c r="N325" s="203">
        <v>0</v>
      </c>
      <c r="O325" s="205">
        <v>12000</v>
      </c>
      <c r="P325" s="205">
        <f t="shared" si="115"/>
        <v>34860</v>
      </c>
      <c r="Q325" s="203">
        <v>0</v>
      </c>
      <c r="R325" s="203">
        <v>0</v>
      </c>
      <c r="S325" s="203">
        <v>0</v>
      </c>
      <c r="T325" s="203">
        <v>0</v>
      </c>
      <c r="U325" s="203">
        <v>0</v>
      </c>
      <c r="V325" s="203">
        <v>0</v>
      </c>
      <c r="W325" s="203">
        <v>0</v>
      </c>
      <c r="X325" s="203">
        <v>0</v>
      </c>
      <c r="Y325" s="203">
        <v>0</v>
      </c>
      <c r="Z325" s="203">
        <v>0</v>
      </c>
      <c r="AA325" s="203">
        <v>0</v>
      </c>
      <c r="AB325" s="203">
        <v>0</v>
      </c>
      <c r="AC325" s="203">
        <v>0</v>
      </c>
      <c r="AD325" s="203">
        <v>0</v>
      </c>
      <c r="AE325" s="203">
        <v>34860</v>
      </c>
      <c r="AF325" s="203">
        <f t="shared" si="116"/>
        <v>6000</v>
      </c>
      <c r="AG325" s="203">
        <v>3000</v>
      </c>
      <c r="AH325" s="203">
        <v>3000</v>
      </c>
      <c r="AI325" s="197">
        <f t="shared" si="92"/>
        <v>0</v>
      </c>
    </row>
    <row r="326" spans="1:35" s="198" customFormat="1" ht="26.1" customHeight="1">
      <c r="A326" s="190" t="s">
        <v>768</v>
      </c>
      <c r="B326" s="191" t="s">
        <v>272</v>
      </c>
      <c r="C326" s="201" t="s">
        <v>713</v>
      </c>
      <c r="D326" s="202" t="s">
        <v>493</v>
      </c>
      <c r="E326" s="203">
        <f t="shared" si="113"/>
        <v>34900</v>
      </c>
      <c r="F326" s="203">
        <v>34900</v>
      </c>
      <c r="G326" s="203">
        <v>0</v>
      </c>
      <c r="H326" s="204">
        <f t="shared" si="114"/>
        <v>10500</v>
      </c>
      <c r="I326" s="203">
        <v>0</v>
      </c>
      <c r="J326" s="203">
        <v>0</v>
      </c>
      <c r="K326" s="203">
        <v>0</v>
      </c>
      <c r="L326" s="203">
        <v>0</v>
      </c>
      <c r="M326" s="203">
        <v>0</v>
      </c>
      <c r="N326" s="203">
        <v>0</v>
      </c>
      <c r="O326" s="205">
        <v>10500</v>
      </c>
      <c r="P326" s="205">
        <f t="shared" si="115"/>
        <v>21900</v>
      </c>
      <c r="Q326" s="203">
        <v>0</v>
      </c>
      <c r="R326" s="203">
        <v>0</v>
      </c>
      <c r="S326" s="203">
        <v>0</v>
      </c>
      <c r="T326" s="203">
        <v>0</v>
      </c>
      <c r="U326" s="203">
        <v>0</v>
      </c>
      <c r="V326" s="203">
        <v>0</v>
      </c>
      <c r="W326" s="203">
        <v>0</v>
      </c>
      <c r="X326" s="203">
        <v>0</v>
      </c>
      <c r="Y326" s="203">
        <v>0</v>
      </c>
      <c r="Z326" s="203">
        <v>0</v>
      </c>
      <c r="AA326" s="203">
        <v>0</v>
      </c>
      <c r="AB326" s="203">
        <v>0</v>
      </c>
      <c r="AC326" s="203">
        <v>0</v>
      </c>
      <c r="AD326" s="203">
        <v>0</v>
      </c>
      <c r="AE326" s="203">
        <v>21900</v>
      </c>
      <c r="AF326" s="203">
        <f t="shared" si="116"/>
        <v>2500</v>
      </c>
      <c r="AG326" s="203">
        <v>1250</v>
      </c>
      <c r="AH326" s="203">
        <v>1250</v>
      </c>
      <c r="AI326" s="197">
        <f t="shared" ref="AI326:AI341" si="117">IF(+F326+G326=E326,0,FALSE)</f>
        <v>0</v>
      </c>
    </row>
    <row r="327" spans="1:35" s="198" customFormat="1" ht="26.1" customHeight="1">
      <c r="A327" s="190" t="s">
        <v>768</v>
      </c>
      <c r="B327" s="191" t="s">
        <v>272</v>
      </c>
      <c r="C327" s="201" t="s">
        <v>714</v>
      </c>
      <c r="D327" s="202" t="s">
        <v>493</v>
      </c>
      <c r="E327" s="203">
        <f t="shared" si="113"/>
        <v>4000</v>
      </c>
      <c r="F327" s="203">
        <v>4000</v>
      </c>
      <c r="G327" s="203">
        <v>0</v>
      </c>
      <c r="H327" s="204">
        <f t="shared" si="114"/>
        <v>2000</v>
      </c>
      <c r="I327" s="203">
        <v>0</v>
      </c>
      <c r="J327" s="203">
        <v>0</v>
      </c>
      <c r="K327" s="203">
        <v>0</v>
      </c>
      <c r="L327" s="203">
        <v>0</v>
      </c>
      <c r="M327" s="203">
        <v>0</v>
      </c>
      <c r="N327" s="203">
        <v>0</v>
      </c>
      <c r="O327" s="205">
        <v>2000</v>
      </c>
      <c r="P327" s="205">
        <f t="shared" si="115"/>
        <v>950</v>
      </c>
      <c r="Q327" s="203">
        <v>0</v>
      </c>
      <c r="R327" s="203">
        <v>0</v>
      </c>
      <c r="S327" s="203">
        <v>0</v>
      </c>
      <c r="T327" s="203">
        <v>0</v>
      </c>
      <c r="U327" s="203">
        <v>0</v>
      </c>
      <c r="V327" s="203">
        <v>0</v>
      </c>
      <c r="W327" s="203">
        <v>0</v>
      </c>
      <c r="X327" s="203">
        <v>0</v>
      </c>
      <c r="Y327" s="203">
        <v>0</v>
      </c>
      <c r="Z327" s="203">
        <v>0</v>
      </c>
      <c r="AA327" s="203">
        <v>125</v>
      </c>
      <c r="AB327" s="203">
        <v>0</v>
      </c>
      <c r="AC327" s="203">
        <v>0</v>
      </c>
      <c r="AD327" s="203">
        <v>0</v>
      </c>
      <c r="AE327" s="203">
        <v>825</v>
      </c>
      <c r="AF327" s="203">
        <f t="shared" si="116"/>
        <v>1050</v>
      </c>
      <c r="AG327" s="203">
        <v>150</v>
      </c>
      <c r="AH327" s="203">
        <v>900</v>
      </c>
      <c r="AI327" s="197">
        <f t="shared" si="117"/>
        <v>0</v>
      </c>
    </row>
    <row r="328" spans="1:35" s="198" customFormat="1" ht="26.1" customHeight="1">
      <c r="A328" s="190" t="s">
        <v>768</v>
      </c>
      <c r="B328" s="191" t="s">
        <v>272</v>
      </c>
      <c r="C328" s="201" t="s">
        <v>715</v>
      </c>
      <c r="D328" s="202" t="s">
        <v>493</v>
      </c>
      <c r="E328" s="203">
        <f t="shared" si="113"/>
        <v>2000</v>
      </c>
      <c r="F328" s="203">
        <v>2000</v>
      </c>
      <c r="G328" s="203">
        <v>0</v>
      </c>
      <c r="H328" s="204">
        <f t="shared" si="114"/>
        <v>500</v>
      </c>
      <c r="I328" s="203">
        <v>0</v>
      </c>
      <c r="J328" s="203">
        <v>0</v>
      </c>
      <c r="K328" s="203">
        <v>0</v>
      </c>
      <c r="L328" s="203">
        <v>0</v>
      </c>
      <c r="M328" s="203">
        <v>0</v>
      </c>
      <c r="N328" s="203">
        <v>0</v>
      </c>
      <c r="O328" s="205">
        <v>500</v>
      </c>
      <c r="P328" s="205">
        <f t="shared" si="115"/>
        <v>1000</v>
      </c>
      <c r="Q328" s="203">
        <v>0</v>
      </c>
      <c r="R328" s="203">
        <v>0</v>
      </c>
      <c r="S328" s="203">
        <v>0</v>
      </c>
      <c r="T328" s="203">
        <v>0</v>
      </c>
      <c r="U328" s="203">
        <v>0</v>
      </c>
      <c r="V328" s="203">
        <v>0</v>
      </c>
      <c r="W328" s="203">
        <v>0</v>
      </c>
      <c r="X328" s="203">
        <v>0</v>
      </c>
      <c r="Y328" s="203">
        <v>0</v>
      </c>
      <c r="Z328" s="203">
        <v>0</v>
      </c>
      <c r="AA328" s="203">
        <v>0</v>
      </c>
      <c r="AB328" s="203">
        <v>0</v>
      </c>
      <c r="AC328" s="203">
        <v>0</v>
      </c>
      <c r="AD328" s="203">
        <v>0</v>
      </c>
      <c r="AE328" s="203">
        <v>1000</v>
      </c>
      <c r="AF328" s="203">
        <f t="shared" si="116"/>
        <v>500</v>
      </c>
      <c r="AG328" s="203">
        <v>200</v>
      </c>
      <c r="AH328" s="203">
        <v>300</v>
      </c>
      <c r="AI328" s="197">
        <f t="shared" si="117"/>
        <v>0</v>
      </c>
    </row>
    <row r="329" spans="1:35" s="198" customFormat="1" ht="26.1" customHeight="1">
      <c r="A329" s="190" t="s">
        <v>768</v>
      </c>
      <c r="B329" s="191" t="s">
        <v>273</v>
      </c>
      <c r="C329" s="201" t="s">
        <v>716</v>
      </c>
      <c r="D329" s="202" t="s">
        <v>493</v>
      </c>
      <c r="E329" s="203">
        <f t="shared" si="113"/>
        <v>5000</v>
      </c>
      <c r="F329" s="203">
        <v>5000</v>
      </c>
      <c r="G329" s="203">
        <v>0</v>
      </c>
      <c r="H329" s="204">
        <f t="shared" si="114"/>
        <v>3000</v>
      </c>
      <c r="I329" s="203">
        <v>0</v>
      </c>
      <c r="J329" s="203">
        <v>0</v>
      </c>
      <c r="K329" s="203">
        <v>1500</v>
      </c>
      <c r="L329" s="203">
        <v>0</v>
      </c>
      <c r="M329" s="203">
        <v>0</v>
      </c>
      <c r="N329" s="203">
        <v>1500</v>
      </c>
      <c r="O329" s="205">
        <v>0</v>
      </c>
      <c r="P329" s="205">
        <f t="shared" si="115"/>
        <v>2000</v>
      </c>
      <c r="Q329" s="203">
        <v>0</v>
      </c>
      <c r="R329" s="203">
        <v>0</v>
      </c>
      <c r="S329" s="203">
        <v>0</v>
      </c>
      <c r="T329" s="203">
        <v>0</v>
      </c>
      <c r="U329" s="203">
        <v>0</v>
      </c>
      <c r="V329" s="203">
        <v>600</v>
      </c>
      <c r="W329" s="203">
        <v>0</v>
      </c>
      <c r="X329" s="203">
        <v>700</v>
      </c>
      <c r="Y329" s="203">
        <v>700</v>
      </c>
      <c r="Z329" s="203">
        <v>0</v>
      </c>
      <c r="AA329" s="203">
        <v>0</v>
      </c>
      <c r="AB329" s="203">
        <v>0</v>
      </c>
      <c r="AC329" s="203">
        <v>0</v>
      </c>
      <c r="AD329" s="203">
        <v>0</v>
      </c>
      <c r="AE329" s="203">
        <v>0</v>
      </c>
      <c r="AF329" s="203">
        <f t="shared" si="116"/>
        <v>0</v>
      </c>
      <c r="AG329" s="203">
        <v>0</v>
      </c>
      <c r="AH329" s="203">
        <v>0</v>
      </c>
      <c r="AI329" s="197">
        <f t="shared" si="117"/>
        <v>0</v>
      </c>
    </row>
    <row r="330" spans="1:35" s="198" customFormat="1" ht="26.1" customHeight="1">
      <c r="A330" s="190" t="s">
        <v>768</v>
      </c>
      <c r="B330" s="191" t="s">
        <v>272</v>
      </c>
      <c r="C330" s="201" t="s">
        <v>717</v>
      </c>
      <c r="D330" s="202" t="s">
        <v>493</v>
      </c>
      <c r="E330" s="203">
        <f t="shared" si="113"/>
        <v>18000</v>
      </c>
      <c r="F330" s="203">
        <v>18000</v>
      </c>
      <c r="G330" s="203">
        <v>0</v>
      </c>
      <c r="H330" s="204">
        <f t="shared" si="114"/>
        <v>4000</v>
      </c>
      <c r="I330" s="203">
        <v>0</v>
      </c>
      <c r="J330" s="203">
        <v>0</v>
      </c>
      <c r="K330" s="203">
        <v>0</v>
      </c>
      <c r="L330" s="203">
        <v>0</v>
      </c>
      <c r="M330" s="203">
        <v>0</v>
      </c>
      <c r="N330" s="203">
        <v>0</v>
      </c>
      <c r="O330" s="205">
        <v>4000</v>
      </c>
      <c r="P330" s="205">
        <f t="shared" si="115"/>
        <v>14000</v>
      </c>
      <c r="Q330" s="203">
        <v>0</v>
      </c>
      <c r="R330" s="203">
        <v>0</v>
      </c>
      <c r="S330" s="203">
        <v>0</v>
      </c>
      <c r="T330" s="203">
        <v>0</v>
      </c>
      <c r="U330" s="203">
        <v>0</v>
      </c>
      <c r="V330" s="203">
        <v>0</v>
      </c>
      <c r="W330" s="203">
        <v>0</v>
      </c>
      <c r="X330" s="203">
        <v>0</v>
      </c>
      <c r="Y330" s="203">
        <v>0</v>
      </c>
      <c r="Z330" s="203">
        <v>0</v>
      </c>
      <c r="AA330" s="203">
        <v>0</v>
      </c>
      <c r="AB330" s="203">
        <v>0</v>
      </c>
      <c r="AC330" s="203">
        <v>0</v>
      </c>
      <c r="AD330" s="203">
        <v>0</v>
      </c>
      <c r="AE330" s="203">
        <v>14000</v>
      </c>
      <c r="AF330" s="203">
        <f t="shared" si="116"/>
        <v>0</v>
      </c>
      <c r="AG330" s="203">
        <v>0</v>
      </c>
      <c r="AH330" s="203">
        <v>0</v>
      </c>
      <c r="AI330" s="197">
        <f t="shared" si="117"/>
        <v>0</v>
      </c>
    </row>
    <row r="331" spans="1:35" s="198" customFormat="1" ht="26.1" customHeight="1">
      <c r="A331" s="190" t="s">
        <v>768</v>
      </c>
      <c r="B331" s="191" t="s">
        <v>272</v>
      </c>
      <c r="C331" s="201" t="s">
        <v>718</v>
      </c>
      <c r="D331" s="202" t="s">
        <v>493</v>
      </c>
      <c r="E331" s="203">
        <f t="shared" si="113"/>
        <v>27500</v>
      </c>
      <c r="F331" s="203">
        <v>27500</v>
      </c>
      <c r="G331" s="203">
        <v>0</v>
      </c>
      <c r="H331" s="204">
        <f t="shared" si="114"/>
        <v>7500</v>
      </c>
      <c r="I331" s="203">
        <v>0</v>
      </c>
      <c r="J331" s="203">
        <v>0</v>
      </c>
      <c r="K331" s="203">
        <v>0</v>
      </c>
      <c r="L331" s="203">
        <v>0</v>
      </c>
      <c r="M331" s="203">
        <v>0</v>
      </c>
      <c r="N331" s="203">
        <v>0</v>
      </c>
      <c r="O331" s="205">
        <v>7500</v>
      </c>
      <c r="P331" s="205">
        <f t="shared" si="115"/>
        <v>20000</v>
      </c>
      <c r="Q331" s="203">
        <v>0</v>
      </c>
      <c r="R331" s="203">
        <v>0</v>
      </c>
      <c r="S331" s="203">
        <v>0</v>
      </c>
      <c r="T331" s="203">
        <v>0</v>
      </c>
      <c r="U331" s="203">
        <v>0</v>
      </c>
      <c r="V331" s="203">
        <v>0</v>
      </c>
      <c r="W331" s="203">
        <v>0</v>
      </c>
      <c r="X331" s="203">
        <v>0</v>
      </c>
      <c r="Y331" s="203">
        <v>0</v>
      </c>
      <c r="Z331" s="203">
        <v>0</v>
      </c>
      <c r="AA331" s="203">
        <v>0</v>
      </c>
      <c r="AB331" s="203">
        <v>0</v>
      </c>
      <c r="AC331" s="203">
        <v>0</v>
      </c>
      <c r="AD331" s="203">
        <v>0</v>
      </c>
      <c r="AE331" s="203">
        <v>20000</v>
      </c>
      <c r="AF331" s="203">
        <f t="shared" si="116"/>
        <v>0</v>
      </c>
      <c r="AG331" s="203">
        <v>0</v>
      </c>
      <c r="AH331" s="203">
        <v>0</v>
      </c>
      <c r="AI331" s="197">
        <f t="shared" si="117"/>
        <v>0</v>
      </c>
    </row>
    <row r="332" spans="1:35" s="198" customFormat="1" ht="26.1" customHeight="1">
      <c r="A332" s="190" t="s">
        <v>768</v>
      </c>
      <c r="B332" s="191" t="s">
        <v>272</v>
      </c>
      <c r="C332" s="201" t="s">
        <v>719</v>
      </c>
      <c r="D332" s="202" t="s">
        <v>493</v>
      </c>
      <c r="E332" s="203">
        <f t="shared" si="113"/>
        <v>18500</v>
      </c>
      <c r="F332" s="203">
        <v>18500</v>
      </c>
      <c r="G332" s="203">
        <v>0</v>
      </c>
      <c r="H332" s="204">
        <f t="shared" si="114"/>
        <v>3500</v>
      </c>
      <c r="I332" s="203">
        <v>0</v>
      </c>
      <c r="J332" s="203">
        <v>0</v>
      </c>
      <c r="K332" s="203">
        <v>0</v>
      </c>
      <c r="L332" s="203">
        <v>0</v>
      </c>
      <c r="M332" s="203">
        <v>0</v>
      </c>
      <c r="N332" s="203">
        <v>0</v>
      </c>
      <c r="O332" s="205">
        <v>3500</v>
      </c>
      <c r="P332" s="205">
        <f t="shared" si="115"/>
        <v>15000</v>
      </c>
      <c r="Q332" s="203">
        <v>0</v>
      </c>
      <c r="R332" s="203">
        <v>0</v>
      </c>
      <c r="S332" s="203">
        <v>0</v>
      </c>
      <c r="T332" s="203">
        <v>0</v>
      </c>
      <c r="U332" s="203">
        <v>0</v>
      </c>
      <c r="V332" s="203">
        <v>0</v>
      </c>
      <c r="W332" s="203">
        <v>0</v>
      </c>
      <c r="X332" s="203">
        <v>0</v>
      </c>
      <c r="Y332" s="203">
        <v>0</v>
      </c>
      <c r="Z332" s="203">
        <v>0</v>
      </c>
      <c r="AA332" s="203">
        <v>0</v>
      </c>
      <c r="AB332" s="203">
        <v>0</v>
      </c>
      <c r="AC332" s="203">
        <v>0</v>
      </c>
      <c r="AD332" s="203">
        <v>0</v>
      </c>
      <c r="AE332" s="203">
        <v>15000</v>
      </c>
      <c r="AF332" s="203">
        <f t="shared" si="116"/>
        <v>0</v>
      </c>
      <c r="AG332" s="203">
        <v>0</v>
      </c>
      <c r="AH332" s="203">
        <v>0</v>
      </c>
      <c r="AI332" s="197">
        <f t="shared" si="117"/>
        <v>0</v>
      </c>
    </row>
    <row r="333" spans="1:35" s="198" customFormat="1" ht="26.1" customHeight="1">
      <c r="A333" s="190" t="s">
        <v>768</v>
      </c>
      <c r="B333" s="191" t="s">
        <v>272</v>
      </c>
      <c r="C333" s="201" t="s">
        <v>720</v>
      </c>
      <c r="D333" s="202" t="s">
        <v>493</v>
      </c>
      <c r="E333" s="203">
        <f t="shared" si="113"/>
        <v>11000</v>
      </c>
      <c r="F333" s="203">
        <v>7000</v>
      </c>
      <c r="G333" s="203">
        <v>4000</v>
      </c>
      <c r="H333" s="204">
        <f t="shared" si="114"/>
        <v>2000</v>
      </c>
      <c r="I333" s="203">
        <v>0</v>
      </c>
      <c r="J333" s="203">
        <v>0</v>
      </c>
      <c r="K333" s="203">
        <v>0</v>
      </c>
      <c r="L333" s="203">
        <v>0</v>
      </c>
      <c r="M333" s="203">
        <v>0</v>
      </c>
      <c r="N333" s="203">
        <v>0</v>
      </c>
      <c r="O333" s="205">
        <v>2000</v>
      </c>
      <c r="P333" s="205">
        <f t="shared" si="115"/>
        <v>9000</v>
      </c>
      <c r="Q333" s="203">
        <v>0</v>
      </c>
      <c r="R333" s="203">
        <v>0</v>
      </c>
      <c r="S333" s="203">
        <v>0</v>
      </c>
      <c r="T333" s="203">
        <v>0</v>
      </c>
      <c r="U333" s="203">
        <v>0</v>
      </c>
      <c r="V333" s="203">
        <v>0</v>
      </c>
      <c r="W333" s="203">
        <v>0</v>
      </c>
      <c r="X333" s="203">
        <v>0</v>
      </c>
      <c r="Y333" s="203">
        <v>0</v>
      </c>
      <c r="Z333" s="203">
        <v>0</v>
      </c>
      <c r="AA333" s="203">
        <v>0</v>
      </c>
      <c r="AB333" s="203">
        <v>0</v>
      </c>
      <c r="AC333" s="203">
        <v>0</v>
      </c>
      <c r="AD333" s="203">
        <v>0</v>
      </c>
      <c r="AE333" s="203">
        <v>9000</v>
      </c>
      <c r="AF333" s="203">
        <f t="shared" si="116"/>
        <v>0</v>
      </c>
      <c r="AG333" s="203">
        <v>0</v>
      </c>
      <c r="AH333" s="203">
        <v>0</v>
      </c>
      <c r="AI333" s="197">
        <f t="shared" si="117"/>
        <v>0</v>
      </c>
    </row>
    <row r="334" spans="1:35" s="198" customFormat="1" ht="26.1" customHeight="1">
      <c r="A334" s="190" t="s">
        <v>768</v>
      </c>
      <c r="B334" s="191" t="s">
        <v>272</v>
      </c>
      <c r="C334" s="201" t="s">
        <v>721</v>
      </c>
      <c r="D334" s="202" t="s">
        <v>493</v>
      </c>
      <c r="E334" s="203">
        <f t="shared" si="113"/>
        <v>3000</v>
      </c>
      <c r="F334" s="203">
        <v>3000</v>
      </c>
      <c r="G334" s="203">
        <v>0</v>
      </c>
      <c r="H334" s="204">
        <f t="shared" si="114"/>
        <v>3000</v>
      </c>
      <c r="I334" s="203">
        <v>0</v>
      </c>
      <c r="J334" s="203">
        <v>0</v>
      </c>
      <c r="K334" s="203">
        <v>0</v>
      </c>
      <c r="L334" s="203">
        <v>0</v>
      </c>
      <c r="M334" s="203">
        <v>0</v>
      </c>
      <c r="N334" s="203">
        <v>0</v>
      </c>
      <c r="O334" s="205">
        <v>3000</v>
      </c>
      <c r="P334" s="205">
        <f t="shared" si="115"/>
        <v>0</v>
      </c>
      <c r="Q334" s="203">
        <v>0</v>
      </c>
      <c r="R334" s="203">
        <v>0</v>
      </c>
      <c r="S334" s="203">
        <v>0</v>
      </c>
      <c r="T334" s="203">
        <v>0</v>
      </c>
      <c r="U334" s="203">
        <v>0</v>
      </c>
      <c r="V334" s="203">
        <v>0</v>
      </c>
      <c r="W334" s="203">
        <v>0</v>
      </c>
      <c r="X334" s="203">
        <v>0</v>
      </c>
      <c r="Y334" s="203">
        <v>0</v>
      </c>
      <c r="Z334" s="203">
        <v>0</v>
      </c>
      <c r="AA334" s="203">
        <v>0</v>
      </c>
      <c r="AB334" s="203">
        <v>0</v>
      </c>
      <c r="AC334" s="203">
        <v>0</v>
      </c>
      <c r="AD334" s="203">
        <v>0</v>
      </c>
      <c r="AE334" s="203">
        <v>0</v>
      </c>
      <c r="AF334" s="203">
        <f t="shared" si="116"/>
        <v>0</v>
      </c>
      <c r="AG334" s="203">
        <v>0</v>
      </c>
      <c r="AH334" s="203">
        <v>0</v>
      </c>
      <c r="AI334" s="197">
        <f t="shared" si="117"/>
        <v>0</v>
      </c>
    </row>
    <row r="335" spans="1:35" s="198" customFormat="1" ht="26.1" customHeight="1">
      <c r="A335" s="190" t="s">
        <v>768</v>
      </c>
      <c r="B335" s="191" t="s">
        <v>272</v>
      </c>
      <c r="C335" s="201" t="s">
        <v>722</v>
      </c>
      <c r="D335" s="202" t="s">
        <v>493</v>
      </c>
      <c r="E335" s="203">
        <f t="shared" si="113"/>
        <v>400</v>
      </c>
      <c r="F335" s="203">
        <v>400</v>
      </c>
      <c r="G335" s="203">
        <v>0</v>
      </c>
      <c r="H335" s="204">
        <f t="shared" si="114"/>
        <v>200</v>
      </c>
      <c r="I335" s="203">
        <v>0</v>
      </c>
      <c r="J335" s="203">
        <v>0</v>
      </c>
      <c r="K335" s="203">
        <v>0</v>
      </c>
      <c r="L335" s="203">
        <v>0</v>
      </c>
      <c r="M335" s="203">
        <v>0</v>
      </c>
      <c r="N335" s="203">
        <v>0</v>
      </c>
      <c r="O335" s="205">
        <v>200</v>
      </c>
      <c r="P335" s="205">
        <f t="shared" si="115"/>
        <v>200</v>
      </c>
      <c r="Q335" s="203">
        <v>0</v>
      </c>
      <c r="R335" s="203">
        <v>0</v>
      </c>
      <c r="S335" s="203">
        <v>0</v>
      </c>
      <c r="T335" s="203">
        <v>0</v>
      </c>
      <c r="U335" s="203">
        <v>0</v>
      </c>
      <c r="V335" s="203">
        <v>0</v>
      </c>
      <c r="W335" s="203">
        <v>0</v>
      </c>
      <c r="X335" s="203">
        <v>0</v>
      </c>
      <c r="Y335" s="203">
        <v>0</v>
      </c>
      <c r="Z335" s="203">
        <v>0</v>
      </c>
      <c r="AA335" s="203">
        <v>0</v>
      </c>
      <c r="AB335" s="203">
        <v>0</v>
      </c>
      <c r="AC335" s="203">
        <v>0</v>
      </c>
      <c r="AD335" s="203">
        <v>0</v>
      </c>
      <c r="AE335" s="203">
        <v>200</v>
      </c>
      <c r="AF335" s="203">
        <f t="shared" si="116"/>
        <v>0</v>
      </c>
      <c r="AG335" s="203">
        <v>0</v>
      </c>
      <c r="AH335" s="203">
        <v>0</v>
      </c>
      <c r="AI335" s="197">
        <f t="shared" si="117"/>
        <v>0</v>
      </c>
    </row>
    <row r="336" spans="1:35" s="198" customFormat="1" ht="26.1" customHeight="1">
      <c r="A336" s="190"/>
      <c r="B336" s="191"/>
      <c r="C336" s="201"/>
      <c r="D336" s="202"/>
      <c r="E336" s="213">
        <f t="shared" ref="E336:AH336" si="118">SUM(E337:E340)</f>
        <v>413369</v>
      </c>
      <c r="F336" s="203">
        <f t="shared" si="118"/>
        <v>120801</v>
      </c>
      <c r="G336" s="203">
        <f t="shared" si="118"/>
        <v>292568</v>
      </c>
      <c r="H336" s="213">
        <f t="shared" si="118"/>
        <v>146921</v>
      </c>
      <c r="I336" s="203">
        <f t="shared" si="118"/>
        <v>2600</v>
      </c>
      <c r="J336" s="203">
        <f t="shared" si="118"/>
        <v>7030</v>
      </c>
      <c r="K336" s="203">
        <f t="shared" si="118"/>
        <v>16830</v>
      </c>
      <c r="L336" s="203">
        <f t="shared" si="118"/>
        <v>46945</v>
      </c>
      <c r="M336" s="203">
        <f t="shared" si="118"/>
        <v>44479</v>
      </c>
      <c r="N336" s="203">
        <f t="shared" si="118"/>
        <v>28837</v>
      </c>
      <c r="O336" s="203">
        <f t="shared" si="118"/>
        <v>200</v>
      </c>
      <c r="P336" s="213">
        <f t="shared" si="118"/>
        <v>251233</v>
      </c>
      <c r="Q336" s="203">
        <f t="shared" si="118"/>
        <v>15763</v>
      </c>
      <c r="R336" s="203">
        <f t="shared" si="118"/>
        <v>15320</v>
      </c>
      <c r="S336" s="203">
        <f t="shared" si="118"/>
        <v>8530</v>
      </c>
      <c r="T336" s="203">
        <f t="shared" si="118"/>
        <v>22274</v>
      </c>
      <c r="U336" s="203">
        <f t="shared" si="118"/>
        <v>9550</v>
      </c>
      <c r="V336" s="203">
        <f t="shared" si="118"/>
        <v>26467</v>
      </c>
      <c r="W336" s="203">
        <f t="shared" si="118"/>
        <v>12280</v>
      </c>
      <c r="X336" s="203">
        <f t="shared" si="118"/>
        <v>26390</v>
      </c>
      <c r="Y336" s="203">
        <f t="shared" si="118"/>
        <v>13219</v>
      </c>
      <c r="Z336" s="203">
        <f t="shared" si="118"/>
        <v>13875</v>
      </c>
      <c r="AA336" s="203">
        <f t="shared" si="118"/>
        <v>36105</v>
      </c>
      <c r="AB336" s="203">
        <f t="shared" si="118"/>
        <v>20590</v>
      </c>
      <c r="AC336" s="203">
        <f t="shared" si="118"/>
        <v>16295</v>
      </c>
      <c r="AD336" s="203">
        <f t="shared" si="118"/>
        <v>11975</v>
      </c>
      <c r="AE336" s="203">
        <f t="shared" si="118"/>
        <v>2600</v>
      </c>
      <c r="AF336" s="213">
        <f t="shared" si="118"/>
        <v>15215</v>
      </c>
      <c r="AG336" s="203">
        <f t="shared" si="118"/>
        <v>7855</v>
      </c>
      <c r="AH336" s="203">
        <f t="shared" si="118"/>
        <v>7360</v>
      </c>
      <c r="AI336" s="197">
        <f t="shared" si="117"/>
        <v>0</v>
      </c>
    </row>
    <row r="337" spans="1:35" s="198" customFormat="1" ht="26.1" customHeight="1">
      <c r="A337" s="190" t="s">
        <v>768</v>
      </c>
      <c r="B337" s="191" t="s">
        <v>274</v>
      </c>
      <c r="C337" s="201" t="s">
        <v>723</v>
      </c>
      <c r="D337" s="202" t="s">
        <v>493</v>
      </c>
      <c r="E337" s="203">
        <f>SUM(H337,P337,AF337)</f>
        <v>84944</v>
      </c>
      <c r="F337" s="203">
        <v>29783</v>
      </c>
      <c r="G337" s="203">
        <v>55161</v>
      </c>
      <c r="H337" s="204">
        <f>SUM(I337:O337)</f>
        <v>23692</v>
      </c>
      <c r="I337" s="203">
        <v>1100</v>
      </c>
      <c r="J337" s="203">
        <v>2080</v>
      </c>
      <c r="K337" s="203">
        <v>1850</v>
      </c>
      <c r="L337" s="203">
        <v>3876</v>
      </c>
      <c r="M337" s="203">
        <v>11536</v>
      </c>
      <c r="N337" s="203">
        <v>3250</v>
      </c>
      <c r="O337" s="205">
        <v>0</v>
      </c>
      <c r="P337" s="205">
        <f>SUM(Q337:AE337)</f>
        <v>55759</v>
      </c>
      <c r="Q337" s="203">
        <v>3520</v>
      </c>
      <c r="R337" s="203">
        <v>1870</v>
      </c>
      <c r="S337" s="203">
        <v>1730</v>
      </c>
      <c r="T337" s="203">
        <v>6258</v>
      </c>
      <c r="U337" s="203">
        <v>2800</v>
      </c>
      <c r="V337" s="203">
        <v>3587</v>
      </c>
      <c r="W337" s="203">
        <v>2590</v>
      </c>
      <c r="X337" s="203">
        <v>4825</v>
      </c>
      <c r="Y337" s="203">
        <v>2999</v>
      </c>
      <c r="Z337" s="203">
        <v>2370</v>
      </c>
      <c r="AA337" s="203">
        <v>9105</v>
      </c>
      <c r="AB337" s="203">
        <v>1840</v>
      </c>
      <c r="AC337" s="203">
        <v>8370</v>
      </c>
      <c r="AD337" s="203">
        <v>3895</v>
      </c>
      <c r="AE337" s="203">
        <v>0</v>
      </c>
      <c r="AF337" s="203">
        <f>SUM(AG337:AH337)</f>
        <v>5493</v>
      </c>
      <c r="AG337" s="203">
        <v>3230</v>
      </c>
      <c r="AH337" s="203">
        <v>2263</v>
      </c>
      <c r="AI337" s="197">
        <f t="shared" si="117"/>
        <v>0</v>
      </c>
    </row>
    <row r="338" spans="1:35" s="198" customFormat="1" ht="26.1" customHeight="1">
      <c r="A338" s="190" t="s">
        <v>768</v>
      </c>
      <c r="B338" s="191" t="s">
        <v>274</v>
      </c>
      <c r="C338" s="201" t="s">
        <v>724</v>
      </c>
      <c r="D338" s="202" t="s">
        <v>493</v>
      </c>
      <c r="E338" s="203">
        <f>SUM(H338,P338,AF338)</f>
        <v>240725</v>
      </c>
      <c r="F338" s="203">
        <v>42318</v>
      </c>
      <c r="G338" s="203">
        <v>198407</v>
      </c>
      <c r="H338" s="204">
        <f>SUM(I338:O338)</f>
        <v>105159</v>
      </c>
      <c r="I338" s="203">
        <v>1100</v>
      </c>
      <c r="J338" s="203">
        <v>4450</v>
      </c>
      <c r="K338" s="203">
        <v>12770</v>
      </c>
      <c r="L338" s="203">
        <v>41899</v>
      </c>
      <c r="M338" s="203">
        <v>25193</v>
      </c>
      <c r="N338" s="203">
        <v>19747</v>
      </c>
      <c r="O338" s="205">
        <v>0</v>
      </c>
      <c r="P338" s="205">
        <f>SUM(Q338:AE338)</f>
        <v>130244</v>
      </c>
      <c r="Q338" s="203">
        <v>5143</v>
      </c>
      <c r="R338" s="203">
        <v>10650</v>
      </c>
      <c r="S338" s="203">
        <v>4650</v>
      </c>
      <c r="T338" s="203">
        <v>10516</v>
      </c>
      <c r="U338" s="203">
        <v>6050</v>
      </c>
      <c r="V338" s="203">
        <v>14070</v>
      </c>
      <c r="W338" s="203">
        <v>5850</v>
      </c>
      <c r="X338" s="203">
        <v>15200</v>
      </c>
      <c r="Y338" s="203">
        <v>4500</v>
      </c>
      <c r="Z338" s="203">
        <v>4600</v>
      </c>
      <c r="AA338" s="203">
        <v>23450</v>
      </c>
      <c r="AB338" s="203">
        <v>18550</v>
      </c>
      <c r="AC338" s="203">
        <v>3930</v>
      </c>
      <c r="AD338" s="203">
        <v>3085</v>
      </c>
      <c r="AE338" s="203">
        <v>0</v>
      </c>
      <c r="AF338" s="203">
        <f>SUM(AG338:AH338)</f>
        <v>5322</v>
      </c>
      <c r="AG338" s="203">
        <v>2325</v>
      </c>
      <c r="AH338" s="203">
        <v>2997</v>
      </c>
      <c r="AI338" s="197">
        <f t="shared" si="117"/>
        <v>0</v>
      </c>
    </row>
    <row r="339" spans="1:35" s="198" customFormat="1" ht="26.1" customHeight="1">
      <c r="A339" s="190" t="s">
        <v>768</v>
      </c>
      <c r="B339" s="191" t="s">
        <v>274</v>
      </c>
      <c r="C339" s="201" t="s">
        <v>725</v>
      </c>
      <c r="D339" s="202" t="s">
        <v>493</v>
      </c>
      <c r="E339" s="203">
        <f>SUM(H339,P339,AF339)</f>
        <v>10400</v>
      </c>
      <c r="F339" s="203">
        <v>10400</v>
      </c>
      <c r="G339" s="203">
        <v>0</v>
      </c>
      <c r="H339" s="204">
        <f>SUM(I339:O339)</f>
        <v>4000</v>
      </c>
      <c r="I339" s="203">
        <v>400</v>
      </c>
      <c r="J339" s="203">
        <v>500</v>
      </c>
      <c r="K339" s="203">
        <v>100</v>
      </c>
      <c r="L339" s="203">
        <v>700</v>
      </c>
      <c r="M339" s="203">
        <v>1500</v>
      </c>
      <c r="N339" s="203">
        <v>800</v>
      </c>
      <c r="O339" s="205">
        <v>0</v>
      </c>
      <c r="P339" s="205">
        <f>SUM(Q339:AE339)</f>
        <v>6000</v>
      </c>
      <c r="Q339" s="203">
        <v>600</v>
      </c>
      <c r="R339" s="203">
        <v>400</v>
      </c>
      <c r="S339" s="203">
        <v>300</v>
      </c>
      <c r="T339" s="203">
        <v>600</v>
      </c>
      <c r="U339" s="203">
        <v>700</v>
      </c>
      <c r="V339" s="203">
        <v>600</v>
      </c>
      <c r="W339" s="203">
        <v>150</v>
      </c>
      <c r="X339" s="203">
        <v>600</v>
      </c>
      <c r="Y339" s="203">
        <v>200</v>
      </c>
      <c r="Z339" s="203">
        <v>500</v>
      </c>
      <c r="AA339" s="203">
        <v>500</v>
      </c>
      <c r="AB339" s="203">
        <v>200</v>
      </c>
      <c r="AC339" s="203">
        <v>550</v>
      </c>
      <c r="AD339" s="203">
        <v>100</v>
      </c>
      <c r="AE339" s="203">
        <v>0</v>
      </c>
      <c r="AF339" s="203">
        <f>SUM(AG339:AH339)</f>
        <v>400</v>
      </c>
      <c r="AG339" s="203">
        <v>300</v>
      </c>
      <c r="AH339" s="203">
        <v>100</v>
      </c>
      <c r="AI339" s="197">
        <f t="shared" si="117"/>
        <v>0</v>
      </c>
    </row>
    <row r="340" spans="1:35" s="198" customFormat="1" ht="26.1" customHeight="1">
      <c r="A340" s="190" t="s">
        <v>768</v>
      </c>
      <c r="B340" s="191" t="s">
        <v>274</v>
      </c>
      <c r="C340" s="201" t="s">
        <v>726</v>
      </c>
      <c r="D340" s="202" t="s">
        <v>493</v>
      </c>
      <c r="E340" s="203">
        <f>SUM(H340,P340,AF340)</f>
        <v>77300</v>
      </c>
      <c r="F340" s="203">
        <v>38300</v>
      </c>
      <c r="G340" s="203">
        <v>39000</v>
      </c>
      <c r="H340" s="204">
        <f>SUM(I340:O340)</f>
        <v>14070</v>
      </c>
      <c r="I340" s="203">
        <v>0</v>
      </c>
      <c r="J340" s="203">
        <v>0</v>
      </c>
      <c r="K340" s="203">
        <v>2110</v>
      </c>
      <c r="L340" s="203">
        <v>470</v>
      </c>
      <c r="M340" s="203">
        <v>6250</v>
      </c>
      <c r="N340" s="203">
        <v>5040</v>
      </c>
      <c r="O340" s="205">
        <v>200</v>
      </c>
      <c r="P340" s="205">
        <f>SUM(Q340:AE340)</f>
        <v>59230</v>
      </c>
      <c r="Q340" s="203">
        <v>6500</v>
      </c>
      <c r="R340" s="203">
        <v>2400</v>
      </c>
      <c r="S340" s="203">
        <v>1850</v>
      </c>
      <c r="T340" s="203">
        <v>4900</v>
      </c>
      <c r="U340" s="203">
        <v>0</v>
      </c>
      <c r="V340" s="203">
        <v>8210</v>
      </c>
      <c r="W340" s="203">
        <v>3690</v>
      </c>
      <c r="X340" s="203">
        <v>5765</v>
      </c>
      <c r="Y340" s="203">
        <v>5520</v>
      </c>
      <c r="Z340" s="203">
        <v>6405</v>
      </c>
      <c r="AA340" s="203">
        <v>3050</v>
      </c>
      <c r="AB340" s="203">
        <v>0</v>
      </c>
      <c r="AC340" s="203">
        <v>3445</v>
      </c>
      <c r="AD340" s="203">
        <v>4895</v>
      </c>
      <c r="AE340" s="203">
        <v>2600</v>
      </c>
      <c r="AF340" s="203">
        <f>SUM(AG340:AH340)</f>
        <v>4000</v>
      </c>
      <c r="AG340" s="203">
        <v>2000</v>
      </c>
      <c r="AH340" s="203">
        <v>2000</v>
      </c>
      <c r="AI340" s="197">
        <f t="shared" si="117"/>
        <v>0</v>
      </c>
    </row>
    <row r="341" spans="1:35" s="198" customFormat="1" ht="26.1" customHeight="1">
      <c r="A341" s="200" t="s">
        <v>769</v>
      </c>
      <c r="B341" s="191" t="s">
        <v>199</v>
      </c>
      <c r="C341" s="201" t="s">
        <v>200</v>
      </c>
      <c r="D341" s="202">
        <v>9</v>
      </c>
      <c r="E341" s="207">
        <f>SUM(H341,P341,AF341)</f>
        <v>35496</v>
      </c>
      <c r="F341" s="203"/>
      <c r="G341" s="203">
        <v>35496</v>
      </c>
      <c r="H341" s="204">
        <f>SUM(I341:O341)</f>
        <v>0</v>
      </c>
      <c r="I341" s="203"/>
      <c r="J341" s="203"/>
      <c r="K341" s="203"/>
      <c r="L341" s="203"/>
      <c r="M341" s="203"/>
      <c r="N341" s="203"/>
      <c r="O341" s="205"/>
      <c r="P341" s="205">
        <f>SUM(Q341:AE341)</f>
        <v>0</v>
      </c>
      <c r="Q341" s="203"/>
      <c r="R341" s="203"/>
      <c r="S341" s="203"/>
      <c r="T341" s="203"/>
      <c r="U341" s="203"/>
      <c r="V341" s="203"/>
      <c r="W341" s="203"/>
      <c r="X341" s="203"/>
      <c r="Y341" s="203"/>
      <c r="Z341" s="203"/>
      <c r="AA341" s="203"/>
      <c r="AB341" s="203"/>
      <c r="AC341" s="203"/>
      <c r="AD341" s="203"/>
      <c r="AE341" s="203"/>
      <c r="AF341" s="207">
        <f>SUM(AG341:AH341)</f>
        <v>35496</v>
      </c>
      <c r="AG341" s="203">
        <v>19950</v>
      </c>
      <c r="AH341" s="203">
        <v>15546</v>
      </c>
      <c r="AI341" s="197">
        <f t="shared" si="117"/>
        <v>0</v>
      </c>
    </row>
    <row r="342" spans="1:35" ht="14.25">
      <c r="A342" s="155" t="s">
        <v>770</v>
      </c>
      <c r="B342" s="156"/>
      <c r="C342" s="157"/>
      <c r="D342" s="157"/>
      <c r="E342" s="158"/>
      <c r="F342" s="158"/>
      <c r="G342" s="158"/>
      <c r="H342" s="158"/>
      <c r="I342" s="158"/>
      <c r="J342" s="158"/>
      <c r="K342" s="158"/>
      <c r="L342" s="158"/>
      <c r="M342" s="158"/>
      <c r="N342" s="158"/>
      <c r="O342" s="159"/>
      <c r="P342" s="160"/>
      <c r="Q342" s="158"/>
      <c r="R342" s="158"/>
      <c r="S342" s="158"/>
      <c r="T342" s="158"/>
      <c r="U342" s="158"/>
      <c r="V342" s="158"/>
      <c r="W342" s="158"/>
      <c r="X342" s="158"/>
      <c r="Y342" s="158"/>
      <c r="Z342" s="158"/>
      <c r="AA342" s="158"/>
      <c r="AB342" s="158"/>
      <c r="AC342" s="158"/>
      <c r="AD342" s="158"/>
      <c r="AE342" s="158"/>
      <c r="AF342" s="161"/>
      <c r="AG342" s="158"/>
      <c r="AH342" s="158"/>
    </row>
    <row r="344" spans="1:35" ht="15">
      <c r="D344" s="136">
        <v>1</v>
      </c>
      <c r="E344" s="195">
        <v>4039676</v>
      </c>
      <c r="F344" s="195">
        <v>1900171</v>
      </c>
      <c r="G344" s="195">
        <v>2139505</v>
      </c>
      <c r="H344" s="195">
        <v>894496</v>
      </c>
      <c r="I344" s="195">
        <v>62727</v>
      </c>
      <c r="J344" s="195">
        <v>153885</v>
      </c>
      <c r="K344" s="195">
        <v>145093</v>
      </c>
      <c r="L344" s="195">
        <v>158429</v>
      </c>
      <c r="M344" s="195">
        <v>111581</v>
      </c>
      <c r="N344" s="195">
        <v>206839</v>
      </c>
      <c r="O344" s="195">
        <v>55942</v>
      </c>
      <c r="P344" s="195">
        <v>3118554</v>
      </c>
      <c r="Q344" s="195">
        <v>188596</v>
      </c>
      <c r="R344" s="195">
        <v>239612</v>
      </c>
      <c r="S344" s="195">
        <v>232132</v>
      </c>
      <c r="T344" s="195">
        <v>75716</v>
      </c>
      <c r="U344" s="195">
        <v>269460</v>
      </c>
      <c r="V344" s="195">
        <v>61454</v>
      </c>
      <c r="W344" s="195">
        <v>205280</v>
      </c>
      <c r="X344" s="195">
        <v>628171</v>
      </c>
      <c r="Y344" s="195">
        <v>457166</v>
      </c>
      <c r="Z344" s="195">
        <v>346480</v>
      </c>
      <c r="AA344" s="195">
        <v>50040</v>
      </c>
      <c r="AB344" s="195">
        <v>42095</v>
      </c>
      <c r="AC344" s="195">
        <v>32455</v>
      </c>
      <c r="AD344" s="195">
        <v>22468</v>
      </c>
      <c r="AE344" s="195">
        <v>267429</v>
      </c>
      <c r="AF344" s="195">
        <v>26626</v>
      </c>
      <c r="AG344" s="195">
        <v>19168</v>
      </c>
      <c r="AH344" s="195">
        <v>7458</v>
      </c>
      <c r="AI344" s="197">
        <f>IF(+F344+G344=E344,0,FALSE)</f>
        <v>0</v>
      </c>
    </row>
    <row r="345" spans="1:35" ht="15">
      <c r="D345" s="136">
        <v>2</v>
      </c>
      <c r="E345" s="195"/>
      <c r="F345" s="195"/>
      <c r="G345" s="195"/>
      <c r="H345" s="195"/>
      <c r="I345" s="195"/>
      <c r="J345" s="195"/>
      <c r="K345" s="195"/>
      <c r="L345" s="195"/>
      <c r="M345" s="195"/>
      <c r="N345" s="195"/>
      <c r="O345" s="195"/>
      <c r="P345" s="195"/>
      <c r="Q345" s="195"/>
      <c r="R345" s="195"/>
      <c r="S345" s="195"/>
      <c r="T345" s="195"/>
      <c r="U345" s="195"/>
      <c r="V345" s="195"/>
      <c r="W345" s="195"/>
      <c r="X345" s="195"/>
      <c r="Y345" s="195"/>
      <c r="Z345" s="195"/>
      <c r="AA345" s="195"/>
      <c r="AB345" s="195"/>
      <c r="AC345" s="195"/>
      <c r="AD345" s="195"/>
      <c r="AE345" s="195"/>
      <c r="AF345" s="195"/>
      <c r="AG345" s="195"/>
      <c r="AH345" s="195"/>
      <c r="AI345" s="197"/>
    </row>
    <row r="346" spans="1:35" ht="15">
      <c r="D346" s="136">
        <v>3</v>
      </c>
      <c r="E346" s="195">
        <v>43420620.799999997</v>
      </c>
      <c r="F346" s="195">
        <v>33005599</v>
      </c>
      <c r="G346" s="195">
        <v>10415021.800000001</v>
      </c>
      <c r="H346" s="195">
        <v>25150200.800000001</v>
      </c>
      <c r="I346" s="195">
        <v>3544590.7</v>
      </c>
      <c r="J346" s="195">
        <v>6463629.7999999998</v>
      </c>
      <c r="K346" s="195">
        <v>2508151</v>
      </c>
      <c r="L346" s="195">
        <v>3727881.8</v>
      </c>
      <c r="M346" s="195">
        <v>2033264</v>
      </c>
      <c r="N346" s="195">
        <v>2962913.5</v>
      </c>
      <c r="O346" s="195">
        <v>3909770</v>
      </c>
      <c r="P346" s="195">
        <v>17756112</v>
      </c>
      <c r="Q346" s="195">
        <v>784314</v>
      </c>
      <c r="R346" s="195">
        <v>957083</v>
      </c>
      <c r="S346" s="195">
        <v>902287</v>
      </c>
      <c r="T346" s="195">
        <v>1453563</v>
      </c>
      <c r="U346" s="195">
        <v>868714</v>
      </c>
      <c r="V346" s="195">
        <v>1038775</v>
      </c>
      <c r="W346" s="195">
        <v>880917</v>
      </c>
      <c r="X346" s="195">
        <v>1322884</v>
      </c>
      <c r="Y346" s="195">
        <v>676953</v>
      </c>
      <c r="Z346" s="195">
        <v>753508</v>
      </c>
      <c r="AA346" s="195">
        <v>460222</v>
      </c>
      <c r="AB346" s="195">
        <v>633293</v>
      </c>
      <c r="AC346" s="195">
        <v>721733</v>
      </c>
      <c r="AD346" s="195">
        <v>554169</v>
      </c>
      <c r="AE346" s="195">
        <v>5747697</v>
      </c>
      <c r="AF346" s="195">
        <v>514308</v>
      </c>
      <c r="AG346" s="195">
        <v>290272</v>
      </c>
      <c r="AH346" s="195">
        <v>224036</v>
      </c>
      <c r="AI346" s="197">
        <f t="shared" ref="AI346:AI353" si="119">IF(+F346+G346=E346,0,FALSE)</f>
        <v>0</v>
      </c>
    </row>
    <row r="347" spans="1:35" ht="15">
      <c r="D347" s="136">
        <v>4</v>
      </c>
      <c r="E347" s="195">
        <v>43249693</v>
      </c>
      <c r="F347" s="195">
        <v>2678103</v>
      </c>
      <c r="G347" s="195">
        <v>40571590</v>
      </c>
      <c r="H347" s="195">
        <v>27668078</v>
      </c>
      <c r="I347" s="195">
        <v>3341938</v>
      </c>
      <c r="J347" s="195">
        <v>4426220</v>
      </c>
      <c r="K347" s="195">
        <v>780903</v>
      </c>
      <c r="L347" s="195">
        <v>9545672</v>
      </c>
      <c r="M347" s="195">
        <v>629220</v>
      </c>
      <c r="N347" s="195">
        <v>7357158</v>
      </c>
      <c r="O347" s="195">
        <v>1586967</v>
      </c>
      <c r="P347" s="195">
        <v>12273654</v>
      </c>
      <c r="Q347" s="195">
        <v>257482</v>
      </c>
      <c r="R347" s="195">
        <v>760405</v>
      </c>
      <c r="S347" s="195">
        <v>1100252</v>
      </c>
      <c r="T347" s="195">
        <v>1934271</v>
      </c>
      <c r="U347" s="195">
        <v>639563</v>
      </c>
      <c r="V347" s="195">
        <v>400296</v>
      </c>
      <c r="W347" s="195">
        <v>397759</v>
      </c>
      <c r="X347" s="195">
        <v>411474</v>
      </c>
      <c r="Y347" s="195">
        <v>220031</v>
      </c>
      <c r="Z347" s="195">
        <v>587554</v>
      </c>
      <c r="AA347" s="195">
        <v>534080</v>
      </c>
      <c r="AB347" s="195">
        <v>160123</v>
      </c>
      <c r="AC347" s="195">
        <v>176236</v>
      </c>
      <c r="AD347" s="195">
        <v>185231</v>
      </c>
      <c r="AE347" s="195">
        <v>4508897</v>
      </c>
      <c r="AF347" s="195">
        <v>3307961</v>
      </c>
      <c r="AG347" s="195">
        <v>2420109</v>
      </c>
      <c r="AH347" s="195">
        <v>887852</v>
      </c>
      <c r="AI347" s="197">
        <f t="shared" si="119"/>
        <v>0</v>
      </c>
    </row>
    <row r="348" spans="1:35" ht="15">
      <c r="D348" s="136">
        <v>5</v>
      </c>
      <c r="E348" s="195">
        <v>15743835</v>
      </c>
      <c r="F348" s="195">
        <v>15488817</v>
      </c>
      <c r="G348" s="195">
        <v>255018</v>
      </c>
      <c r="H348" s="195">
        <v>10418904</v>
      </c>
      <c r="I348" s="195">
        <v>2633801</v>
      </c>
      <c r="J348" s="195">
        <v>2123581</v>
      </c>
      <c r="K348" s="195">
        <v>901424</v>
      </c>
      <c r="L348" s="195">
        <v>1661168</v>
      </c>
      <c r="M348" s="195">
        <v>1181112</v>
      </c>
      <c r="N348" s="195">
        <v>1901759</v>
      </c>
      <c r="O348" s="195">
        <v>16059</v>
      </c>
      <c r="P348" s="195">
        <v>5183313</v>
      </c>
      <c r="Q348" s="195">
        <v>295828</v>
      </c>
      <c r="R348" s="195">
        <v>294341</v>
      </c>
      <c r="S348" s="195">
        <v>382976</v>
      </c>
      <c r="T348" s="195">
        <v>759375</v>
      </c>
      <c r="U348" s="195">
        <v>450004</v>
      </c>
      <c r="V348" s="195">
        <v>504747</v>
      </c>
      <c r="W348" s="195">
        <v>425337</v>
      </c>
      <c r="X348" s="195">
        <v>752499</v>
      </c>
      <c r="Y348" s="195">
        <v>289522</v>
      </c>
      <c r="Z348" s="195">
        <v>279978</v>
      </c>
      <c r="AA348" s="195">
        <v>144243</v>
      </c>
      <c r="AB348" s="195">
        <v>177708</v>
      </c>
      <c r="AC348" s="195">
        <v>208643</v>
      </c>
      <c r="AD348" s="195">
        <v>171090</v>
      </c>
      <c r="AE348" s="195">
        <v>47022</v>
      </c>
      <c r="AF348" s="195">
        <v>141618</v>
      </c>
      <c r="AG348" s="195">
        <v>105957</v>
      </c>
      <c r="AH348" s="195">
        <v>35661</v>
      </c>
      <c r="AI348" s="197">
        <f t="shared" si="119"/>
        <v>0</v>
      </c>
    </row>
    <row r="349" spans="1:35" ht="15">
      <c r="D349" s="136">
        <v>6</v>
      </c>
      <c r="E349" s="195">
        <v>13153823</v>
      </c>
      <c r="F349" s="195">
        <v>865623</v>
      </c>
      <c r="G349" s="195">
        <v>12288200</v>
      </c>
      <c r="H349" s="195">
        <v>7628150</v>
      </c>
      <c r="I349" s="195">
        <v>0</v>
      </c>
      <c r="J349" s="195">
        <v>2050148</v>
      </c>
      <c r="K349" s="195">
        <v>722920</v>
      </c>
      <c r="L349" s="195">
        <v>1438376</v>
      </c>
      <c r="M349" s="195">
        <v>1301920</v>
      </c>
      <c r="N349" s="195">
        <v>2114786</v>
      </c>
      <c r="O349" s="195">
        <v>0</v>
      </c>
      <c r="P349" s="195">
        <v>5261213</v>
      </c>
      <c r="Q349" s="195">
        <v>485903</v>
      </c>
      <c r="R349" s="195">
        <v>284277</v>
      </c>
      <c r="S349" s="195">
        <v>778123</v>
      </c>
      <c r="T349" s="195">
        <v>157265</v>
      </c>
      <c r="U349" s="195">
        <v>416675</v>
      </c>
      <c r="V349" s="195">
        <v>158031</v>
      </c>
      <c r="W349" s="195">
        <v>294751</v>
      </c>
      <c r="X349" s="195">
        <v>524773</v>
      </c>
      <c r="Y349" s="195">
        <v>254156</v>
      </c>
      <c r="Z349" s="195">
        <v>816840</v>
      </c>
      <c r="AA349" s="195">
        <v>130230</v>
      </c>
      <c r="AB349" s="195">
        <v>325630</v>
      </c>
      <c r="AC349" s="195">
        <v>441668</v>
      </c>
      <c r="AD349" s="195">
        <v>32613</v>
      </c>
      <c r="AE349" s="195">
        <v>160278</v>
      </c>
      <c r="AF349" s="195">
        <v>264460</v>
      </c>
      <c r="AG349" s="195">
        <v>203711</v>
      </c>
      <c r="AH349" s="195">
        <v>60749</v>
      </c>
      <c r="AI349" s="197">
        <f t="shared" si="119"/>
        <v>0</v>
      </c>
    </row>
    <row r="350" spans="1:35" ht="15">
      <c r="D350" s="136">
        <v>7</v>
      </c>
      <c r="E350" s="195"/>
      <c r="F350" s="195"/>
      <c r="G350" s="195"/>
      <c r="H350" s="195"/>
      <c r="I350" s="195"/>
      <c r="J350" s="195"/>
      <c r="K350" s="195"/>
      <c r="L350" s="195"/>
      <c r="M350" s="195"/>
      <c r="N350" s="195"/>
      <c r="O350" s="195"/>
      <c r="P350" s="195"/>
      <c r="Q350" s="195"/>
      <c r="R350" s="195"/>
      <c r="S350" s="195"/>
      <c r="T350" s="195"/>
      <c r="U350" s="195"/>
      <c r="V350" s="195"/>
      <c r="W350" s="195"/>
      <c r="X350" s="195"/>
      <c r="Y350" s="195"/>
      <c r="Z350" s="195"/>
      <c r="AA350" s="195"/>
      <c r="AB350" s="195"/>
      <c r="AC350" s="195"/>
      <c r="AD350" s="195"/>
      <c r="AE350" s="195"/>
      <c r="AF350" s="195"/>
      <c r="AG350" s="195"/>
      <c r="AH350" s="195"/>
      <c r="AI350" s="197">
        <f t="shared" si="119"/>
        <v>0</v>
      </c>
    </row>
    <row r="351" spans="1:35" ht="15">
      <c r="D351" s="136">
        <v>8</v>
      </c>
      <c r="E351" s="195"/>
      <c r="F351" s="195"/>
      <c r="G351" s="195"/>
      <c r="H351" s="195"/>
      <c r="I351" s="195"/>
      <c r="J351" s="195"/>
      <c r="K351" s="195"/>
      <c r="L351" s="195"/>
      <c r="M351" s="195"/>
      <c r="N351" s="195"/>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7">
        <f t="shared" si="119"/>
        <v>0</v>
      </c>
    </row>
    <row r="352" spans="1:35" ht="15">
      <c r="D352" s="136">
        <v>9</v>
      </c>
      <c r="E352" s="195">
        <v>14233358</v>
      </c>
      <c r="F352" s="195">
        <v>14197862</v>
      </c>
      <c r="G352" s="195">
        <v>35496</v>
      </c>
      <c r="H352" s="195">
        <v>10288743</v>
      </c>
      <c r="I352" s="195">
        <v>3650350</v>
      </c>
      <c r="J352" s="195">
        <v>1774471</v>
      </c>
      <c r="K352" s="195">
        <v>1161702</v>
      </c>
      <c r="L352" s="195">
        <v>1295091</v>
      </c>
      <c r="M352" s="195">
        <v>992439</v>
      </c>
      <c r="N352" s="195">
        <v>1414690</v>
      </c>
      <c r="O352" s="195">
        <v>0</v>
      </c>
      <c r="P352" s="195">
        <v>3810501</v>
      </c>
      <c r="Q352" s="195">
        <v>236998</v>
      </c>
      <c r="R352" s="195">
        <v>228255</v>
      </c>
      <c r="S352" s="195">
        <v>295840</v>
      </c>
      <c r="T352" s="195">
        <v>571597</v>
      </c>
      <c r="U352" s="195">
        <v>291896</v>
      </c>
      <c r="V352" s="195">
        <v>391498</v>
      </c>
      <c r="W352" s="195">
        <v>268881</v>
      </c>
      <c r="X352" s="195">
        <v>448406</v>
      </c>
      <c r="Y352" s="195">
        <v>193451</v>
      </c>
      <c r="Z352" s="195">
        <v>213826</v>
      </c>
      <c r="AA352" s="195">
        <v>104946</v>
      </c>
      <c r="AB352" s="195">
        <v>222402</v>
      </c>
      <c r="AC352" s="195">
        <v>212159</v>
      </c>
      <c r="AD352" s="195">
        <v>130346</v>
      </c>
      <c r="AE352" s="195">
        <v>0</v>
      </c>
      <c r="AF352" s="195">
        <v>134114</v>
      </c>
      <c r="AG352" s="195">
        <v>95118</v>
      </c>
      <c r="AH352" s="195">
        <v>38996</v>
      </c>
      <c r="AI352" s="197">
        <f t="shared" si="119"/>
        <v>0</v>
      </c>
    </row>
    <row r="353" spans="5:35" ht="15">
      <c r="E353" s="216">
        <f t="shared" ref="E353:AH353" si="120">SUBTOTAL(9,E344:E352)</f>
        <v>133841005.8</v>
      </c>
      <c r="F353" s="195">
        <f t="shared" si="120"/>
        <v>68136175</v>
      </c>
      <c r="G353" s="195">
        <f t="shared" si="120"/>
        <v>65704830.799999997</v>
      </c>
      <c r="H353" s="216">
        <f t="shared" si="120"/>
        <v>82048571.799999997</v>
      </c>
      <c r="I353" s="195">
        <f t="shared" si="120"/>
        <v>13233406.699999999</v>
      </c>
      <c r="J353" s="195">
        <f t="shared" si="120"/>
        <v>16991934.800000001</v>
      </c>
      <c r="K353" s="195">
        <f t="shared" si="120"/>
        <v>6220193</v>
      </c>
      <c r="L353" s="195">
        <f t="shared" si="120"/>
        <v>17826617.800000001</v>
      </c>
      <c r="M353" s="195">
        <f t="shared" si="120"/>
        <v>6249536</v>
      </c>
      <c r="N353" s="195">
        <f t="shared" si="120"/>
        <v>15958145.5</v>
      </c>
      <c r="O353" s="195">
        <f t="shared" si="120"/>
        <v>5568738</v>
      </c>
      <c r="P353" s="216">
        <f t="shared" si="120"/>
        <v>47403347</v>
      </c>
      <c r="Q353" s="195">
        <f t="shared" si="120"/>
        <v>2249121</v>
      </c>
      <c r="R353" s="195">
        <f t="shared" si="120"/>
        <v>2763973</v>
      </c>
      <c r="S353" s="195">
        <f t="shared" si="120"/>
        <v>3691610</v>
      </c>
      <c r="T353" s="195">
        <f t="shared" si="120"/>
        <v>4951787</v>
      </c>
      <c r="U353" s="195">
        <f t="shared" si="120"/>
        <v>2936312</v>
      </c>
      <c r="V353" s="195">
        <f t="shared" si="120"/>
        <v>2554801</v>
      </c>
      <c r="W353" s="195">
        <f t="shared" si="120"/>
        <v>2472925</v>
      </c>
      <c r="X353" s="195">
        <f t="shared" si="120"/>
        <v>4088207</v>
      </c>
      <c r="Y353" s="195">
        <f t="shared" si="120"/>
        <v>2091279</v>
      </c>
      <c r="Z353" s="195">
        <f t="shared" si="120"/>
        <v>2998186</v>
      </c>
      <c r="AA353" s="195">
        <f t="shared" si="120"/>
        <v>1423761</v>
      </c>
      <c r="AB353" s="195">
        <f t="shared" si="120"/>
        <v>1561251</v>
      </c>
      <c r="AC353" s="195">
        <f t="shared" si="120"/>
        <v>1792894</v>
      </c>
      <c r="AD353" s="195">
        <f t="shared" si="120"/>
        <v>1095917</v>
      </c>
      <c r="AE353" s="195">
        <f t="shared" si="120"/>
        <v>10731323</v>
      </c>
      <c r="AF353" s="216">
        <f t="shared" si="120"/>
        <v>4389087</v>
      </c>
      <c r="AG353" s="195">
        <f t="shared" si="120"/>
        <v>3134335</v>
      </c>
      <c r="AH353" s="195">
        <f t="shared" si="120"/>
        <v>1254752</v>
      </c>
      <c r="AI353" s="197">
        <f t="shared" si="119"/>
        <v>0</v>
      </c>
    </row>
    <row r="354" spans="5:35">
      <c r="E354" s="195"/>
      <c r="F354" s="195"/>
      <c r="G354" s="195"/>
      <c r="H354" s="195"/>
      <c r="I354" s="195"/>
      <c r="J354" s="195"/>
      <c r="K354" s="195"/>
      <c r="L354" s="195"/>
      <c r="M354" s="195"/>
      <c r="N354" s="195"/>
      <c r="O354" s="195"/>
      <c r="P354" s="195"/>
      <c r="Q354" s="195"/>
      <c r="R354" s="195"/>
      <c r="S354" s="195"/>
      <c r="T354" s="195"/>
      <c r="U354" s="195"/>
      <c r="V354" s="195"/>
      <c r="W354" s="195"/>
      <c r="X354" s="195"/>
      <c r="Y354" s="195"/>
      <c r="Z354" s="195"/>
      <c r="AA354" s="195"/>
      <c r="AB354" s="195"/>
      <c r="AC354" s="195"/>
      <c r="AD354" s="195"/>
      <c r="AE354" s="195"/>
      <c r="AF354" s="195"/>
      <c r="AG354" s="195"/>
      <c r="AH354" s="195"/>
    </row>
    <row r="355" spans="5:35">
      <c r="E355" s="195"/>
      <c r="F355" s="195"/>
      <c r="G355" s="195"/>
      <c r="H355" s="195"/>
      <c r="I355" s="195"/>
      <c r="J355" s="195"/>
      <c r="K355" s="195"/>
      <c r="L355" s="195"/>
      <c r="M355" s="195"/>
      <c r="N355" s="195"/>
      <c r="O355" s="195"/>
      <c r="P355" s="195"/>
      <c r="Q355" s="195"/>
      <c r="R355" s="195"/>
      <c r="S355" s="195"/>
      <c r="T355" s="195"/>
      <c r="U355" s="195"/>
      <c r="V355" s="195"/>
      <c r="W355" s="195"/>
      <c r="X355" s="195"/>
      <c r="Y355" s="195"/>
      <c r="Z355" s="195"/>
      <c r="AA355" s="195"/>
      <c r="AB355" s="195"/>
      <c r="AC355" s="195"/>
      <c r="AD355" s="195"/>
      <c r="AE355" s="195"/>
      <c r="AF355" s="195"/>
      <c r="AG355" s="195"/>
      <c r="AH355" s="195"/>
    </row>
    <row r="356" spans="5:35">
      <c r="E356" s="195"/>
      <c r="F356" s="195"/>
      <c r="G356" s="195"/>
      <c r="H356" s="195"/>
      <c r="I356" s="195"/>
      <c r="J356" s="195"/>
      <c r="K356" s="195"/>
      <c r="L356" s="195"/>
      <c r="M356" s="195"/>
      <c r="N356" s="195"/>
      <c r="O356" s="195"/>
      <c r="P356" s="195"/>
      <c r="Q356" s="195"/>
      <c r="R356" s="195"/>
      <c r="S356" s="195"/>
      <c r="T356" s="195"/>
      <c r="U356" s="195"/>
      <c r="V356" s="195"/>
      <c r="W356" s="195"/>
      <c r="X356" s="195"/>
      <c r="Y356" s="195"/>
      <c r="Z356" s="195"/>
      <c r="AA356" s="195"/>
      <c r="AB356" s="195"/>
      <c r="AC356" s="195"/>
      <c r="AD356" s="195"/>
      <c r="AE356" s="195"/>
      <c r="AF356" s="195"/>
      <c r="AG356" s="195"/>
      <c r="AH356" s="195"/>
    </row>
  </sheetData>
  <autoFilter ref="A1:AI342" xr:uid="{00000000-0009-0000-0000-000025000000}"/>
  <mergeCells count="7">
    <mergeCell ref="P3:R3"/>
    <mergeCell ref="H3:O3"/>
    <mergeCell ref="AF3:AH3"/>
    <mergeCell ref="A3:A4"/>
    <mergeCell ref="B3:B4"/>
    <mergeCell ref="C3:C4"/>
    <mergeCell ref="D3:D4"/>
  </mergeCells>
  <phoneticPr fontId="19" type="noConversion"/>
  <pageMargins left="0.39370078740157483" right="0.39370078740157483" top="0.43307086614173229" bottom="0.6692913385826772" header="0.19685039370078741" footer="0.43307086614173229"/>
  <pageSetup paperSize="9" scale="70" orientation="landscape" r:id="rId1"/>
  <headerFooter alignWithMargins="0">
    <oddFooter>&amp;L說明：政事別欄位請填列代號：1.一般政務支出，2.國防支出，3.教育科學文化支出，4.經濟發展支出，5.社會福利支出，6.社區發展及環境保護支出，7.退休撫卹支出，8.債務支出，9.一般補助及其他支出。&amp;C&amp;8&amp;N--&amp;P&amp;R&amp;"Times New Roman,標準"&amp;8&amp;F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10">
    <tabColor indexed="22"/>
  </sheetPr>
  <dimension ref="A1:AI13"/>
  <sheetViews>
    <sheetView view="pageBreakPreview" zoomScale="75" zoomScaleNormal="75" zoomScaleSheetLayoutView="75" workbookViewId="0">
      <pane xSplit="3" ySplit="5" topLeftCell="D6" activePane="bottomRight" state="frozen"/>
      <selection activeCell="I132" sqref="I132"/>
      <selection pane="topRight" activeCell="I132" sqref="I132"/>
      <selection pane="bottomLeft" activeCell="I132" sqref="I132"/>
      <selection pane="bottomRight" activeCell="I132" sqref="I132"/>
    </sheetView>
  </sheetViews>
  <sheetFormatPr defaultColWidth="13.5" defaultRowHeight="12.75"/>
  <cols>
    <col min="1" max="1" width="11.625" style="73" customWidth="1"/>
    <col min="2" max="2" width="14.125" style="73" customWidth="1"/>
    <col min="3" max="3" width="32.875" style="73" customWidth="1"/>
    <col min="4" max="4" width="6.5" style="74" customWidth="1"/>
    <col min="5" max="5" width="11.875" style="73" customWidth="1"/>
    <col min="6" max="6" width="10.5" style="73" customWidth="1"/>
    <col min="7" max="8" width="9.875" style="73" customWidth="1"/>
    <col min="9" max="9" width="9" style="73" customWidth="1"/>
    <col min="10" max="10" width="9.125" style="73" customWidth="1"/>
    <col min="11" max="11" width="8.625" style="73" customWidth="1"/>
    <col min="12" max="12" width="9.5" style="73" customWidth="1"/>
    <col min="13" max="13" width="8.625" style="73" customWidth="1"/>
    <col min="14" max="15" width="9.125" style="73" customWidth="1"/>
    <col min="16" max="16" width="11" style="73" customWidth="1"/>
    <col min="17" max="17" width="9" style="73" customWidth="1"/>
    <col min="18" max="18" width="9.5" style="73" customWidth="1"/>
    <col min="19" max="19" width="9.125" style="73" customWidth="1"/>
    <col min="20" max="20" width="8.625" style="73" customWidth="1"/>
    <col min="21" max="21" width="9.125" style="73" customWidth="1"/>
    <col min="22" max="22" width="8.625" style="96" customWidth="1"/>
    <col min="23" max="23" width="8.875" style="78" customWidth="1"/>
    <col min="24" max="24" width="8.875" style="73" customWidth="1"/>
    <col min="25" max="25" width="9" style="73" customWidth="1"/>
    <col min="26" max="26" width="8.875" style="73" customWidth="1"/>
    <col min="27" max="27" width="7.125" style="73" customWidth="1"/>
    <col min="28" max="28" width="9.5" style="73" customWidth="1"/>
    <col min="29" max="29" width="7.625" style="73" customWidth="1"/>
    <col min="30" max="30" width="9.125" style="73" customWidth="1"/>
    <col min="31" max="31" width="9.625" style="73" customWidth="1"/>
    <col min="32" max="32" width="9.125" style="73" customWidth="1"/>
    <col min="33" max="33" width="8.125" style="73" customWidth="1"/>
    <col min="34" max="34" width="8" style="73" customWidth="1"/>
    <col min="35" max="35" width="10.25" style="73" bestFit="1" customWidth="1"/>
    <col min="36" max="16384" width="13.5" style="73"/>
  </cols>
  <sheetData>
    <row r="1" spans="1:35" s="67" customFormat="1" ht="42.6" customHeight="1">
      <c r="A1" s="69"/>
      <c r="B1" s="68"/>
      <c r="C1" s="69"/>
      <c r="D1" s="69"/>
      <c r="E1" s="69" t="s">
        <v>501</v>
      </c>
      <c r="I1" s="68"/>
      <c r="J1" s="68"/>
      <c r="K1" s="68"/>
      <c r="L1" s="68"/>
      <c r="M1" s="68"/>
      <c r="N1" s="68"/>
      <c r="O1" s="68"/>
      <c r="R1" s="68"/>
      <c r="S1" s="69" t="s">
        <v>501</v>
      </c>
      <c r="T1" s="69"/>
      <c r="U1" s="68"/>
      <c r="V1" s="70"/>
      <c r="W1" s="71"/>
      <c r="AA1" s="68"/>
      <c r="AC1" s="68"/>
      <c r="AD1" s="68"/>
      <c r="AE1" s="68"/>
      <c r="AF1" s="68"/>
      <c r="AG1" s="68"/>
      <c r="AH1" s="68"/>
    </row>
    <row r="2" spans="1:35" ht="29.1" customHeight="1">
      <c r="A2" s="72"/>
      <c r="R2" s="75" t="s">
        <v>157</v>
      </c>
      <c r="U2" s="76"/>
      <c r="V2" s="77"/>
      <c r="AH2" s="75" t="s">
        <v>157</v>
      </c>
    </row>
    <row r="3" spans="1:35" s="74" customFormat="1" ht="35.1" customHeight="1">
      <c r="A3" s="1092" t="s">
        <v>158</v>
      </c>
      <c r="B3" s="1094" t="s">
        <v>159</v>
      </c>
      <c r="C3" s="1092" t="s">
        <v>160</v>
      </c>
      <c r="D3" s="1096" t="s">
        <v>161</v>
      </c>
      <c r="E3" s="80" t="s">
        <v>162</v>
      </c>
      <c r="F3" s="81"/>
      <c r="G3" s="82"/>
      <c r="H3" s="1003" t="s">
        <v>163</v>
      </c>
      <c r="I3" s="1004"/>
      <c r="J3" s="1004"/>
      <c r="K3" s="1004"/>
      <c r="L3" s="1004"/>
      <c r="M3" s="1004"/>
      <c r="N3" s="1004"/>
      <c r="O3" s="1005"/>
      <c r="P3" s="1003" t="s">
        <v>164</v>
      </c>
      <c r="Q3" s="1004"/>
      <c r="R3" s="1005"/>
      <c r="S3" s="83" t="s">
        <v>164</v>
      </c>
      <c r="T3" s="81"/>
      <c r="U3" s="81"/>
      <c r="V3" s="81"/>
      <c r="W3" s="81"/>
      <c r="X3" s="83"/>
      <c r="Y3" s="81"/>
      <c r="Z3" s="81"/>
      <c r="AA3" s="81"/>
      <c r="AB3" s="81"/>
      <c r="AC3" s="81"/>
      <c r="AD3" s="81"/>
      <c r="AE3" s="81"/>
      <c r="AF3" s="1003" t="s">
        <v>165</v>
      </c>
      <c r="AG3" s="1004"/>
      <c r="AH3" s="1005"/>
      <c r="AI3" s="74" t="s">
        <v>378</v>
      </c>
    </row>
    <row r="4" spans="1:35" s="74" customFormat="1" ht="35.1" customHeight="1">
      <c r="A4" s="1093"/>
      <c r="B4" s="1095"/>
      <c r="C4" s="1093"/>
      <c r="D4" s="1097"/>
      <c r="E4" s="85"/>
      <c r="F4" s="86" t="s">
        <v>166</v>
      </c>
      <c r="G4" s="86" t="s">
        <v>167</v>
      </c>
      <c r="H4" s="87"/>
      <c r="I4" s="79" t="s">
        <v>168</v>
      </c>
      <c r="J4" s="79" t="s">
        <v>169</v>
      </c>
      <c r="K4" s="79" t="s">
        <v>491</v>
      </c>
      <c r="L4" s="79" t="s">
        <v>170</v>
      </c>
      <c r="M4" s="79" t="s">
        <v>171</v>
      </c>
      <c r="N4" s="79" t="s">
        <v>172</v>
      </c>
      <c r="O4" s="86" t="s">
        <v>173</v>
      </c>
      <c r="P4" s="85"/>
      <c r="Q4" s="79" t="s">
        <v>55</v>
      </c>
      <c r="R4" s="79" t="s">
        <v>56</v>
      </c>
      <c r="S4" s="88" t="s">
        <v>57</v>
      </c>
      <c r="T4" s="88" t="s">
        <v>58</v>
      </c>
      <c r="U4" s="88" t="s">
        <v>59</v>
      </c>
      <c r="V4" s="88" t="s">
        <v>60</v>
      </c>
      <c r="W4" s="88" t="s">
        <v>61</v>
      </c>
      <c r="X4" s="88" t="s">
        <v>62</v>
      </c>
      <c r="Y4" s="88" t="s">
        <v>63</v>
      </c>
      <c r="Z4" s="88" t="s">
        <v>64</v>
      </c>
      <c r="AA4" s="88" t="s">
        <v>65</v>
      </c>
      <c r="AB4" s="88" t="s">
        <v>66</v>
      </c>
      <c r="AC4" s="88" t="s">
        <v>67</v>
      </c>
      <c r="AD4" s="88" t="s">
        <v>68</v>
      </c>
      <c r="AE4" s="87" t="s">
        <v>173</v>
      </c>
      <c r="AF4" s="89"/>
      <c r="AG4" s="79" t="s">
        <v>175</v>
      </c>
      <c r="AH4" s="79" t="s">
        <v>176</v>
      </c>
    </row>
    <row r="5" spans="1:35" s="95" customFormat="1" ht="26.1" customHeight="1">
      <c r="A5" s="90" t="s">
        <v>177</v>
      </c>
      <c r="B5" s="91"/>
      <c r="C5" s="92"/>
      <c r="D5" s="84"/>
      <c r="E5" s="115">
        <f t="shared" ref="E5:AH5" si="0">SUM(E6:E10)</f>
        <v>4492000</v>
      </c>
      <c r="F5" s="93">
        <f t="shared" si="0"/>
        <v>70000</v>
      </c>
      <c r="G5" s="93">
        <f t="shared" si="0"/>
        <v>4422000</v>
      </c>
      <c r="H5" s="115">
        <f t="shared" si="0"/>
        <v>1476729</v>
      </c>
      <c r="I5" s="93">
        <f t="shared" si="0"/>
        <v>0</v>
      </c>
      <c r="J5" s="93">
        <f t="shared" si="0"/>
        <v>50000</v>
      </c>
      <c r="K5" s="93">
        <f t="shared" si="0"/>
        <v>61161</v>
      </c>
      <c r="L5" s="93">
        <f t="shared" si="0"/>
        <v>72392</v>
      </c>
      <c r="M5" s="93">
        <f t="shared" si="0"/>
        <v>83392</v>
      </c>
      <c r="N5" s="93">
        <f t="shared" si="0"/>
        <v>114784</v>
      </c>
      <c r="O5" s="93">
        <f t="shared" si="0"/>
        <v>1095000</v>
      </c>
      <c r="P5" s="115">
        <f t="shared" si="0"/>
        <v>3001171</v>
      </c>
      <c r="Q5" s="93">
        <f t="shared" si="0"/>
        <v>137439</v>
      </c>
      <c r="R5" s="93">
        <f t="shared" si="0"/>
        <v>139392</v>
      </c>
      <c r="S5" s="93">
        <f t="shared" si="0"/>
        <v>39392</v>
      </c>
      <c r="T5" s="93">
        <f t="shared" si="0"/>
        <v>137520</v>
      </c>
      <c r="U5" s="93">
        <f t="shared" si="0"/>
        <v>70992</v>
      </c>
      <c r="V5" s="93">
        <f t="shared" si="0"/>
        <v>63461</v>
      </c>
      <c r="W5" s="93">
        <f t="shared" si="0"/>
        <v>91079</v>
      </c>
      <c r="X5" s="93">
        <f t="shared" si="0"/>
        <v>64225</v>
      </c>
      <c r="Y5" s="93">
        <f t="shared" si="0"/>
        <v>6192</v>
      </c>
      <c r="Z5" s="93">
        <f t="shared" si="0"/>
        <v>5192</v>
      </c>
      <c r="AA5" s="93">
        <f t="shared" si="0"/>
        <v>0</v>
      </c>
      <c r="AB5" s="93">
        <f t="shared" si="0"/>
        <v>40000</v>
      </c>
      <c r="AC5" s="93">
        <f t="shared" si="0"/>
        <v>37000</v>
      </c>
      <c r="AD5" s="93">
        <f t="shared" si="0"/>
        <v>3120</v>
      </c>
      <c r="AE5" s="93">
        <f t="shared" si="0"/>
        <v>2166167</v>
      </c>
      <c r="AF5" s="115">
        <f t="shared" si="0"/>
        <v>14100</v>
      </c>
      <c r="AG5" s="93">
        <f t="shared" si="0"/>
        <v>11300</v>
      </c>
      <c r="AH5" s="93">
        <f t="shared" si="0"/>
        <v>2800</v>
      </c>
      <c r="AI5" s="94">
        <f t="shared" ref="AI5:AI10" si="1">E5-H5-P5-AF5</f>
        <v>0</v>
      </c>
    </row>
    <row r="6" spans="1:35" s="95" customFormat="1" ht="26.1" customHeight="1">
      <c r="A6" s="64" t="s">
        <v>381</v>
      </c>
      <c r="B6" s="99" t="s">
        <v>507</v>
      </c>
      <c r="C6" s="100" t="s">
        <v>115</v>
      </c>
      <c r="D6" s="101">
        <v>6</v>
      </c>
      <c r="E6" s="117">
        <f>SUM(F6:G6)</f>
        <v>1288000</v>
      </c>
      <c r="F6" s="102"/>
      <c r="G6" s="102">
        <v>1288000</v>
      </c>
      <c r="H6" s="106">
        <f>SUM(I6:O6)</f>
        <v>335000</v>
      </c>
      <c r="I6" s="102">
        <v>0</v>
      </c>
      <c r="J6" s="102">
        <v>50000</v>
      </c>
      <c r="K6" s="102">
        <v>55000</v>
      </c>
      <c r="L6" s="102">
        <v>70000</v>
      </c>
      <c r="M6" s="102">
        <v>70000</v>
      </c>
      <c r="N6" s="102">
        <v>90000</v>
      </c>
      <c r="O6" s="103">
        <v>0</v>
      </c>
      <c r="P6" s="116">
        <f>SUM(Q6:AE6)</f>
        <v>944900</v>
      </c>
      <c r="Q6" s="102">
        <v>118460</v>
      </c>
      <c r="R6" s="102">
        <v>137000</v>
      </c>
      <c r="S6" s="102">
        <v>37000</v>
      </c>
      <c r="T6" s="102">
        <v>103020</v>
      </c>
      <c r="U6" s="102">
        <v>68600</v>
      </c>
      <c r="V6" s="102">
        <v>34400</v>
      </c>
      <c r="W6" s="102">
        <v>71700</v>
      </c>
      <c r="X6" s="102">
        <v>42833</v>
      </c>
      <c r="Y6" s="102">
        <v>3800</v>
      </c>
      <c r="Z6" s="102">
        <v>2800</v>
      </c>
      <c r="AA6" s="102">
        <v>0</v>
      </c>
      <c r="AB6" s="102">
        <v>40000</v>
      </c>
      <c r="AC6" s="102">
        <v>37000</v>
      </c>
      <c r="AD6" s="102">
        <v>3120</v>
      </c>
      <c r="AE6" s="102">
        <v>245167</v>
      </c>
      <c r="AF6" s="117">
        <f>SUM(AG6:AH6)</f>
        <v>8100</v>
      </c>
      <c r="AG6" s="102">
        <v>5300</v>
      </c>
      <c r="AH6" s="102">
        <v>2800</v>
      </c>
      <c r="AI6" s="94">
        <f t="shared" si="1"/>
        <v>0</v>
      </c>
    </row>
    <row r="7" spans="1:35" s="105" customFormat="1" ht="26.1" customHeight="1">
      <c r="A7" s="64" t="s">
        <v>499</v>
      </c>
      <c r="B7" s="99" t="s">
        <v>202</v>
      </c>
      <c r="C7" s="100" t="s">
        <v>500</v>
      </c>
      <c r="D7" s="101">
        <v>4</v>
      </c>
      <c r="E7" s="106">
        <f>SUM(F7:G7)</f>
        <v>3022000</v>
      </c>
      <c r="F7" s="102">
        <v>6000</v>
      </c>
      <c r="G7" s="208">
        <v>3016000</v>
      </c>
      <c r="H7" s="106">
        <f>SUM(I7:O7)</f>
        <v>1095000</v>
      </c>
      <c r="I7" s="102"/>
      <c r="J7" s="102"/>
      <c r="K7" s="102"/>
      <c r="L7" s="102"/>
      <c r="M7" s="102"/>
      <c r="N7" s="102"/>
      <c r="O7" s="103">
        <v>1095000</v>
      </c>
      <c r="P7" s="116">
        <f>SUM(Q7:AE7)</f>
        <v>1921000</v>
      </c>
      <c r="Q7" s="102"/>
      <c r="R7" s="102"/>
      <c r="S7" s="102"/>
      <c r="T7" s="102"/>
      <c r="U7" s="102"/>
      <c r="V7" s="102"/>
      <c r="W7" s="102"/>
      <c r="X7" s="102"/>
      <c r="Y7" s="102"/>
      <c r="Z7" s="102"/>
      <c r="AA7" s="102"/>
      <c r="AB7" s="102"/>
      <c r="AC7" s="102"/>
      <c r="AD7" s="102"/>
      <c r="AE7" s="102">
        <v>1921000</v>
      </c>
      <c r="AF7" s="117">
        <f>SUM(AG7:AH7)</f>
        <v>6000</v>
      </c>
      <c r="AG7" s="102">
        <v>6000</v>
      </c>
      <c r="AH7" s="102"/>
      <c r="AI7" s="94">
        <f t="shared" si="1"/>
        <v>0</v>
      </c>
    </row>
    <row r="8" spans="1:35" s="105" customFormat="1" ht="26.1" customHeight="1">
      <c r="A8" s="109" t="s">
        <v>472</v>
      </c>
      <c r="B8" s="109" t="s">
        <v>472</v>
      </c>
      <c r="C8" s="100" t="s">
        <v>509</v>
      </c>
      <c r="D8" s="101">
        <v>4</v>
      </c>
      <c r="E8" s="106">
        <f>SUM(F8:G8)</f>
        <v>20000</v>
      </c>
      <c r="F8" s="102">
        <v>20000</v>
      </c>
      <c r="G8" s="208"/>
      <c r="H8" s="106">
        <f>SUM(I8:O8)</f>
        <v>0</v>
      </c>
      <c r="I8" s="102"/>
      <c r="J8" s="102"/>
      <c r="K8" s="102"/>
      <c r="L8" s="102"/>
      <c r="M8" s="102"/>
      <c r="N8" s="102"/>
      <c r="O8" s="103"/>
      <c r="P8" s="116">
        <f>SUM(Q8:AE8)</f>
        <v>20000</v>
      </c>
      <c r="Q8" s="102"/>
      <c r="R8" s="102"/>
      <c r="S8" s="102"/>
      <c r="T8" s="102">
        <v>15500</v>
      </c>
      <c r="U8" s="102"/>
      <c r="V8" s="102">
        <v>4500</v>
      </c>
      <c r="W8" s="102"/>
      <c r="X8" s="102"/>
      <c r="Y8" s="102"/>
      <c r="Z8" s="102"/>
      <c r="AA8" s="102"/>
      <c r="AB8" s="102"/>
      <c r="AC8" s="102"/>
      <c r="AD8" s="102"/>
      <c r="AE8" s="102"/>
      <c r="AF8" s="117">
        <f>SUM(AG8:AH8)</f>
        <v>0</v>
      </c>
      <c r="AG8" s="102"/>
      <c r="AH8" s="102"/>
      <c r="AI8" s="94">
        <f t="shared" si="1"/>
        <v>0</v>
      </c>
    </row>
    <row r="9" spans="1:35" s="105" customFormat="1" ht="26.1" customHeight="1">
      <c r="A9" s="109" t="s">
        <v>472</v>
      </c>
      <c r="B9" s="109" t="s">
        <v>407</v>
      </c>
      <c r="C9" s="100" t="s">
        <v>510</v>
      </c>
      <c r="D9" s="101">
        <v>4</v>
      </c>
      <c r="E9" s="106">
        <f>SUM(F9:G9)</f>
        <v>98000</v>
      </c>
      <c r="F9" s="102">
        <v>30000</v>
      </c>
      <c r="G9" s="208">
        <v>68000</v>
      </c>
      <c r="H9" s="106">
        <f>SUM(I9:O9)</f>
        <v>31000</v>
      </c>
      <c r="I9" s="102"/>
      <c r="J9" s="102"/>
      <c r="K9" s="102"/>
      <c r="L9" s="102"/>
      <c r="M9" s="102">
        <v>11000</v>
      </c>
      <c r="N9" s="102">
        <v>20000</v>
      </c>
      <c r="O9" s="103"/>
      <c r="P9" s="116">
        <f>SUM(Q9:AE9)</f>
        <v>67000</v>
      </c>
      <c r="Q9" s="102">
        <v>13000</v>
      </c>
      <c r="R9" s="102"/>
      <c r="S9" s="102"/>
      <c r="T9" s="102">
        <v>9000</v>
      </c>
      <c r="U9" s="102"/>
      <c r="V9" s="102">
        <v>13000</v>
      </c>
      <c r="W9" s="102">
        <v>13000</v>
      </c>
      <c r="X9" s="102">
        <v>19000</v>
      </c>
      <c r="Y9" s="102"/>
      <c r="Z9" s="102"/>
      <c r="AA9" s="102"/>
      <c r="AB9" s="102"/>
      <c r="AC9" s="102"/>
      <c r="AD9" s="102"/>
      <c r="AE9" s="102"/>
      <c r="AF9" s="117">
        <f>SUM(AG9:AH9)</f>
        <v>0</v>
      </c>
      <c r="AG9" s="102"/>
      <c r="AH9" s="102"/>
      <c r="AI9" s="94">
        <f t="shared" si="1"/>
        <v>0</v>
      </c>
    </row>
    <row r="10" spans="1:35" s="105" customFormat="1" ht="26.1" customHeight="1">
      <c r="A10" s="109" t="s">
        <v>472</v>
      </c>
      <c r="B10" s="109" t="s">
        <v>9</v>
      </c>
      <c r="C10" s="109" t="s">
        <v>511</v>
      </c>
      <c r="D10" s="110">
        <v>4</v>
      </c>
      <c r="E10" s="106">
        <f>SUM(F10:G10)</f>
        <v>64000</v>
      </c>
      <c r="F10" s="102">
        <v>14000</v>
      </c>
      <c r="G10" s="102">
        <v>50000</v>
      </c>
      <c r="H10" s="106">
        <f>SUM(I10:O10)</f>
        <v>15729</v>
      </c>
      <c r="I10" s="102"/>
      <c r="J10" s="102"/>
      <c r="K10" s="102">
        <v>6161</v>
      </c>
      <c r="L10" s="102">
        <v>2392</v>
      </c>
      <c r="M10" s="102">
        <v>2392</v>
      </c>
      <c r="N10" s="102">
        <v>4784</v>
      </c>
      <c r="O10" s="102"/>
      <c r="P10" s="116">
        <f>SUM(Q10:AE10)</f>
        <v>48271</v>
      </c>
      <c r="Q10" s="102">
        <v>5979</v>
      </c>
      <c r="R10" s="102">
        <v>2392</v>
      </c>
      <c r="S10" s="102">
        <v>2392</v>
      </c>
      <c r="T10" s="102">
        <v>10000</v>
      </c>
      <c r="U10" s="102">
        <v>2392</v>
      </c>
      <c r="V10" s="102">
        <v>11561</v>
      </c>
      <c r="W10" s="102">
        <v>6379</v>
      </c>
      <c r="X10" s="102">
        <v>2392</v>
      </c>
      <c r="Y10" s="102">
        <v>2392</v>
      </c>
      <c r="Z10" s="102">
        <v>2392</v>
      </c>
      <c r="AA10" s="102"/>
      <c r="AB10" s="102"/>
      <c r="AC10" s="102"/>
      <c r="AD10" s="102"/>
      <c r="AE10" s="111"/>
      <c r="AF10" s="117">
        <f>SUM(AG10:AH10)</f>
        <v>0</v>
      </c>
      <c r="AG10" s="102"/>
      <c r="AH10" s="102"/>
      <c r="AI10" s="94">
        <f t="shared" si="1"/>
        <v>0</v>
      </c>
    </row>
    <row r="11" spans="1:35" ht="14.25">
      <c r="A11" s="155" t="s">
        <v>490</v>
      </c>
    </row>
    <row r="13" spans="1:35">
      <c r="E13" s="209"/>
    </row>
  </sheetData>
  <mergeCells count="7">
    <mergeCell ref="P3:R3"/>
    <mergeCell ref="H3:O3"/>
    <mergeCell ref="AF3:AH3"/>
    <mergeCell ref="A3:A4"/>
    <mergeCell ref="B3:B4"/>
    <mergeCell ref="C3:C4"/>
    <mergeCell ref="D3:D4"/>
  </mergeCells>
  <phoneticPr fontId="19" type="noConversion"/>
  <printOptions horizontalCentered="1"/>
  <pageMargins left="0.39370078740157483" right="0.39370078740157483" top="0.43307086614173229" bottom="0.6692913385826772" header="0.19685039370078741" footer="0.23622047244094491"/>
  <pageSetup paperSize="9" scale="65" orientation="landscape" r:id="rId1"/>
  <headerFooter alignWithMargins="0">
    <oddFooter>&amp;C&amp;8&amp;N--&amp;P&amp;R&amp;"Times New Roman,標準"&amp;8&amp;F</oddFooter>
  </headerFooter>
  <colBreaks count="1" manualBreakCount="1">
    <brk id="18" max="7" man="1"/>
  </colBreaks>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22"/>
  </sheetPr>
  <dimension ref="A1:Q28"/>
  <sheetViews>
    <sheetView zoomScale="85" zoomScaleNormal="100" workbookViewId="0">
      <pane xSplit="2" ySplit="5" topLeftCell="C9"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8.75" style="58" customWidth="1"/>
    <col min="2" max="2" width="13.25" style="58" customWidth="1"/>
    <col min="3" max="3" width="12.5" style="60" customWidth="1"/>
    <col min="4" max="4" width="7" style="60" customWidth="1"/>
    <col min="5" max="5" width="12.5" style="60" customWidth="1"/>
    <col min="6" max="6" width="7" style="58" customWidth="1"/>
    <col min="7" max="7" width="12.5" style="58" customWidth="1"/>
    <col min="8" max="8" width="7" style="58" customWidth="1"/>
    <col min="9" max="9" width="11.5" style="58" customWidth="1"/>
    <col min="10" max="10" width="7" style="58" customWidth="1"/>
    <col min="11" max="16384" width="9.75" style="58"/>
  </cols>
  <sheetData>
    <row r="1" spans="1:14" ht="34.9" customHeight="1">
      <c r="A1" s="14" t="s">
        <v>1128</v>
      </c>
      <c r="C1" s="59"/>
      <c r="D1" s="59"/>
      <c r="E1" s="15" t="s">
        <v>1129</v>
      </c>
      <c r="F1" s="59"/>
      <c r="G1" s="59"/>
      <c r="H1" s="59"/>
      <c r="I1" s="59"/>
      <c r="J1" s="59"/>
    </row>
    <row r="2" spans="1:14" ht="16.149999999999999" customHeight="1">
      <c r="B2" s="16"/>
      <c r="C2" s="59"/>
      <c r="D2" s="59"/>
      <c r="E2" s="59"/>
      <c r="F2" s="59"/>
      <c r="G2" s="59"/>
      <c r="H2" s="59"/>
      <c r="I2" s="59"/>
      <c r="J2" s="59"/>
    </row>
    <row r="3" spans="1:14" ht="19.899999999999999" customHeight="1">
      <c r="F3" s="486" t="s">
        <v>1157</v>
      </c>
      <c r="J3" s="61" t="s">
        <v>1130</v>
      </c>
    </row>
    <row r="4" spans="1:14" ht="30" customHeight="1">
      <c r="A4" s="1099" t="s">
        <v>51</v>
      </c>
      <c r="B4" s="1100"/>
      <c r="C4" s="17" t="s">
        <v>1131</v>
      </c>
      <c r="D4" s="17"/>
      <c r="E4" s="17" t="s">
        <v>1132</v>
      </c>
      <c r="F4" s="18"/>
      <c r="G4" s="17" t="s">
        <v>1133</v>
      </c>
      <c r="H4" s="18"/>
      <c r="I4" s="17" t="s">
        <v>1134</v>
      </c>
      <c r="J4" s="30"/>
    </row>
    <row r="5" spans="1:14" ht="30" customHeight="1">
      <c r="A5" s="1101"/>
      <c r="B5" s="1102"/>
      <c r="C5" s="19" t="s">
        <v>1135</v>
      </c>
      <c r="D5" s="19" t="s">
        <v>1136</v>
      </c>
      <c r="E5" s="19" t="s">
        <v>1135</v>
      </c>
      <c r="F5" s="19" t="s">
        <v>1136</v>
      </c>
      <c r="G5" s="19" t="s">
        <v>1135</v>
      </c>
      <c r="H5" s="19" t="s">
        <v>1136</v>
      </c>
      <c r="I5" s="19" t="s">
        <v>1135</v>
      </c>
      <c r="J5" s="31" t="s">
        <v>1136</v>
      </c>
    </row>
    <row r="6" spans="1:14" ht="30" customHeight="1">
      <c r="A6" s="33" t="s">
        <v>1137</v>
      </c>
      <c r="C6" s="20">
        <f t="shared" ref="C6:H6" si="0">SUM(C8:C12)</f>
        <v>1776703</v>
      </c>
      <c r="D6" s="21">
        <f t="shared" si="0"/>
        <v>100.10000000000001</v>
      </c>
      <c r="E6" s="20">
        <f t="shared" si="0"/>
        <v>517375</v>
      </c>
      <c r="F6" s="21">
        <f t="shared" si="0"/>
        <v>100.09999999999998</v>
      </c>
      <c r="G6" s="20">
        <f t="shared" si="0"/>
        <v>208122</v>
      </c>
      <c r="H6" s="21">
        <f t="shared" si="0"/>
        <v>99.999999999999986</v>
      </c>
      <c r="I6" s="224">
        <f t="shared" ref="I6:I12" si="1">SUM(C6,E6,G6)</f>
        <v>2502200</v>
      </c>
      <c r="J6" s="22">
        <f>SUM(J8:J12)</f>
        <v>99.90000000000002</v>
      </c>
    </row>
    <row r="7" spans="1:14" ht="30" customHeight="1">
      <c r="B7" s="35" t="s">
        <v>1136</v>
      </c>
      <c r="C7" s="23">
        <f>ROUND(C6/$I6*100,1)</f>
        <v>71</v>
      </c>
      <c r="D7" s="23"/>
      <c r="E7" s="23">
        <f>ROUND(E6/$I6*100,1)</f>
        <v>20.7</v>
      </c>
      <c r="F7" s="23"/>
      <c r="G7" s="23">
        <f>ROUND(G6/$I6*100,1)</f>
        <v>8.3000000000000007</v>
      </c>
      <c r="H7" s="23"/>
      <c r="I7" s="23">
        <f t="shared" si="1"/>
        <v>100</v>
      </c>
      <c r="J7" s="25"/>
    </row>
    <row r="8" spans="1:14" ht="30" customHeight="1">
      <c r="A8" s="36" t="s">
        <v>1138</v>
      </c>
      <c r="C8" s="20">
        <f>'中央104(法)'!B5</f>
        <v>1319405</v>
      </c>
      <c r="D8" s="21">
        <f>ROUND(C8/$C$6*100,1)</f>
        <v>74.3</v>
      </c>
      <c r="E8" s="20">
        <f>'直轄市104(法)'!B5</f>
        <v>414762</v>
      </c>
      <c r="F8" s="219">
        <f>ROUND(E8/$E$6*100,1)+0.1</f>
        <v>80.3</v>
      </c>
      <c r="G8" s="26">
        <f>'縣市104(法)'!B5</f>
        <v>151492</v>
      </c>
      <c r="H8" s="21">
        <f>ROUND(G8/$G$6*100,1)</f>
        <v>72.8</v>
      </c>
      <c r="I8" s="20">
        <f t="shared" si="1"/>
        <v>1885659</v>
      </c>
      <c r="J8" s="223">
        <f>ROUND(I8/$I$6*100,1)-0.1</f>
        <v>75.300000000000011</v>
      </c>
    </row>
    <row r="9" spans="1:14" ht="30" customHeight="1">
      <c r="A9" s="36" t="s">
        <v>1139</v>
      </c>
      <c r="C9" s="20">
        <f>'中央104(法)'!B6</f>
        <v>255005</v>
      </c>
      <c r="D9" s="21">
        <f>ROUND(C9/$C$6*100,1)</f>
        <v>14.4</v>
      </c>
      <c r="E9" s="20">
        <f>'直轄市104(法)'!B6</f>
        <v>16904</v>
      </c>
      <c r="F9" s="55">
        <f>ROUND(E9/$E$6*100,1)</f>
        <v>3.3</v>
      </c>
      <c r="G9" s="26">
        <f>'縣市104(法)'!B6</f>
        <v>9537</v>
      </c>
      <c r="H9" s="21">
        <f>ROUND(G9/$G$6*100,1)</f>
        <v>4.5999999999999996</v>
      </c>
      <c r="I9" s="20">
        <f t="shared" si="1"/>
        <v>281446</v>
      </c>
      <c r="J9" s="42">
        <f>ROUND(I9/$I$6*100,1)</f>
        <v>11.2</v>
      </c>
    </row>
    <row r="10" spans="1:14" ht="30" customHeight="1">
      <c r="A10" s="36" t="s">
        <v>1140</v>
      </c>
      <c r="C10" s="20">
        <f>'中央104(法)'!B7</f>
        <v>105674</v>
      </c>
      <c r="D10" s="55">
        <f>ROUND(C10/$C$6*100,1)</f>
        <v>5.9</v>
      </c>
      <c r="E10" s="20">
        <f>'直轄市104(法)'!B7</f>
        <v>39370</v>
      </c>
      <c r="F10" s="55">
        <f>ROUND(E10/$E$6*100,1)</f>
        <v>7.6</v>
      </c>
      <c r="G10" s="26">
        <f>'縣市104(法)'!B7</f>
        <v>11651</v>
      </c>
      <c r="H10" s="21">
        <f>ROUND(G10/$G$6*100,1)</f>
        <v>5.6</v>
      </c>
      <c r="I10" s="20">
        <f t="shared" si="1"/>
        <v>156695</v>
      </c>
      <c r="J10" s="42">
        <f>ROUND(I10/$I$6*100,1)</f>
        <v>6.3</v>
      </c>
    </row>
    <row r="11" spans="1:14" ht="30" customHeight="1">
      <c r="A11" s="36" t="s">
        <v>1141</v>
      </c>
      <c r="C11" s="20">
        <f>'中央104(法)'!B8</f>
        <v>86768</v>
      </c>
      <c r="D11" s="21">
        <f>ROUND(C11/$C$6*100,1)</f>
        <v>4.9000000000000004</v>
      </c>
      <c r="E11" s="20">
        <f>'直轄市104(法)'!B8</f>
        <v>34184</v>
      </c>
      <c r="F11" s="55">
        <f>ROUND(E11/$E$6*100,1)</f>
        <v>6.6</v>
      </c>
      <c r="G11" s="26">
        <f>'縣市104(法)'!B8</f>
        <v>8844</v>
      </c>
      <c r="H11" s="21">
        <f>ROUND(G11/$G$6*100,1)</f>
        <v>4.2</v>
      </c>
      <c r="I11" s="20">
        <f t="shared" si="1"/>
        <v>129796</v>
      </c>
      <c r="J11" s="42">
        <f>ROUND(I11/$I$6*100,1)</f>
        <v>5.2</v>
      </c>
    </row>
    <row r="12" spans="1:14" ht="30" customHeight="1">
      <c r="A12" s="36" t="s">
        <v>1142</v>
      </c>
      <c r="C12" s="20">
        <f>'中央104(法)'!B9</f>
        <v>9851</v>
      </c>
      <c r="D12" s="21">
        <f>ROUND(C12/$C$6*100,1)</f>
        <v>0.6</v>
      </c>
      <c r="E12" s="20">
        <f>'直轄市104(法)'!B9</f>
        <v>12155</v>
      </c>
      <c r="F12" s="55">
        <f>ROUND(E12/$E$6*100,1)</f>
        <v>2.2999999999999998</v>
      </c>
      <c r="G12" s="26">
        <f>'縣市104(法)'!B9</f>
        <v>26598</v>
      </c>
      <c r="H12" s="55">
        <f>ROUND(G12/$G$6*100,1)</f>
        <v>12.8</v>
      </c>
      <c r="I12" s="20">
        <f t="shared" si="1"/>
        <v>48604</v>
      </c>
      <c r="J12" s="113">
        <f>ROUND(I12/$I$6*100,1)</f>
        <v>1.9</v>
      </c>
    </row>
    <row r="13" spans="1:14" ht="30" customHeight="1">
      <c r="A13" s="36"/>
      <c r="C13" s="20"/>
      <c r="D13" s="21"/>
      <c r="E13" s="20"/>
      <c r="F13" s="21"/>
      <c r="G13" s="26"/>
      <c r="H13" s="21"/>
      <c r="I13" s="20"/>
      <c r="J13" s="22"/>
    </row>
    <row r="14" spans="1:14" ht="30" customHeight="1">
      <c r="A14" s="36" t="s">
        <v>1143</v>
      </c>
      <c r="C14" s="27">
        <f t="shared" ref="C14:H14" si="2">SUM(C16:C24)</f>
        <v>1639026</v>
      </c>
      <c r="D14" s="21">
        <f t="shared" si="2"/>
        <v>100</v>
      </c>
      <c r="E14" s="27">
        <f t="shared" si="2"/>
        <v>740944</v>
      </c>
      <c r="F14" s="21">
        <f t="shared" si="2"/>
        <v>99.800000000000011</v>
      </c>
      <c r="G14" s="27">
        <f t="shared" si="2"/>
        <v>380808</v>
      </c>
      <c r="H14" s="21">
        <f t="shared" si="2"/>
        <v>100.10000000000001</v>
      </c>
      <c r="I14" s="224">
        <f t="shared" ref="I14:I24" si="3">SUM(C14,E14,G14)</f>
        <v>2760778</v>
      </c>
      <c r="J14" s="22">
        <f>SUM(J16:J24)</f>
        <v>100.02</v>
      </c>
      <c r="L14" s="58">
        <v>1607063.9370000002</v>
      </c>
      <c r="M14" s="58">
        <v>667222.80700000003</v>
      </c>
      <c r="N14" s="58">
        <v>471499</v>
      </c>
    </row>
    <row r="15" spans="1:14" ht="30" customHeight="1">
      <c r="B15" s="35" t="s">
        <v>1136</v>
      </c>
      <c r="C15" s="23">
        <f>ROUND(C14/$I14*100,1)</f>
        <v>59.4</v>
      </c>
      <c r="D15" s="23"/>
      <c r="E15" s="23">
        <f>ROUND(E14/$I14*100,1)</f>
        <v>26.8</v>
      </c>
      <c r="F15" s="23"/>
      <c r="G15" s="23">
        <f>ROUND(G14/$I14*100,1)</f>
        <v>13.8</v>
      </c>
      <c r="H15" s="28"/>
      <c r="I15" s="24">
        <f t="shared" si="3"/>
        <v>100</v>
      </c>
      <c r="J15" s="25"/>
    </row>
    <row r="16" spans="1:14" ht="30" customHeight="1">
      <c r="A16" s="37" t="s">
        <v>1144</v>
      </c>
      <c r="C16" s="20">
        <f>'中央104(法)'!B11</f>
        <v>175368</v>
      </c>
      <c r="D16" s="21">
        <f t="shared" ref="D16:D24" si="4">ROUND(C16/$C$14*100,1)</f>
        <v>10.7</v>
      </c>
      <c r="E16" s="20">
        <f>'直轄市104(法)'!B11</f>
        <v>136550</v>
      </c>
      <c r="F16" s="21">
        <f>ROUND(E16/$E$14*100,1)</f>
        <v>18.399999999999999</v>
      </c>
      <c r="G16" s="26">
        <f>'縣市104(法)'!B11</f>
        <v>86394</v>
      </c>
      <c r="H16" s="21">
        <f>ROUND(G16/$G$14*100,1)</f>
        <v>22.7</v>
      </c>
      <c r="I16" s="20">
        <f t="shared" si="3"/>
        <v>398312</v>
      </c>
      <c r="J16" s="112">
        <f>ROUND(I16/$I$14*100,1)</f>
        <v>14.4</v>
      </c>
      <c r="L16" s="58">
        <v>396051.23100000003</v>
      </c>
    </row>
    <row r="17" spans="1:17" ht="30" customHeight="1">
      <c r="A17" s="37" t="s">
        <v>1145</v>
      </c>
      <c r="C17" s="20">
        <f>'中央104(法)'!B12</f>
        <v>305969</v>
      </c>
      <c r="D17" s="55">
        <f t="shared" si="4"/>
        <v>18.7</v>
      </c>
      <c r="E17" s="20">
        <f>'直轄市104(法)'!B12</f>
        <v>0</v>
      </c>
      <c r="F17" s="21">
        <f>ROUND(E17/$E$14*100,1)</f>
        <v>0</v>
      </c>
      <c r="G17" s="26">
        <f>'縣市104(法)'!B12</f>
        <v>0</v>
      </c>
      <c r="H17" s="21">
        <f>ROUND(G17/$G$14*100,1)</f>
        <v>0</v>
      </c>
      <c r="I17" s="20">
        <f t="shared" si="3"/>
        <v>305969</v>
      </c>
      <c r="J17" s="112">
        <f>ROUND(I17/$I$14*100,1)</f>
        <v>11.1</v>
      </c>
      <c r="L17" s="58">
        <v>304263</v>
      </c>
    </row>
    <row r="18" spans="1:17" ht="30" customHeight="1">
      <c r="A18" s="37" t="s">
        <v>1146</v>
      </c>
      <c r="C18" s="20">
        <f>'中央104(法)'!B13</f>
        <v>291438</v>
      </c>
      <c r="D18" s="21">
        <f t="shared" si="4"/>
        <v>17.8</v>
      </c>
      <c r="E18" s="20">
        <f>'直轄市104(法)'!B13</f>
        <v>252996</v>
      </c>
      <c r="F18" s="219">
        <f>ROUND(E18/$E$14*100,1)-0.1</f>
        <v>34</v>
      </c>
      <c r="G18" s="26">
        <f>'縣市104(法)'!B13</f>
        <v>108995</v>
      </c>
      <c r="H18" s="219">
        <f>ROUND(G18/$G$14*100,1)+0.1</f>
        <v>28.700000000000003</v>
      </c>
      <c r="I18" s="20">
        <f t="shared" si="3"/>
        <v>653429</v>
      </c>
      <c r="J18" s="112">
        <f>ROUND(I18/$I$14*100,1)</f>
        <v>23.7</v>
      </c>
      <c r="L18" s="58">
        <v>641485.96900000004</v>
      </c>
    </row>
    <row r="19" spans="1:17" s="62" customFormat="1" ht="30" customHeight="1">
      <c r="A19" s="54" t="s">
        <v>1147</v>
      </c>
      <c r="C19" s="20">
        <f>'中央104(法)'!B14</f>
        <v>191060</v>
      </c>
      <c r="D19" s="21">
        <f t="shared" si="4"/>
        <v>11.7</v>
      </c>
      <c r="E19" s="20">
        <f>'直轄市104(法)'!B14</f>
        <v>124478</v>
      </c>
      <c r="F19" s="21">
        <f t="shared" ref="F19:F24" si="5">ROUND(E19/$E$14*100,1)</f>
        <v>16.8</v>
      </c>
      <c r="G19" s="26">
        <f>'縣市104(法)'!B14</f>
        <v>65242</v>
      </c>
      <c r="H19" s="21">
        <f t="shared" ref="H19:H24" si="6">ROUND(G19/$G$14*100,1)</f>
        <v>17.100000000000001</v>
      </c>
      <c r="I19" s="20">
        <f t="shared" si="3"/>
        <v>380780</v>
      </c>
      <c r="J19" s="112">
        <f>ROUND(I19/$I$14*100,1)+0.12</f>
        <v>13.92</v>
      </c>
      <c r="K19" s="58"/>
      <c r="L19" s="62">
        <v>397144.38</v>
      </c>
    </row>
    <row r="20" spans="1:17" ht="30" customHeight="1">
      <c r="A20" s="37" t="s">
        <v>1148</v>
      </c>
      <c r="C20" s="20">
        <f>'中央104(法)'!B15</f>
        <v>389947</v>
      </c>
      <c r="D20" s="21">
        <f t="shared" si="4"/>
        <v>23.8</v>
      </c>
      <c r="E20" s="20">
        <f>'直轄市104(法)'!B15</f>
        <v>109870</v>
      </c>
      <c r="F20" s="55">
        <f t="shared" si="5"/>
        <v>14.8</v>
      </c>
      <c r="G20" s="26">
        <f>'縣市104(法)'!B15</f>
        <v>45703</v>
      </c>
      <c r="H20" s="21">
        <f t="shared" si="6"/>
        <v>12</v>
      </c>
      <c r="I20" s="20">
        <f t="shared" si="3"/>
        <v>545520</v>
      </c>
      <c r="J20" s="112">
        <f>ROUND(I20/$I$14*100,1)</f>
        <v>19.8</v>
      </c>
      <c r="L20" s="58">
        <v>535183.12</v>
      </c>
    </row>
    <row r="21" spans="1:17" ht="30" customHeight="1">
      <c r="A21" s="37" t="s">
        <v>1149</v>
      </c>
      <c r="C21" s="20">
        <f>'中央104(法)'!B16</f>
        <v>4669</v>
      </c>
      <c r="D21" s="21">
        <f t="shared" si="4"/>
        <v>0.3</v>
      </c>
      <c r="E21" s="20">
        <f>'直轄市104(法)'!B16</f>
        <v>50893</v>
      </c>
      <c r="F21" s="21">
        <f t="shared" si="5"/>
        <v>6.9</v>
      </c>
      <c r="G21" s="26">
        <f>'縣市104(法)'!B16</f>
        <v>17415</v>
      </c>
      <c r="H21" s="21">
        <f t="shared" si="6"/>
        <v>4.5999999999999996</v>
      </c>
      <c r="I21" s="20">
        <f t="shared" si="3"/>
        <v>72977</v>
      </c>
      <c r="J21" s="112">
        <f>ROUND(I21/$I$14*100,1)</f>
        <v>2.6</v>
      </c>
      <c r="L21" s="58">
        <v>71601.366999999998</v>
      </c>
    </row>
    <row r="22" spans="1:17" ht="30" customHeight="1">
      <c r="A22" s="37" t="s">
        <v>1150</v>
      </c>
      <c r="C22" s="20">
        <f>'中央104(法)'!B17</f>
        <v>141607</v>
      </c>
      <c r="D22" s="21">
        <f t="shared" si="4"/>
        <v>8.6</v>
      </c>
      <c r="E22" s="20">
        <f>'直轄市104(法)'!B17</f>
        <v>43797</v>
      </c>
      <c r="F22" s="21">
        <f t="shared" si="5"/>
        <v>5.9</v>
      </c>
      <c r="G22" s="26">
        <f>'縣市104(法)'!B17</f>
        <v>41612</v>
      </c>
      <c r="H22" s="21">
        <f t="shared" si="6"/>
        <v>10.9</v>
      </c>
      <c r="I22" s="20">
        <f t="shared" si="3"/>
        <v>227016</v>
      </c>
      <c r="J22" s="112">
        <f>ROUND(I22/$I$14*100,1)-0.1</f>
        <v>8.1</v>
      </c>
      <c r="L22" s="58">
        <v>221316.51199999999</v>
      </c>
    </row>
    <row r="23" spans="1:17" ht="30" customHeight="1">
      <c r="A23" s="37" t="s">
        <v>1151</v>
      </c>
      <c r="C23" s="20">
        <f>'中央104(法)'!B18</f>
        <v>126753</v>
      </c>
      <c r="D23" s="21">
        <f t="shared" si="4"/>
        <v>7.7</v>
      </c>
      <c r="E23" s="20">
        <f>'直轄市104(法)'!B18</f>
        <v>7553</v>
      </c>
      <c r="F23" s="21">
        <f t="shared" si="5"/>
        <v>1</v>
      </c>
      <c r="G23" s="26">
        <f>'縣市104(法)'!B18</f>
        <v>4572</v>
      </c>
      <c r="H23" s="55">
        <f t="shared" si="6"/>
        <v>1.2</v>
      </c>
      <c r="I23" s="20">
        <f t="shared" si="3"/>
        <v>138878</v>
      </c>
      <c r="J23" s="112">
        <f>ROUND(I23/$I$14*100,1)</f>
        <v>5</v>
      </c>
      <c r="L23" s="58">
        <v>140861.095</v>
      </c>
      <c r="O23" s="474"/>
      <c r="Q23" s="474"/>
    </row>
    <row r="24" spans="1:17" ht="30" customHeight="1">
      <c r="A24" s="37" t="s">
        <v>1152</v>
      </c>
      <c r="C24" s="20">
        <f>'中央104(法)'!B19</f>
        <v>12215</v>
      </c>
      <c r="D24" s="21">
        <f t="shared" si="4"/>
        <v>0.7</v>
      </c>
      <c r="E24" s="20">
        <f>'直轄市104(法)'!B19</f>
        <v>14807</v>
      </c>
      <c r="F24" s="21">
        <f t="shared" si="5"/>
        <v>2</v>
      </c>
      <c r="G24" s="26">
        <f>'縣市104(法)'!B19</f>
        <v>10875</v>
      </c>
      <c r="H24" s="21">
        <f t="shared" si="6"/>
        <v>2.9</v>
      </c>
      <c r="I24" s="20">
        <f t="shared" si="3"/>
        <v>37897</v>
      </c>
      <c r="J24" s="112">
        <f>ROUND(I24/$I$14*100,1)</f>
        <v>1.4</v>
      </c>
      <c r="L24" s="58">
        <v>37878.870000000003</v>
      </c>
      <c r="Q24" s="474"/>
    </row>
    <row r="25" spans="1:17" ht="30" customHeight="1">
      <c r="A25" s="37"/>
      <c r="C25" s="20"/>
      <c r="D25" s="21"/>
      <c r="E25" s="20"/>
      <c r="F25" s="21"/>
      <c r="G25" s="26"/>
      <c r="H25" s="21"/>
      <c r="I25" s="20"/>
      <c r="J25" s="22"/>
    </row>
    <row r="26" spans="1:17" ht="30" customHeight="1">
      <c r="A26" s="34" t="s">
        <v>1153</v>
      </c>
      <c r="C26" s="40">
        <f>C6-C14</f>
        <v>137677</v>
      </c>
      <c r="D26" s="40"/>
      <c r="E26" s="40">
        <f>E6-E14</f>
        <v>-223569</v>
      </c>
      <c r="F26" s="40"/>
      <c r="G26" s="40">
        <f>G6-G14</f>
        <v>-172686</v>
      </c>
      <c r="H26" s="40"/>
      <c r="I26" s="40">
        <f>SUM(C26,E26,G26)</f>
        <v>-258578</v>
      </c>
      <c r="J26" s="29"/>
    </row>
    <row r="27" spans="1:17" s="63" customFormat="1" ht="22.5" customHeight="1">
      <c r="A27" s="63" t="s">
        <v>52</v>
      </c>
      <c r="B27" s="1098" t="s">
        <v>1154</v>
      </c>
      <c r="C27" s="1098"/>
      <c r="D27" s="1098"/>
      <c r="E27" s="1098"/>
      <c r="F27" s="1098"/>
      <c r="G27" s="1098"/>
      <c r="H27" s="1098"/>
      <c r="I27" s="1098"/>
      <c r="J27" s="1098"/>
    </row>
    <row r="28" spans="1:17" s="63" customFormat="1" ht="45" customHeight="1">
      <c r="A28" s="41" t="s">
        <v>1155</v>
      </c>
      <c r="B28" s="1103" t="s">
        <v>1156</v>
      </c>
      <c r="C28" s="1103"/>
      <c r="D28" s="1103"/>
      <c r="E28" s="1103"/>
      <c r="F28" s="1103"/>
      <c r="G28" s="1103"/>
      <c r="H28" s="1103"/>
      <c r="I28" s="1103"/>
      <c r="J28" s="1103"/>
    </row>
  </sheetData>
  <mergeCells count="3">
    <mergeCell ref="B27:J27"/>
    <mergeCell ref="A4:B5"/>
    <mergeCell ref="B28:J28"/>
  </mergeCells>
  <phoneticPr fontId="5" type="noConversion"/>
  <printOptions horizontalCentered="1"/>
  <pageMargins left="0.39370078740157483" right="0.39370078740157483" top="0.78740157480314965" bottom="0.59055118110236227" header="0.43307086614173229" footer="0.19685039370078741"/>
  <pageSetup paperSize="9" scale="90" orientation="portrait" blackAndWhite="1"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indexed="22"/>
  </sheetPr>
  <dimension ref="A1:Q28"/>
  <sheetViews>
    <sheetView zoomScale="85" zoomScaleNormal="100" workbookViewId="0">
      <pane xSplit="2" ySplit="5" topLeftCell="C6"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8.75" style="58" customWidth="1"/>
    <col min="2" max="2" width="13.25" style="58" customWidth="1"/>
    <col min="3" max="3" width="11.5" style="60" customWidth="1"/>
    <col min="4" max="4" width="7" style="60" customWidth="1"/>
    <col min="5" max="5" width="11.5" style="60" customWidth="1"/>
    <col min="6" max="6" width="7" style="58" customWidth="1"/>
    <col min="7" max="7" width="11.5" style="58" customWidth="1"/>
    <col min="8" max="8" width="7" style="58" customWidth="1"/>
    <col min="9" max="9" width="11.5" style="58" customWidth="1"/>
    <col min="10" max="10" width="7" style="58" customWidth="1"/>
    <col min="11" max="16384" width="9.75" style="58"/>
  </cols>
  <sheetData>
    <row r="1" spans="1:10" ht="34.9" customHeight="1">
      <c r="A1" s="14" t="s">
        <v>71</v>
      </c>
      <c r="C1" s="59"/>
      <c r="D1" s="59"/>
      <c r="E1" s="15" t="s">
        <v>108</v>
      </c>
      <c r="F1" s="59"/>
      <c r="G1" s="59"/>
      <c r="H1" s="59"/>
      <c r="I1" s="59"/>
      <c r="J1" s="59"/>
    </row>
    <row r="2" spans="1:10" ht="16.149999999999999" customHeight="1">
      <c r="B2" s="16"/>
      <c r="C2" s="59"/>
      <c r="D2" s="59"/>
      <c r="E2" s="59"/>
      <c r="F2" s="59"/>
      <c r="G2" s="59"/>
      <c r="H2" s="59"/>
      <c r="I2" s="59"/>
      <c r="J2" s="59"/>
    </row>
    <row r="3" spans="1:10" ht="19.899999999999999" customHeight="1">
      <c r="F3" s="119" t="s">
        <v>1158</v>
      </c>
      <c r="J3" s="61" t="s">
        <v>78</v>
      </c>
    </row>
    <row r="4" spans="1:10" ht="30" customHeight="1">
      <c r="A4" s="1099" t="s">
        <v>51</v>
      </c>
      <c r="B4" s="1100"/>
      <c r="C4" s="17" t="s">
        <v>109</v>
      </c>
      <c r="D4" s="17"/>
      <c r="E4" s="17" t="s">
        <v>110</v>
      </c>
      <c r="F4" s="18"/>
      <c r="G4" s="17" t="s">
        <v>111</v>
      </c>
      <c r="H4" s="18"/>
      <c r="I4" s="17" t="s">
        <v>21</v>
      </c>
      <c r="J4" s="30"/>
    </row>
    <row r="5" spans="1:10" ht="30" customHeight="1">
      <c r="A5" s="1101"/>
      <c r="B5" s="1102"/>
      <c r="C5" s="19" t="s">
        <v>112</v>
      </c>
      <c r="D5" s="19" t="s">
        <v>35</v>
      </c>
      <c r="E5" s="19" t="s">
        <v>112</v>
      </c>
      <c r="F5" s="19" t="s">
        <v>35</v>
      </c>
      <c r="G5" s="19" t="s">
        <v>112</v>
      </c>
      <c r="H5" s="19" t="s">
        <v>35</v>
      </c>
      <c r="I5" s="19" t="s">
        <v>112</v>
      </c>
      <c r="J5" s="31" t="s">
        <v>35</v>
      </c>
    </row>
    <row r="6" spans="1:10" ht="30" customHeight="1">
      <c r="A6" s="33" t="s">
        <v>34</v>
      </c>
      <c r="C6" s="20" t="e">
        <f>#REF!-'參9 (104)'!C6</f>
        <v>#REF!</v>
      </c>
      <c r="D6" s="98" t="e">
        <f>#REF!-'參9 (104)'!D6</f>
        <v>#REF!</v>
      </c>
      <c r="E6" s="20" t="e">
        <f>#REF!-'參9 (104)'!E6</f>
        <v>#REF!</v>
      </c>
      <c r="F6" s="98" t="e">
        <f>#REF!-'參9 (104)'!F6</f>
        <v>#REF!</v>
      </c>
      <c r="G6" s="20" t="e">
        <f>#REF!-'參9 (104)'!G6</f>
        <v>#REF!</v>
      </c>
      <c r="H6" s="98" t="e">
        <f>#REF!-'參9 (104)'!H6</f>
        <v>#REF!</v>
      </c>
      <c r="I6" s="20" t="e">
        <f>#REF!-'參9 (104)'!I6</f>
        <v>#REF!</v>
      </c>
      <c r="J6" s="98" t="e">
        <f>#REF!-'參9 (104)'!J6</f>
        <v>#REF!</v>
      </c>
    </row>
    <row r="7" spans="1:10" ht="30" customHeight="1">
      <c r="B7" s="35" t="s">
        <v>35</v>
      </c>
      <c r="C7" s="98" t="e">
        <f>#REF!-'參9 (104)'!C7</f>
        <v>#REF!</v>
      </c>
      <c r="D7" s="98" t="e">
        <f>#REF!-'參9 (104)'!D7</f>
        <v>#REF!</v>
      </c>
      <c r="E7" s="98" t="e">
        <f>#REF!-'參9 (104)'!E7</f>
        <v>#REF!</v>
      </c>
      <c r="F7" s="98" t="e">
        <f>#REF!-'參9 (104)'!F7</f>
        <v>#REF!</v>
      </c>
      <c r="G7" s="98" t="e">
        <f>#REF!-'參9 (104)'!G7</f>
        <v>#REF!</v>
      </c>
      <c r="H7" s="98" t="e">
        <f>#REF!-'參9 (104)'!H7</f>
        <v>#REF!</v>
      </c>
      <c r="I7" s="98" t="e">
        <f>#REF!-'參9 (104)'!I7</f>
        <v>#REF!</v>
      </c>
      <c r="J7" s="98" t="e">
        <f>#REF!-'參9 (104)'!J7</f>
        <v>#REF!</v>
      </c>
    </row>
    <row r="8" spans="1:10" ht="30" customHeight="1">
      <c r="A8" s="36" t="s">
        <v>36</v>
      </c>
      <c r="C8" s="20" t="e">
        <f>#REF!-'參9 (104)'!C8</f>
        <v>#REF!</v>
      </c>
      <c r="D8" s="98" t="e">
        <f>#REF!-'參9 (104)'!D8</f>
        <v>#REF!</v>
      </c>
      <c r="E8" s="20" t="e">
        <f>#REF!-'參9 (104)'!E8</f>
        <v>#REF!</v>
      </c>
      <c r="F8" s="98" t="e">
        <f>#REF!-'參9 (104)'!F8</f>
        <v>#REF!</v>
      </c>
      <c r="G8" s="20" t="e">
        <f>#REF!-'參9 (104)'!G8</f>
        <v>#REF!</v>
      </c>
      <c r="H8" s="98" t="e">
        <f>#REF!-'參9 (104)'!H8</f>
        <v>#REF!</v>
      </c>
      <c r="I8" s="20" t="e">
        <f>#REF!-'參9 (104)'!I8</f>
        <v>#REF!</v>
      </c>
      <c r="J8" s="98" t="e">
        <f>#REF!-'參9 (104)'!J8</f>
        <v>#REF!</v>
      </c>
    </row>
    <row r="9" spans="1:10" ht="30" customHeight="1">
      <c r="A9" s="36" t="s">
        <v>37</v>
      </c>
      <c r="C9" s="20" t="e">
        <f>#REF!-'參9 (104)'!C9</f>
        <v>#REF!</v>
      </c>
      <c r="D9" s="98" t="e">
        <f>#REF!-'參9 (104)'!D9</f>
        <v>#REF!</v>
      </c>
      <c r="E9" s="20" t="e">
        <f>#REF!-'參9 (104)'!E9</f>
        <v>#REF!</v>
      </c>
      <c r="F9" s="98" t="e">
        <f>#REF!-'參9 (104)'!F9</f>
        <v>#REF!</v>
      </c>
      <c r="G9" s="20" t="e">
        <f>#REF!-'參9 (104)'!G9</f>
        <v>#REF!</v>
      </c>
      <c r="H9" s="98" t="e">
        <f>#REF!-'參9 (104)'!H9</f>
        <v>#REF!</v>
      </c>
      <c r="I9" s="20" t="e">
        <f>#REF!-'參9 (104)'!I9</f>
        <v>#REF!</v>
      </c>
      <c r="J9" s="98" t="e">
        <f>#REF!-'參9 (104)'!J9</f>
        <v>#REF!</v>
      </c>
    </row>
    <row r="10" spans="1:10" ht="30" customHeight="1">
      <c r="A10" s="36" t="s">
        <v>38</v>
      </c>
      <c r="C10" s="20" t="e">
        <f>#REF!-'參9 (104)'!C10</f>
        <v>#REF!</v>
      </c>
      <c r="D10" s="98" t="e">
        <f>#REF!-'參9 (104)'!D10</f>
        <v>#REF!</v>
      </c>
      <c r="E10" s="20" t="e">
        <f>#REF!-'參9 (104)'!E10</f>
        <v>#REF!</v>
      </c>
      <c r="F10" s="98" t="e">
        <f>#REF!-'參9 (104)'!F10</f>
        <v>#REF!</v>
      </c>
      <c r="G10" s="20" t="e">
        <f>#REF!-'參9 (104)'!G10</f>
        <v>#REF!</v>
      </c>
      <c r="H10" s="98" t="e">
        <f>#REF!-'參9 (104)'!H10</f>
        <v>#REF!</v>
      </c>
      <c r="I10" s="20" t="e">
        <f>#REF!-'參9 (104)'!I10</f>
        <v>#REF!</v>
      </c>
      <c r="J10" s="98" t="e">
        <f>#REF!-'參9 (104)'!J10</f>
        <v>#REF!</v>
      </c>
    </row>
    <row r="11" spans="1:10" ht="30" customHeight="1">
      <c r="A11" s="36" t="s">
        <v>39</v>
      </c>
      <c r="C11" s="20" t="e">
        <f>#REF!-'參9 (104)'!C11</f>
        <v>#REF!</v>
      </c>
      <c r="D11" s="98" t="e">
        <f>#REF!-'參9 (104)'!D11</f>
        <v>#REF!</v>
      </c>
      <c r="E11" s="20" t="e">
        <f>#REF!-'參9 (104)'!E11</f>
        <v>#REF!</v>
      </c>
      <c r="F11" s="98" t="e">
        <f>#REF!-'參9 (104)'!F11</f>
        <v>#REF!</v>
      </c>
      <c r="G11" s="20" t="e">
        <f>#REF!-'參9 (104)'!G11</f>
        <v>#REF!</v>
      </c>
      <c r="H11" s="98" t="e">
        <f>#REF!-'參9 (104)'!H11</f>
        <v>#REF!</v>
      </c>
      <c r="I11" s="20" t="e">
        <f>#REF!-'參9 (104)'!I11</f>
        <v>#REF!</v>
      </c>
      <c r="J11" s="98" t="e">
        <f>#REF!-'參9 (104)'!J11</f>
        <v>#REF!</v>
      </c>
    </row>
    <row r="12" spans="1:10" ht="30" customHeight="1">
      <c r="A12" s="36" t="s">
        <v>40</v>
      </c>
      <c r="C12" s="20" t="e">
        <f>#REF!-'參9 (104)'!C12</f>
        <v>#REF!</v>
      </c>
      <c r="D12" s="98" t="e">
        <f>#REF!-'參9 (104)'!D12</f>
        <v>#REF!</v>
      </c>
      <c r="E12" s="20" t="e">
        <f>#REF!-'參9 (104)'!E12</f>
        <v>#REF!</v>
      </c>
      <c r="F12" s="98" t="e">
        <f>#REF!-'參9 (104)'!F12</f>
        <v>#REF!</v>
      </c>
      <c r="G12" s="20" t="e">
        <f>#REF!-'參9 (104)'!G12</f>
        <v>#REF!</v>
      </c>
      <c r="H12" s="98" t="e">
        <f>#REF!-'參9 (104)'!H12</f>
        <v>#REF!</v>
      </c>
      <c r="I12" s="20" t="e">
        <f>#REF!-'參9 (104)'!I12</f>
        <v>#REF!</v>
      </c>
      <c r="J12" s="98" t="e">
        <f>#REF!-'參9 (104)'!J12</f>
        <v>#REF!</v>
      </c>
    </row>
    <row r="13" spans="1:10" ht="30" customHeight="1">
      <c r="A13" s="36"/>
      <c r="C13" s="20" t="e">
        <f>#REF!-'參9 (104)'!C13</f>
        <v>#REF!</v>
      </c>
      <c r="D13" s="98" t="e">
        <f>#REF!-'參9 (104)'!D13</f>
        <v>#REF!</v>
      </c>
      <c r="E13" s="20" t="e">
        <f>#REF!-'參9 (104)'!E13</f>
        <v>#REF!</v>
      </c>
      <c r="F13" s="98" t="e">
        <f>#REF!-'參9 (104)'!F13</f>
        <v>#REF!</v>
      </c>
      <c r="G13" s="20" t="e">
        <f>#REF!-'參9 (104)'!G13</f>
        <v>#REF!</v>
      </c>
      <c r="H13" s="98" t="e">
        <f>#REF!-'參9 (104)'!H13</f>
        <v>#REF!</v>
      </c>
      <c r="I13" s="20" t="e">
        <f>#REF!-'參9 (104)'!I13</f>
        <v>#REF!</v>
      </c>
      <c r="J13" s="98" t="e">
        <f>#REF!-'參9 (104)'!J13</f>
        <v>#REF!</v>
      </c>
    </row>
    <row r="14" spans="1:10" ht="30" customHeight="1">
      <c r="A14" s="36" t="s">
        <v>41</v>
      </c>
      <c r="C14" s="20" t="e">
        <f>#REF!-'參9 (104)'!C14</f>
        <v>#REF!</v>
      </c>
      <c r="D14" s="98" t="e">
        <f>#REF!-'參9 (104)'!D14</f>
        <v>#REF!</v>
      </c>
      <c r="E14" s="20" t="e">
        <f>#REF!-'參9 (104)'!E14</f>
        <v>#REF!</v>
      </c>
      <c r="F14" s="98" t="e">
        <f>#REF!-'參9 (104)'!F14</f>
        <v>#REF!</v>
      </c>
      <c r="G14" s="20" t="e">
        <f>#REF!-'參9 (104)'!G14</f>
        <v>#REF!</v>
      </c>
      <c r="H14" s="98" t="e">
        <f>#REF!-'參9 (104)'!H14</f>
        <v>#REF!</v>
      </c>
      <c r="I14" s="20" t="e">
        <f>#REF!-'參9 (104)'!I14</f>
        <v>#REF!</v>
      </c>
      <c r="J14" s="98" t="e">
        <f>#REF!-'參9 (104)'!J14</f>
        <v>#REF!</v>
      </c>
    </row>
    <row r="15" spans="1:10" ht="30" customHeight="1">
      <c r="B15" s="35" t="s">
        <v>35</v>
      </c>
      <c r="C15" s="98" t="e">
        <f>#REF!-'參9 (104)'!C15</f>
        <v>#REF!</v>
      </c>
      <c r="D15" s="98" t="e">
        <f>#REF!-'參9 (104)'!D15</f>
        <v>#REF!</v>
      </c>
      <c r="E15" s="98" t="e">
        <f>#REF!-'參9 (104)'!E15</f>
        <v>#REF!</v>
      </c>
      <c r="F15" s="98" t="e">
        <f>#REF!-'參9 (104)'!F15</f>
        <v>#REF!</v>
      </c>
      <c r="G15" s="98" t="e">
        <f>#REF!-'參9 (104)'!G15</f>
        <v>#REF!</v>
      </c>
      <c r="H15" s="98" t="e">
        <f>#REF!-'參9 (104)'!H15</f>
        <v>#REF!</v>
      </c>
      <c r="I15" s="98" t="e">
        <f>#REF!-'參9 (104)'!I15</f>
        <v>#REF!</v>
      </c>
      <c r="J15" s="98" t="e">
        <f>#REF!-'參9 (104)'!J15</f>
        <v>#REF!</v>
      </c>
    </row>
    <row r="16" spans="1:10" ht="30" customHeight="1">
      <c r="A16" s="37" t="s">
        <v>42</v>
      </c>
      <c r="C16" s="20" t="e">
        <f>#REF!-'參9 (104)'!C16</f>
        <v>#REF!</v>
      </c>
      <c r="D16" s="98" t="e">
        <f>#REF!-'參9 (104)'!D16</f>
        <v>#REF!</v>
      </c>
      <c r="E16" s="20" t="e">
        <f>#REF!-'參9 (104)'!E16</f>
        <v>#REF!</v>
      </c>
      <c r="F16" s="98" t="e">
        <f>#REF!-'參9 (104)'!F16</f>
        <v>#REF!</v>
      </c>
      <c r="G16" s="20" t="e">
        <f>#REF!-'參9 (104)'!G16</f>
        <v>#REF!</v>
      </c>
      <c r="H16" s="98" t="e">
        <f>#REF!-'參9 (104)'!H16</f>
        <v>#REF!</v>
      </c>
      <c r="I16" s="20" t="e">
        <f>#REF!-'參9 (104)'!I16</f>
        <v>#REF!</v>
      </c>
      <c r="J16" s="98" t="e">
        <f>#REF!-'參9 (104)'!J16</f>
        <v>#REF!</v>
      </c>
    </row>
    <row r="17" spans="1:17" ht="30" customHeight="1">
      <c r="A17" s="37" t="s">
        <v>43</v>
      </c>
      <c r="C17" s="20" t="e">
        <f>#REF!-'參9 (104)'!C17</f>
        <v>#REF!</v>
      </c>
      <c r="D17" s="98" t="e">
        <f>#REF!-'參9 (104)'!D17</f>
        <v>#REF!</v>
      </c>
      <c r="E17" s="20" t="e">
        <f>#REF!-'參9 (104)'!E17</f>
        <v>#REF!</v>
      </c>
      <c r="F17" s="98" t="e">
        <f>#REF!-'參9 (104)'!F17</f>
        <v>#REF!</v>
      </c>
      <c r="G17" s="20" t="e">
        <f>#REF!-'參9 (104)'!G17</f>
        <v>#REF!</v>
      </c>
      <c r="H17" s="98" t="e">
        <f>#REF!-'參9 (104)'!H17</f>
        <v>#REF!</v>
      </c>
      <c r="I17" s="20" t="e">
        <f>#REF!-'參9 (104)'!I17</f>
        <v>#REF!</v>
      </c>
      <c r="J17" s="98" t="e">
        <f>#REF!-'參9 (104)'!J17</f>
        <v>#REF!</v>
      </c>
    </row>
    <row r="18" spans="1:17" ht="30" customHeight="1">
      <c r="A18" s="37" t="s">
        <v>44</v>
      </c>
      <c r="C18" s="20" t="e">
        <f>#REF!-'參9 (104)'!C18</f>
        <v>#REF!</v>
      </c>
      <c r="D18" s="98" t="e">
        <f>#REF!-'參9 (104)'!D18</f>
        <v>#REF!</v>
      </c>
      <c r="E18" s="20" t="e">
        <f>#REF!-'參9 (104)'!E18</f>
        <v>#REF!</v>
      </c>
      <c r="F18" s="98" t="e">
        <f>#REF!-'參9 (104)'!F18</f>
        <v>#REF!</v>
      </c>
      <c r="G18" s="20" t="e">
        <f>#REF!-'參9 (104)'!G18</f>
        <v>#REF!</v>
      </c>
      <c r="H18" s="98" t="e">
        <f>#REF!-'參9 (104)'!H18</f>
        <v>#REF!</v>
      </c>
      <c r="I18" s="20" t="e">
        <f>#REF!-'參9 (104)'!I18</f>
        <v>#REF!</v>
      </c>
      <c r="J18" s="98" t="e">
        <f>#REF!-'參9 (104)'!J18</f>
        <v>#REF!</v>
      </c>
    </row>
    <row r="19" spans="1:17" s="62" customFormat="1" ht="30" customHeight="1">
      <c r="A19" s="54" t="s">
        <v>45</v>
      </c>
      <c r="C19" s="20" t="e">
        <f>#REF!-'參9 (104)'!C19</f>
        <v>#REF!</v>
      </c>
      <c r="D19" s="98" t="e">
        <f>#REF!-'參9 (104)'!D19</f>
        <v>#REF!</v>
      </c>
      <c r="E19" s="20" t="e">
        <f>#REF!-'參9 (104)'!E19</f>
        <v>#REF!</v>
      </c>
      <c r="F19" s="98" t="e">
        <f>#REF!-'參9 (104)'!F19</f>
        <v>#REF!</v>
      </c>
      <c r="G19" s="20" t="e">
        <f>#REF!-'參9 (104)'!G19</f>
        <v>#REF!</v>
      </c>
      <c r="H19" s="98" t="e">
        <f>#REF!-'參9 (104)'!H19</f>
        <v>#REF!</v>
      </c>
      <c r="I19" s="20" t="e">
        <f>#REF!-'參9 (104)'!I19</f>
        <v>#REF!</v>
      </c>
      <c r="J19" s="98" t="e">
        <f>#REF!-'參9 (104)'!J19</f>
        <v>#REF!</v>
      </c>
    </row>
    <row r="20" spans="1:17" ht="30" customHeight="1">
      <c r="A20" s="37" t="s">
        <v>46</v>
      </c>
      <c r="C20" s="20" t="e">
        <f>#REF!-'參9 (104)'!C20</f>
        <v>#REF!</v>
      </c>
      <c r="D20" s="98" t="e">
        <f>#REF!-'參9 (104)'!D20</f>
        <v>#REF!</v>
      </c>
      <c r="E20" s="20" t="e">
        <f>#REF!-'參9 (104)'!E20</f>
        <v>#REF!</v>
      </c>
      <c r="F20" s="98" t="e">
        <f>#REF!-'參9 (104)'!F20</f>
        <v>#REF!</v>
      </c>
      <c r="G20" s="20" t="e">
        <f>#REF!-'參9 (104)'!G20</f>
        <v>#REF!</v>
      </c>
      <c r="H20" s="98" t="e">
        <f>#REF!-'參9 (104)'!H20</f>
        <v>#REF!</v>
      </c>
      <c r="I20" s="20" t="e">
        <f>#REF!-'參9 (104)'!I20</f>
        <v>#REF!</v>
      </c>
      <c r="J20" s="98" t="e">
        <f>#REF!-'參9 (104)'!J20</f>
        <v>#REF!</v>
      </c>
    </row>
    <row r="21" spans="1:17" ht="30" customHeight="1">
      <c r="A21" s="37" t="s">
        <v>47</v>
      </c>
      <c r="C21" s="20" t="e">
        <f>#REF!-'參9 (104)'!C21</f>
        <v>#REF!</v>
      </c>
      <c r="D21" s="98" t="e">
        <f>#REF!-'參9 (104)'!D21</f>
        <v>#REF!</v>
      </c>
      <c r="E21" s="20" t="e">
        <f>#REF!-'參9 (104)'!E21</f>
        <v>#REF!</v>
      </c>
      <c r="F21" s="98" t="e">
        <f>#REF!-'參9 (104)'!F21</f>
        <v>#REF!</v>
      </c>
      <c r="G21" s="20" t="e">
        <f>#REF!-'參9 (104)'!G21</f>
        <v>#REF!</v>
      </c>
      <c r="H21" s="98" t="e">
        <f>#REF!-'參9 (104)'!H21</f>
        <v>#REF!</v>
      </c>
      <c r="I21" s="20" t="e">
        <f>#REF!-'參9 (104)'!I21</f>
        <v>#REF!</v>
      </c>
      <c r="J21" s="98" t="e">
        <f>#REF!-'參9 (104)'!J21</f>
        <v>#REF!</v>
      </c>
    </row>
    <row r="22" spans="1:17" ht="30" customHeight="1">
      <c r="A22" s="37" t="s">
        <v>48</v>
      </c>
      <c r="C22" s="20" t="e">
        <f>#REF!-'參9 (104)'!C22</f>
        <v>#REF!</v>
      </c>
      <c r="D22" s="98" t="e">
        <f>#REF!-'參9 (104)'!D22</f>
        <v>#REF!</v>
      </c>
      <c r="E22" s="20" t="e">
        <f>#REF!-'參9 (104)'!E22</f>
        <v>#REF!</v>
      </c>
      <c r="F22" s="98" t="e">
        <f>#REF!-'參9 (104)'!F22</f>
        <v>#REF!</v>
      </c>
      <c r="G22" s="20" t="e">
        <f>#REF!-'參9 (104)'!G22</f>
        <v>#REF!</v>
      </c>
      <c r="H22" s="98" t="e">
        <f>#REF!-'參9 (104)'!H22</f>
        <v>#REF!</v>
      </c>
      <c r="I22" s="20" t="e">
        <f>#REF!-'參9 (104)'!I22</f>
        <v>#REF!</v>
      </c>
      <c r="J22" s="98" t="e">
        <f>#REF!-'參9 (104)'!J22</f>
        <v>#REF!</v>
      </c>
    </row>
    <row r="23" spans="1:17" ht="30" customHeight="1">
      <c r="A23" s="37" t="s">
        <v>49</v>
      </c>
      <c r="C23" s="20" t="e">
        <f>#REF!-'參9 (104)'!C23</f>
        <v>#REF!</v>
      </c>
      <c r="D23" s="98" t="e">
        <f>#REF!-'參9 (104)'!D23</f>
        <v>#REF!</v>
      </c>
      <c r="E23" s="20" t="e">
        <f>#REF!-'參9 (104)'!E23</f>
        <v>#REF!</v>
      </c>
      <c r="F23" s="98" t="e">
        <f>#REF!-'參9 (104)'!F23</f>
        <v>#REF!</v>
      </c>
      <c r="G23" s="20" t="e">
        <f>#REF!-'參9 (104)'!G23</f>
        <v>#REF!</v>
      </c>
      <c r="H23" s="98" t="e">
        <f>#REF!-'參9 (104)'!H23</f>
        <v>#REF!</v>
      </c>
      <c r="I23" s="20" t="e">
        <f>#REF!-'參9 (104)'!I23</f>
        <v>#REF!</v>
      </c>
      <c r="J23" s="98" t="e">
        <f>#REF!-'參9 (104)'!J23</f>
        <v>#REF!</v>
      </c>
      <c r="O23" s="474"/>
      <c r="Q23" s="474"/>
    </row>
    <row r="24" spans="1:17" ht="30" customHeight="1">
      <c r="A24" s="37" t="s">
        <v>50</v>
      </c>
      <c r="C24" s="20" t="e">
        <f>#REF!-'參9 (104)'!C24</f>
        <v>#REF!</v>
      </c>
      <c r="D24" s="98" t="e">
        <f>#REF!-'參9 (104)'!D24</f>
        <v>#REF!</v>
      </c>
      <c r="E24" s="20" t="e">
        <f>#REF!-'參9 (104)'!E24</f>
        <v>#REF!</v>
      </c>
      <c r="F24" s="98" t="e">
        <f>#REF!-'參9 (104)'!F24</f>
        <v>#REF!</v>
      </c>
      <c r="G24" s="20" t="e">
        <f>#REF!-'參9 (104)'!G24</f>
        <v>#REF!</v>
      </c>
      <c r="H24" s="98" t="e">
        <f>#REF!-'參9 (104)'!H24</f>
        <v>#REF!</v>
      </c>
      <c r="I24" s="20" t="e">
        <f>#REF!-'參9 (104)'!I24</f>
        <v>#REF!</v>
      </c>
      <c r="J24" s="98" t="e">
        <f>#REF!-'參9 (104)'!J24</f>
        <v>#REF!</v>
      </c>
      <c r="Q24" s="474"/>
    </row>
    <row r="25" spans="1:17" ht="30" customHeight="1">
      <c r="A25" s="37"/>
      <c r="C25" s="20" t="e">
        <f>#REF!-'參9 (104)'!C25</f>
        <v>#REF!</v>
      </c>
      <c r="D25" s="98" t="e">
        <f>#REF!-'參9 (104)'!D25</f>
        <v>#REF!</v>
      </c>
      <c r="E25" s="20" t="e">
        <f>#REF!-'參9 (104)'!E25</f>
        <v>#REF!</v>
      </c>
      <c r="F25" s="98" t="e">
        <f>#REF!-'參9 (104)'!F25</f>
        <v>#REF!</v>
      </c>
      <c r="G25" s="20" t="e">
        <f>#REF!-'參9 (104)'!G25</f>
        <v>#REF!</v>
      </c>
      <c r="H25" s="98" t="e">
        <f>#REF!-'參9 (104)'!H25</f>
        <v>#REF!</v>
      </c>
      <c r="I25" s="20" t="e">
        <f>#REF!-'參9 (104)'!I25</f>
        <v>#REF!</v>
      </c>
      <c r="J25" s="98" t="e">
        <f>#REF!-'參9 (104)'!J25</f>
        <v>#REF!</v>
      </c>
    </row>
    <row r="26" spans="1:17" ht="30" customHeight="1">
      <c r="A26" s="34" t="s">
        <v>17</v>
      </c>
      <c r="C26" s="20" t="e">
        <f>#REF!-'參9 (104)'!C26</f>
        <v>#REF!</v>
      </c>
      <c r="D26" s="98" t="e">
        <f>#REF!-'參9 (104)'!D26</f>
        <v>#REF!</v>
      </c>
      <c r="E26" s="20" t="e">
        <f>#REF!-'參9 (104)'!E26</f>
        <v>#REF!</v>
      </c>
      <c r="F26" s="98" t="e">
        <f>#REF!-'參9 (104)'!F26</f>
        <v>#REF!</v>
      </c>
      <c r="G26" s="20" t="e">
        <f>#REF!-'參9 (104)'!G26</f>
        <v>#REF!</v>
      </c>
      <c r="H26" s="98" t="e">
        <f>#REF!-'參9 (104)'!H26</f>
        <v>#REF!</v>
      </c>
      <c r="I26" s="20" t="e">
        <f>#REF!-'參9 (104)'!I26</f>
        <v>#REF!</v>
      </c>
      <c r="J26" s="98" t="e">
        <f>#REF!-'參9 (104)'!J26</f>
        <v>#REF!</v>
      </c>
    </row>
    <row r="27" spans="1:17" s="63" customFormat="1" ht="17.25" customHeight="1">
      <c r="A27" s="63" t="s">
        <v>52</v>
      </c>
      <c r="B27" s="1098" t="s">
        <v>113</v>
      </c>
      <c r="C27" s="1098"/>
      <c r="D27" s="1098"/>
      <c r="E27" s="1098"/>
      <c r="F27" s="1098"/>
      <c r="G27" s="1098"/>
      <c r="H27" s="1098"/>
      <c r="I27" s="1098"/>
      <c r="J27" s="1098"/>
    </row>
    <row r="28" spans="1:17" s="63" customFormat="1" ht="48.75" customHeight="1">
      <c r="A28" s="41" t="s">
        <v>54</v>
      </c>
      <c r="B28" s="1103" t="s">
        <v>1127</v>
      </c>
      <c r="C28" s="1103"/>
      <c r="D28" s="1103"/>
      <c r="E28" s="1103"/>
      <c r="F28" s="1103"/>
      <c r="G28" s="1103"/>
      <c r="H28" s="1103"/>
      <c r="I28" s="1103"/>
      <c r="J28" s="1103"/>
    </row>
  </sheetData>
  <mergeCells count="3">
    <mergeCell ref="B27:J27"/>
    <mergeCell ref="A4:B5"/>
    <mergeCell ref="B28:J28"/>
  </mergeCells>
  <phoneticPr fontId="5" type="noConversion"/>
  <printOptions horizontalCentered="1"/>
  <pageMargins left="0.39370078740157483" right="0.39370078740157483" top="0.78740157480314965" bottom="0.59055118110236227" header="0.43307086614173229" footer="0.19685039370078741"/>
  <pageSetup paperSize="9" scale="90"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filterMode="1">
    <tabColor rgb="FFFFC000"/>
  </sheetPr>
  <dimension ref="A1:AW132"/>
  <sheetViews>
    <sheetView view="pageBreakPreview" zoomScale="70" zoomScaleNormal="75" zoomScaleSheetLayoutView="70" workbookViewId="0">
      <pane xSplit="7" ySplit="5" topLeftCell="H9" activePane="bottomRight" state="frozen"/>
      <selection activeCell="I132" sqref="I132"/>
      <selection pane="topRight" activeCell="I132" sqref="I132"/>
      <selection pane="bottomLeft" activeCell="I132" sqref="I132"/>
      <selection pane="bottomRight" activeCell="I132" sqref="I132"/>
    </sheetView>
  </sheetViews>
  <sheetFormatPr defaultColWidth="13.5" defaultRowHeight="12.75" outlineLevelCol="1"/>
  <cols>
    <col min="1" max="1" width="10.625" style="73" customWidth="1"/>
    <col min="2" max="2" width="7.75" style="591" customWidth="1"/>
    <col min="3" max="3" width="2.875" style="96" customWidth="1"/>
    <col min="4" max="4" width="10.375" style="592" hidden="1" customWidth="1"/>
    <col min="5" max="5" width="23.875" style="592" customWidth="1"/>
    <col min="6" max="6" width="10.375" style="74" hidden="1" customWidth="1"/>
    <col min="7" max="7" width="3.25" style="593" customWidth="1"/>
    <col min="8" max="8" width="11.375" style="594" customWidth="1"/>
    <col min="9" max="9" width="8.625" style="73" customWidth="1" outlineLevel="1"/>
    <col min="10" max="10" width="9.625" style="73" customWidth="1" outlineLevel="1"/>
    <col min="11" max="11" width="9.625" style="95" customWidth="1"/>
    <col min="12" max="18" width="8.625" style="73" customWidth="1" outlineLevel="1"/>
    <col min="19" max="19" width="9.625" style="95" customWidth="1"/>
    <col min="20" max="21" width="8.625" style="73" customWidth="1" outlineLevel="1"/>
    <col min="22" max="24" width="7.625" style="73" customWidth="1" outlineLevel="1"/>
    <col min="25" max="25" width="7.625" style="96" customWidth="1" outlineLevel="1"/>
    <col min="26" max="26" width="8.625" style="78" customWidth="1" outlineLevel="1"/>
    <col min="27" max="33" width="7.625" style="73" customWidth="1" outlineLevel="1"/>
    <col min="34" max="34" width="9.625" style="73" customWidth="1" outlineLevel="1"/>
    <col min="35" max="35" width="8.625" style="95" customWidth="1"/>
    <col min="36" max="37" width="8.625" style="73" customWidth="1" outlineLevel="1"/>
    <col min="38" max="38" width="10.125" style="73" bestFit="1" customWidth="1"/>
    <col min="39" max="16384" width="13.5" style="73"/>
  </cols>
  <sheetData>
    <row r="1" spans="1:41" s="67" customFormat="1" ht="30">
      <c r="A1" s="583"/>
      <c r="B1" s="584"/>
      <c r="C1" s="585"/>
      <c r="D1" s="70"/>
      <c r="E1" s="586"/>
      <c r="F1" s="70"/>
      <c r="G1" s="587"/>
      <c r="H1" s="588" t="s">
        <v>1356</v>
      </c>
      <c r="K1" s="583"/>
      <c r="L1" s="68"/>
      <c r="M1" s="68"/>
      <c r="N1" s="68"/>
      <c r="O1" s="68"/>
      <c r="P1" s="68"/>
      <c r="Q1" s="68"/>
      <c r="R1" s="68"/>
      <c r="S1" s="583"/>
      <c r="U1" s="68"/>
      <c r="V1" s="589" t="s">
        <v>1357</v>
      </c>
      <c r="W1" s="69"/>
      <c r="X1" s="68"/>
      <c r="Y1" s="70"/>
      <c r="Z1" s="71"/>
      <c r="AD1" s="68"/>
      <c r="AF1" s="68"/>
      <c r="AG1" s="68"/>
      <c r="AH1" s="68"/>
      <c r="AI1" s="590"/>
      <c r="AJ1" s="68"/>
      <c r="AK1" s="68"/>
    </row>
    <row r="2" spans="1:41" ht="14.25">
      <c r="A2" s="72"/>
      <c r="U2" s="75" t="s">
        <v>1358</v>
      </c>
      <c r="X2" s="76"/>
      <c r="Y2" s="77"/>
      <c r="AK2" s="75" t="s">
        <v>1358</v>
      </c>
    </row>
    <row r="3" spans="1:41" s="74" customFormat="1" ht="16.5">
      <c r="A3" s="1009" t="s">
        <v>1359</v>
      </c>
      <c r="B3" s="1011" t="s">
        <v>1360</v>
      </c>
      <c r="C3" s="1013" t="s">
        <v>1361</v>
      </c>
      <c r="D3" s="1015" t="s">
        <v>1362</v>
      </c>
      <c r="E3" s="1017" t="s">
        <v>1363</v>
      </c>
      <c r="F3" s="999" t="s">
        <v>1364</v>
      </c>
      <c r="G3" s="1001" t="s">
        <v>1365</v>
      </c>
      <c r="H3" s="595" t="s">
        <v>1366</v>
      </c>
      <c r="I3" s="81"/>
      <c r="J3" s="82"/>
      <c r="K3" s="1003" t="s">
        <v>1367</v>
      </c>
      <c r="L3" s="1004"/>
      <c r="M3" s="1004"/>
      <c r="N3" s="1004"/>
      <c r="O3" s="1004"/>
      <c r="P3" s="1004"/>
      <c r="Q3" s="1004"/>
      <c r="R3" s="1005"/>
      <c r="S3" s="1003" t="s">
        <v>1368</v>
      </c>
      <c r="T3" s="1004"/>
      <c r="U3" s="1005"/>
      <c r="V3" s="83" t="s">
        <v>1368</v>
      </c>
      <c r="W3" s="81"/>
      <c r="X3" s="81"/>
      <c r="Y3" s="81"/>
      <c r="Z3" s="81"/>
      <c r="AA3" s="83"/>
      <c r="AB3" s="81"/>
      <c r="AC3" s="81"/>
      <c r="AD3" s="81"/>
      <c r="AE3" s="81"/>
      <c r="AF3" s="81"/>
      <c r="AG3" s="81"/>
      <c r="AH3" s="81"/>
      <c r="AI3" s="1003" t="s">
        <v>1369</v>
      </c>
      <c r="AJ3" s="1004"/>
      <c r="AK3" s="1005"/>
      <c r="AL3" s="74" t="s">
        <v>1370</v>
      </c>
    </row>
    <row r="4" spans="1:41" s="74" customFormat="1" ht="33">
      <c r="A4" s="1010"/>
      <c r="B4" s="1012"/>
      <c r="C4" s="1014"/>
      <c r="D4" s="1016"/>
      <c r="E4" s="1018"/>
      <c r="F4" s="1000"/>
      <c r="G4" s="1002"/>
      <c r="H4" s="596"/>
      <c r="I4" s="86" t="s">
        <v>1371</v>
      </c>
      <c r="J4" s="86" t="s">
        <v>1372</v>
      </c>
      <c r="K4" s="597"/>
      <c r="L4" s="150" t="s">
        <v>1373</v>
      </c>
      <c r="M4" s="150" t="s">
        <v>1374</v>
      </c>
      <c r="N4" s="358" t="s">
        <v>1375</v>
      </c>
      <c r="O4" s="358" t="s">
        <v>1376</v>
      </c>
      <c r="P4" s="358" t="s">
        <v>1377</v>
      </c>
      <c r="Q4" s="358" t="s">
        <v>1378</v>
      </c>
      <c r="R4" s="598" t="s">
        <v>1379</v>
      </c>
      <c r="S4" s="596"/>
      <c r="T4" s="358" t="s">
        <v>1380</v>
      </c>
      <c r="U4" s="358" t="s">
        <v>56</v>
      </c>
      <c r="V4" s="582" t="s">
        <v>57</v>
      </c>
      <c r="W4" s="582" t="s">
        <v>58</v>
      </c>
      <c r="X4" s="582" t="s">
        <v>59</v>
      </c>
      <c r="Y4" s="582" t="s">
        <v>60</v>
      </c>
      <c r="Z4" s="582" t="s">
        <v>61</v>
      </c>
      <c r="AA4" s="582" t="s">
        <v>62</v>
      </c>
      <c r="AB4" s="582" t="s">
        <v>1381</v>
      </c>
      <c r="AC4" s="582" t="s">
        <v>64</v>
      </c>
      <c r="AD4" s="582" t="s">
        <v>65</v>
      </c>
      <c r="AE4" s="582" t="s">
        <v>66</v>
      </c>
      <c r="AF4" s="582" t="s">
        <v>67</v>
      </c>
      <c r="AG4" s="582" t="s">
        <v>68</v>
      </c>
      <c r="AH4" s="599" t="s">
        <v>1379</v>
      </c>
      <c r="AI4" s="600"/>
      <c r="AJ4" s="358" t="s">
        <v>1382</v>
      </c>
      <c r="AK4" s="358" t="s">
        <v>1383</v>
      </c>
    </row>
    <row r="5" spans="1:41" s="607" customFormat="1" ht="24.95" customHeight="1">
      <c r="A5" s="1019" t="s">
        <v>1384</v>
      </c>
      <c r="B5" s="1020"/>
      <c r="C5" s="1020"/>
      <c r="D5" s="1021"/>
      <c r="E5" s="1022"/>
      <c r="F5" s="601"/>
      <c r="G5" s="602"/>
      <c r="H5" s="603">
        <f t="shared" ref="H5:AK5" si="0">H6+H14+H29+H50+H62+H83+H94+H97+H81+H27</f>
        <v>51953535</v>
      </c>
      <c r="I5" s="604">
        <f t="shared" si="0"/>
        <v>3217708</v>
      </c>
      <c r="J5" s="604">
        <f t="shared" si="0"/>
        <v>48735827</v>
      </c>
      <c r="K5" s="603">
        <f t="shared" si="0"/>
        <v>27227181</v>
      </c>
      <c r="L5" s="604">
        <f t="shared" si="0"/>
        <v>4162445</v>
      </c>
      <c r="M5" s="604">
        <f t="shared" si="0"/>
        <v>558918</v>
      </c>
      <c r="N5" s="604">
        <f t="shared" si="0"/>
        <v>3234114</v>
      </c>
      <c r="O5" s="604">
        <f t="shared" si="0"/>
        <v>2422301</v>
      </c>
      <c r="P5" s="604">
        <f t="shared" si="0"/>
        <v>4834072</v>
      </c>
      <c r="Q5" s="604">
        <f t="shared" si="0"/>
        <v>2816824</v>
      </c>
      <c r="R5" s="604">
        <f t="shared" si="0"/>
        <v>9198507</v>
      </c>
      <c r="S5" s="603">
        <f t="shared" si="0"/>
        <v>23775209</v>
      </c>
      <c r="T5" s="604">
        <f t="shared" si="0"/>
        <v>830606</v>
      </c>
      <c r="U5" s="604">
        <f t="shared" si="0"/>
        <v>1138334</v>
      </c>
      <c r="V5" s="604">
        <f t="shared" si="0"/>
        <v>1036493</v>
      </c>
      <c r="W5" s="604">
        <f t="shared" si="0"/>
        <v>1016736</v>
      </c>
      <c r="X5" s="604">
        <f t="shared" si="0"/>
        <v>715247</v>
      </c>
      <c r="Y5" s="604">
        <f t="shared" si="0"/>
        <v>948852</v>
      </c>
      <c r="Z5" s="604">
        <f t="shared" si="0"/>
        <v>1188805</v>
      </c>
      <c r="AA5" s="604">
        <f t="shared" si="0"/>
        <v>866515</v>
      </c>
      <c r="AB5" s="604">
        <f t="shared" si="0"/>
        <v>773270</v>
      </c>
      <c r="AC5" s="604">
        <f t="shared" si="0"/>
        <v>674215</v>
      </c>
      <c r="AD5" s="604">
        <f t="shared" si="0"/>
        <v>343460</v>
      </c>
      <c r="AE5" s="604">
        <f t="shared" si="0"/>
        <v>778885</v>
      </c>
      <c r="AF5" s="604">
        <f t="shared" si="0"/>
        <v>649427</v>
      </c>
      <c r="AG5" s="604">
        <f t="shared" si="0"/>
        <v>660042</v>
      </c>
      <c r="AH5" s="604">
        <f t="shared" si="0"/>
        <v>12154322</v>
      </c>
      <c r="AI5" s="603">
        <f t="shared" si="0"/>
        <v>951145</v>
      </c>
      <c r="AJ5" s="604">
        <f t="shared" si="0"/>
        <v>449647</v>
      </c>
      <c r="AK5" s="604">
        <f t="shared" si="0"/>
        <v>501498</v>
      </c>
      <c r="AL5" s="387">
        <f>IF(AND(+I5+J5=H5,AI5+S5+K5=H5),0,FALSE)</f>
        <v>0</v>
      </c>
      <c r="AM5" s="605">
        <f t="shared" ref="AM5:AM68" si="1">AI5-AJ5-AK5</f>
        <v>0</v>
      </c>
      <c r="AN5" s="605">
        <f t="shared" ref="AN5:AN68" si="2">S5-T5-U5-V5-W5-X5-Y5-Z5-AA5-AB5-AC5-AD5-AE5-AF5-AG5-AH5</f>
        <v>0</v>
      </c>
      <c r="AO5" s="606">
        <f t="shared" ref="AO5:AO68" si="3">K5-L5-M5-N5-O5-P5-Q5-R5</f>
        <v>0</v>
      </c>
    </row>
    <row r="6" spans="1:41" s="611" customFormat="1" ht="21.95" customHeight="1">
      <c r="A6" s="1006" t="s">
        <v>1385</v>
      </c>
      <c r="B6" s="1006"/>
      <c r="C6" s="1007"/>
      <c r="D6" s="1008"/>
      <c r="E6" s="1006"/>
      <c r="F6" s="608"/>
      <c r="G6" s="609"/>
      <c r="H6" s="610">
        <f t="shared" ref="H6:AK6" si="4">H8+H13+H7</f>
        <v>1698123</v>
      </c>
      <c r="I6" s="610">
        <f t="shared" si="4"/>
        <v>304000</v>
      </c>
      <c r="J6" s="610">
        <f t="shared" si="4"/>
        <v>1394123</v>
      </c>
      <c r="K6" s="610">
        <f t="shared" si="4"/>
        <v>662705</v>
      </c>
      <c r="L6" s="610">
        <f t="shared" si="4"/>
        <v>4400</v>
      </c>
      <c r="M6" s="610">
        <f t="shared" si="4"/>
        <v>0</v>
      </c>
      <c r="N6" s="610">
        <f t="shared" si="4"/>
        <v>87800</v>
      </c>
      <c r="O6" s="610">
        <f t="shared" si="4"/>
        <v>48300</v>
      </c>
      <c r="P6" s="610">
        <f t="shared" si="4"/>
        <v>2800</v>
      </c>
      <c r="Q6" s="610">
        <f t="shared" si="4"/>
        <v>12982</v>
      </c>
      <c r="R6" s="610">
        <f t="shared" si="4"/>
        <v>506423</v>
      </c>
      <c r="S6" s="610">
        <f t="shared" si="4"/>
        <v>1035418</v>
      </c>
      <c r="T6" s="610">
        <f t="shared" si="4"/>
        <v>12400</v>
      </c>
      <c r="U6" s="610">
        <f t="shared" si="4"/>
        <v>455900</v>
      </c>
      <c r="V6" s="610">
        <f t="shared" si="4"/>
        <v>210800</v>
      </c>
      <c r="W6" s="610">
        <f t="shared" si="4"/>
        <v>0</v>
      </c>
      <c r="X6" s="610">
        <f t="shared" si="4"/>
        <v>32400</v>
      </c>
      <c r="Y6" s="610">
        <f t="shared" si="4"/>
        <v>0</v>
      </c>
      <c r="Z6" s="610">
        <f t="shared" si="4"/>
        <v>13600</v>
      </c>
      <c r="AA6" s="610">
        <f t="shared" si="4"/>
        <v>45800</v>
      </c>
      <c r="AB6" s="610">
        <f t="shared" si="4"/>
        <v>40600</v>
      </c>
      <c r="AC6" s="610">
        <f t="shared" si="4"/>
        <v>51400</v>
      </c>
      <c r="AD6" s="610">
        <f t="shared" si="4"/>
        <v>0</v>
      </c>
      <c r="AE6" s="610">
        <f t="shared" si="4"/>
        <v>0</v>
      </c>
      <c r="AF6" s="610">
        <f t="shared" si="4"/>
        <v>0</v>
      </c>
      <c r="AG6" s="610">
        <f t="shared" si="4"/>
        <v>0</v>
      </c>
      <c r="AH6" s="610">
        <f t="shared" si="4"/>
        <v>172518</v>
      </c>
      <c r="AI6" s="610">
        <f t="shared" si="4"/>
        <v>0</v>
      </c>
      <c r="AJ6" s="610">
        <f t="shared" si="4"/>
        <v>0</v>
      </c>
      <c r="AK6" s="610">
        <f t="shared" si="4"/>
        <v>0</v>
      </c>
      <c r="AL6" s="387">
        <f t="shared" ref="AL6:AL69" si="5">IF(AND(+I6+J6=H6,AI6+S6+K6=H6),0,FALSE)</f>
        <v>0</v>
      </c>
      <c r="AM6" s="605">
        <f t="shared" si="1"/>
        <v>0</v>
      </c>
      <c r="AN6" s="605">
        <f t="shared" si="2"/>
        <v>0</v>
      </c>
      <c r="AO6" s="606">
        <f t="shared" si="3"/>
        <v>0</v>
      </c>
    </row>
    <row r="7" spans="1:41" s="621" customFormat="1" ht="28.5">
      <c r="A7" s="612" t="s">
        <v>69</v>
      </c>
      <c r="B7" s="612" t="s">
        <v>1386</v>
      </c>
      <c r="C7" s="613">
        <v>4</v>
      </c>
      <c r="D7" s="614"/>
      <c r="E7" s="615" t="s">
        <v>1387</v>
      </c>
      <c r="F7" s="608"/>
      <c r="G7" s="616">
        <v>1</v>
      </c>
      <c r="H7" s="617">
        <f>I7+J7</f>
        <v>378423</v>
      </c>
      <c r="I7" s="618">
        <f>300000-6000</f>
        <v>294000</v>
      </c>
      <c r="J7" s="618">
        <v>84423</v>
      </c>
      <c r="K7" s="617">
        <f>384423-6000</f>
        <v>378423</v>
      </c>
      <c r="L7" s="618"/>
      <c r="M7" s="618"/>
      <c r="N7" s="618"/>
      <c r="O7" s="618"/>
      <c r="P7" s="618"/>
      <c r="Q7" s="618"/>
      <c r="R7" s="618">
        <f>384423-6000</f>
        <v>378423</v>
      </c>
      <c r="S7" s="619"/>
      <c r="T7" s="620"/>
      <c r="U7" s="620"/>
      <c r="V7" s="620"/>
      <c r="W7" s="620"/>
      <c r="X7" s="620"/>
      <c r="Y7" s="620"/>
      <c r="Z7" s="620"/>
      <c r="AA7" s="620"/>
      <c r="AB7" s="620"/>
      <c r="AC7" s="620"/>
      <c r="AD7" s="620"/>
      <c r="AE7" s="620"/>
      <c r="AF7" s="620"/>
      <c r="AG7" s="620"/>
      <c r="AH7" s="620"/>
      <c r="AI7" s="619"/>
      <c r="AJ7" s="620"/>
      <c r="AK7" s="620"/>
      <c r="AL7" s="387">
        <f t="shared" si="5"/>
        <v>0</v>
      </c>
      <c r="AM7" s="605">
        <f t="shared" si="1"/>
        <v>0</v>
      </c>
      <c r="AN7" s="605">
        <f t="shared" si="2"/>
        <v>0</v>
      </c>
      <c r="AO7" s="606">
        <f t="shared" si="3"/>
        <v>0</v>
      </c>
    </row>
    <row r="8" spans="1:41" s="624" customFormat="1" ht="14.25">
      <c r="A8" s="1027" t="s">
        <v>1388</v>
      </c>
      <c r="B8" s="1027"/>
      <c r="C8" s="1028"/>
      <c r="D8" s="1025"/>
      <c r="E8" s="1027"/>
      <c r="F8" s="623"/>
      <c r="G8" s="616"/>
      <c r="H8" s="619">
        <f>H9+H10+H11+H12</f>
        <v>558500</v>
      </c>
      <c r="I8" s="620">
        <f t="shared" ref="I8:AK8" si="6">I9+I10+I11+I12</f>
        <v>10000</v>
      </c>
      <c r="J8" s="620">
        <f t="shared" si="6"/>
        <v>548500</v>
      </c>
      <c r="K8" s="619">
        <f t="shared" si="6"/>
        <v>166182</v>
      </c>
      <c r="L8" s="620">
        <f t="shared" si="6"/>
        <v>4400</v>
      </c>
      <c r="M8" s="620">
        <f t="shared" si="6"/>
        <v>0</v>
      </c>
      <c r="N8" s="620">
        <f t="shared" si="6"/>
        <v>10400</v>
      </c>
      <c r="O8" s="620">
        <f t="shared" si="6"/>
        <v>7600</v>
      </c>
      <c r="P8" s="620">
        <f t="shared" si="6"/>
        <v>2800</v>
      </c>
      <c r="Q8" s="620">
        <f t="shared" si="6"/>
        <v>12982</v>
      </c>
      <c r="R8" s="620">
        <f t="shared" si="6"/>
        <v>128000</v>
      </c>
      <c r="S8" s="619">
        <f t="shared" si="6"/>
        <v>392318</v>
      </c>
      <c r="T8" s="620">
        <f t="shared" si="6"/>
        <v>12400</v>
      </c>
      <c r="U8" s="620">
        <f t="shared" si="6"/>
        <v>8800</v>
      </c>
      <c r="V8" s="620">
        <f t="shared" si="6"/>
        <v>14800</v>
      </c>
      <c r="W8" s="620">
        <f t="shared" si="6"/>
        <v>0</v>
      </c>
      <c r="X8" s="620">
        <f t="shared" si="6"/>
        <v>32400</v>
      </c>
      <c r="Y8" s="620">
        <f t="shared" si="6"/>
        <v>0</v>
      </c>
      <c r="Z8" s="620">
        <f t="shared" si="6"/>
        <v>13600</v>
      </c>
      <c r="AA8" s="620">
        <f t="shared" si="6"/>
        <v>45800</v>
      </c>
      <c r="AB8" s="620">
        <f t="shared" si="6"/>
        <v>40600</v>
      </c>
      <c r="AC8" s="620">
        <f t="shared" si="6"/>
        <v>51400</v>
      </c>
      <c r="AD8" s="620">
        <f t="shared" si="6"/>
        <v>0</v>
      </c>
      <c r="AE8" s="620">
        <f t="shared" si="6"/>
        <v>0</v>
      </c>
      <c r="AF8" s="620">
        <f t="shared" si="6"/>
        <v>0</v>
      </c>
      <c r="AG8" s="620">
        <f t="shared" si="6"/>
        <v>0</v>
      </c>
      <c r="AH8" s="620">
        <f t="shared" si="6"/>
        <v>172518</v>
      </c>
      <c r="AI8" s="619">
        <f t="shared" si="6"/>
        <v>0</v>
      </c>
      <c r="AJ8" s="620">
        <f t="shared" si="6"/>
        <v>0</v>
      </c>
      <c r="AK8" s="620">
        <f t="shared" si="6"/>
        <v>0</v>
      </c>
      <c r="AL8" s="387">
        <f t="shared" si="5"/>
        <v>0</v>
      </c>
      <c r="AM8" s="605">
        <f t="shared" si="1"/>
        <v>0</v>
      </c>
      <c r="AN8" s="605">
        <f t="shared" si="2"/>
        <v>0</v>
      </c>
      <c r="AO8" s="606">
        <f t="shared" si="3"/>
        <v>0</v>
      </c>
    </row>
    <row r="9" spans="1:41" s="633" customFormat="1" ht="28.5">
      <c r="A9" s="65" t="s">
        <v>69</v>
      </c>
      <c r="B9" s="126" t="s">
        <v>1389</v>
      </c>
      <c r="C9" s="625">
        <v>5</v>
      </c>
      <c r="D9" s="626" t="s">
        <v>1390</v>
      </c>
      <c r="E9" s="627" t="s">
        <v>1391</v>
      </c>
      <c r="F9" s="628">
        <v>1</v>
      </c>
      <c r="G9" s="629">
        <v>1</v>
      </c>
      <c r="H9" s="630">
        <v>271000</v>
      </c>
      <c r="I9" s="631"/>
      <c r="J9" s="631">
        <v>271000</v>
      </c>
      <c r="K9" s="630">
        <f>SUM(L9:R9)</f>
        <v>38182</v>
      </c>
      <c r="L9" s="631">
        <v>4400</v>
      </c>
      <c r="M9" s="631"/>
      <c r="N9" s="631">
        <v>10400</v>
      </c>
      <c r="O9" s="631">
        <v>7600</v>
      </c>
      <c r="P9" s="631">
        <v>2800</v>
      </c>
      <c r="Q9" s="632">
        <f>26000-13018</f>
        <v>12982</v>
      </c>
      <c r="R9" s="631"/>
      <c r="S9" s="630">
        <f>SUM(T9:AH9)</f>
        <v>232818</v>
      </c>
      <c r="T9" s="631">
        <v>12400</v>
      </c>
      <c r="U9" s="631">
        <v>8800</v>
      </c>
      <c r="V9" s="631">
        <v>14800</v>
      </c>
      <c r="W9" s="631"/>
      <c r="X9" s="631">
        <v>32400</v>
      </c>
      <c r="Y9" s="631"/>
      <c r="Z9" s="631">
        <v>13600</v>
      </c>
      <c r="AA9" s="631">
        <v>45800</v>
      </c>
      <c r="AB9" s="631">
        <v>40600</v>
      </c>
      <c r="AC9" s="631">
        <v>51400</v>
      </c>
      <c r="AD9" s="631"/>
      <c r="AE9" s="631"/>
      <c r="AF9" s="631"/>
      <c r="AG9" s="631"/>
      <c r="AH9" s="632">
        <v>13018</v>
      </c>
      <c r="AI9" s="630"/>
      <c r="AJ9" s="631"/>
      <c r="AK9" s="631"/>
      <c r="AL9" s="387">
        <f t="shared" si="5"/>
        <v>0</v>
      </c>
      <c r="AM9" s="605">
        <f t="shared" si="1"/>
        <v>0</v>
      </c>
      <c r="AN9" s="605">
        <f t="shared" si="2"/>
        <v>0</v>
      </c>
      <c r="AO9" s="606">
        <f t="shared" si="3"/>
        <v>0</v>
      </c>
    </row>
    <row r="10" spans="1:41" s="633" customFormat="1" ht="28.5">
      <c r="A10" s="65" t="s">
        <v>69</v>
      </c>
      <c r="B10" s="126" t="s">
        <v>1392</v>
      </c>
      <c r="C10" s="625">
        <v>5</v>
      </c>
      <c r="D10" s="634" t="s">
        <v>1393</v>
      </c>
      <c r="E10" s="627" t="s">
        <v>1394</v>
      </c>
      <c r="F10" s="635">
        <v>1</v>
      </c>
      <c r="G10" s="636">
        <v>1</v>
      </c>
      <c r="H10" s="637">
        <f>SUM(I10:J10)</f>
        <v>80000</v>
      </c>
      <c r="I10" s="638">
        <v>10000</v>
      </c>
      <c r="J10" s="638">
        <v>70000</v>
      </c>
      <c r="K10" s="637">
        <f>SUM(L10:R10)</f>
        <v>70000</v>
      </c>
      <c r="L10" s="638"/>
      <c r="M10" s="638"/>
      <c r="N10" s="638"/>
      <c r="O10" s="638"/>
      <c r="P10" s="638"/>
      <c r="Q10" s="638"/>
      <c r="R10" s="638">
        <v>70000</v>
      </c>
      <c r="S10" s="637">
        <f>SUM(T10:AH10)</f>
        <v>10000</v>
      </c>
      <c r="T10" s="638"/>
      <c r="U10" s="638"/>
      <c r="V10" s="638"/>
      <c r="W10" s="638"/>
      <c r="X10" s="638"/>
      <c r="Y10" s="638"/>
      <c r="Z10" s="638"/>
      <c r="AA10" s="638"/>
      <c r="AB10" s="638"/>
      <c r="AC10" s="638"/>
      <c r="AD10" s="638"/>
      <c r="AE10" s="638"/>
      <c r="AF10" s="638"/>
      <c r="AG10" s="638"/>
      <c r="AH10" s="638">
        <v>10000</v>
      </c>
      <c r="AI10" s="637"/>
      <c r="AJ10" s="638"/>
      <c r="AK10" s="638"/>
      <c r="AL10" s="387">
        <f t="shared" si="5"/>
        <v>0</v>
      </c>
      <c r="AM10" s="605">
        <f t="shared" si="1"/>
        <v>0</v>
      </c>
      <c r="AN10" s="605">
        <f t="shared" si="2"/>
        <v>0</v>
      </c>
      <c r="AO10" s="606">
        <f t="shared" si="3"/>
        <v>0</v>
      </c>
    </row>
    <row r="11" spans="1:41" s="633" customFormat="1" ht="28.5">
      <c r="A11" s="65" t="s">
        <v>69</v>
      </c>
      <c r="B11" s="126" t="s">
        <v>1392</v>
      </c>
      <c r="C11" s="625">
        <v>5</v>
      </c>
      <c r="D11" s="634" t="s">
        <v>1393</v>
      </c>
      <c r="E11" s="627" t="s">
        <v>1395</v>
      </c>
      <c r="F11" s="635">
        <v>1</v>
      </c>
      <c r="G11" s="636">
        <v>1</v>
      </c>
      <c r="H11" s="637">
        <f>SUM(I11:J11)</f>
        <v>148500</v>
      </c>
      <c r="I11" s="638"/>
      <c r="J11" s="638">
        <v>148500</v>
      </c>
      <c r="K11" s="637">
        <f>SUM(L11:R11)</f>
        <v>28500</v>
      </c>
      <c r="L11" s="638"/>
      <c r="M11" s="638"/>
      <c r="N11" s="638"/>
      <c r="O11" s="638"/>
      <c r="P11" s="638"/>
      <c r="Q11" s="638"/>
      <c r="R11" s="638">
        <v>28500</v>
      </c>
      <c r="S11" s="637">
        <f>SUM(T11:AH11)</f>
        <v>120000</v>
      </c>
      <c r="T11" s="638"/>
      <c r="U11" s="638"/>
      <c r="V11" s="638"/>
      <c r="W11" s="638"/>
      <c r="X11" s="638"/>
      <c r="Y11" s="638"/>
      <c r="Z11" s="638"/>
      <c r="AA11" s="638"/>
      <c r="AB11" s="638"/>
      <c r="AC11" s="638"/>
      <c r="AD11" s="638"/>
      <c r="AE11" s="638"/>
      <c r="AF11" s="638"/>
      <c r="AG11" s="638"/>
      <c r="AH11" s="638">
        <v>120000</v>
      </c>
      <c r="AI11" s="637">
        <f>SUM(AJ11:AK11)</f>
        <v>0</v>
      </c>
      <c r="AJ11" s="638"/>
      <c r="AK11" s="638"/>
      <c r="AL11" s="387">
        <f t="shared" si="5"/>
        <v>0</v>
      </c>
      <c r="AM11" s="605">
        <f t="shared" si="1"/>
        <v>0</v>
      </c>
      <c r="AN11" s="605">
        <f t="shared" si="2"/>
        <v>0</v>
      </c>
      <c r="AO11" s="606">
        <f t="shared" si="3"/>
        <v>0</v>
      </c>
    </row>
    <row r="12" spans="1:41" s="633" customFormat="1" ht="28.5">
      <c r="A12" s="65" t="s">
        <v>69</v>
      </c>
      <c r="B12" s="126" t="s">
        <v>1392</v>
      </c>
      <c r="C12" s="625">
        <v>5</v>
      </c>
      <c r="D12" s="634" t="s">
        <v>1393</v>
      </c>
      <c r="E12" s="627" t="s">
        <v>1396</v>
      </c>
      <c r="F12" s="635">
        <v>1</v>
      </c>
      <c r="G12" s="636">
        <v>1</v>
      </c>
      <c r="H12" s="637">
        <f>SUM(I12:J12)</f>
        <v>59000</v>
      </c>
      <c r="I12" s="638"/>
      <c r="J12" s="638">
        <v>59000</v>
      </c>
      <c r="K12" s="637">
        <f>SUM(L12:R12)</f>
        <v>29500</v>
      </c>
      <c r="L12" s="638"/>
      <c r="M12" s="638"/>
      <c r="N12" s="638"/>
      <c r="O12" s="638"/>
      <c r="P12" s="638"/>
      <c r="Q12" s="638"/>
      <c r="R12" s="638">
        <v>29500</v>
      </c>
      <c r="S12" s="637">
        <f>SUM(T12:AH12)</f>
        <v>29500</v>
      </c>
      <c r="T12" s="638"/>
      <c r="U12" s="638"/>
      <c r="V12" s="638"/>
      <c r="W12" s="638"/>
      <c r="X12" s="638"/>
      <c r="Y12" s="638"/>
      <c r="Z12" s="638"/>
      <c r="AA12" s="638"/>
      <c r="AB12" s="638"/>
      <c r="AC12" s="638"/>
      <c r="AD12" s="638"/>
      <c r="AE12" s="638"/>
      <c r="AF12" s="638"/>
      <c r="AG12" s="638"/>
      <c r="AH12" s="638">
        <v>29500</v>
      </c>
      <c r="AI12" s="637"/>
      <c r="AJ12" s="638"/>
      <c r="AK12" s="638"/>
      <c r="AL12" s="387">
        <f t="shared" si="5"/>
        <v>0</v>
      </c>
      <c r="AM12" s="605">
        <f t="shared" si="1"/>
        <v>0</v>
      </c>
      <c r="AN12" s="605">
        <f t="shared" si="2"/>
        <v>0</v>
      </c>
      <c r="AO12" s="606">
        <f t="shared" si="3"/>
        <v>0</v>
      </c>
    </row>
    <row r="13" spans="1:41" s="624" customFormat="1" ht="28.5">
      <c r="A13" s="612" t="s">
        <v>69</v>
      </c>
      <c r="B13" s="615" t="s">
        <v>260</v>
      </c>
      <c r="C13" s="639">
        <v>5</v>
      </c>
      <c r="D13" s="640">
        <v>5.9</v>
      </c>
      <c r="E13" s="615" t="s">
        <v>1397</v>
      </c>
      <c r="F13" s="641">
        <v>1</v>
      </c>
      <c r="G13" s="616">
        <v>3</v>
      </c>
      <c r="H13" s="619">
        <v>761200</v>
      </c>
      <c r="I13" s="620">
        <v>0</v>
      </c>
      <c r="J13" s="642">
        <v>761200</v>
      </c>
      <c r="K13" s="619">
        <f>SUM(L13:R13)</f>
        <v>118100</v>
      </c>
      <c r="L13" s="620"/>
      <c r="M13" s="620"/>
      <c r="N13" s="620">
        <v>77400</v>
      </c>
      <c r="O13" s="620">
        <v>40700</v>
      </c>
      <c r="P13" s="620"/>
      <c r="Q13" s="620"/>
      <c r="R13" s="620"/>
      <c r="S13" s="643">
        <f>SUM(T13:AH13)</f>
        <v>643100</v>
      </c>
      <c r="T13" s="620"/>
      <c r="U13" s="642">
        <v>447100</v>
      </c>
      <c r="V13" s="620">
        <v>196000</v>
      </c>
      <c r="W13" s="620"/>
      <c r="X13" s="620"/>
      <c r="Y13" s="620"/>
      <c r="Z13" s="620"/>
      <c r="AA13" s="620"/>
      <c r="AB13" s="620"/>
      <c r="AC13" s="620"/>
      <c r="AD13" s="620"/>
      <c r="AE13" s="620"/>
      <c r="AF13" s="620"/>
      <c r="AG13" s="620"/>
      <c r="AH13" s="620"/>
      <c r="AI13" s="619">
        <v>0</v>
      </c>
      <c r="AJ13" s="620"/>
      <c r="AK13" s="620"/>
      <c r="AL13" s="387">
        <f t="shared" si="5"/>
        <v>0</v>
      </c>
      <c r="AM13" s="605">
        <f t="shared" si="1"/>
        <v>0</v>
      </c>
      <c r="AN13" s="605">
        <f t="shared" si="2"/>
        <v>0</v>
      </c>
      <c r="AO13" s="606">
        <f t="shared" si="3"/>
        <v>0</v>
      </c>
    </row>
    <row r="14" spans="1:41" s="646" customFormat="1" ht="15.75">
      <c r="A14" s="1029" t="s">
        <v>1398</v>
      </c>
      <c r="B14" s="1030"/>
      <c r="C14" s="1030"/>
      <c r="D14" s="1031"/>
      <c r="E14" s="1032"/>
      <c r="F14" s="644"/>
      <c r="G14" s="609"/>
      <c r="H14" s="645">
        <f t="shared" ref="H14:AK14" si="7">H15+H18+H25+H26</f>
        <v>15088542</v>
      </c>
      <c r="I14" s="645">
        <f t="shared" si="7"/>
        <v>236540</v>
      </c>
      <c r="J14" s="645">
        <f t="shared" si="7"/>
        <v>14852002</v>
      </c>
      <c r="K14" s="645">
        <f t="shared" si="7"/>
        <v>6747121</v>
      </c>
      <c r="L14" s="645">
        <f t="shared" si="7"/>
        <v>1107204</v>
      </c>
      <c r="M14" s="645">
        <f t="shared" si="7"/>
        <v>164150</v>
      </c>
      <c r="N14" s="645">
        <f t="shared" si="7"/>
        <v>556227</v>
      </c>
      <c r="O14" s="645">
        <f t="shared" si="7"/>
        <v>578586</v>
      </c>
      <c r="P14" s="645">
        <f t="shared" si="7"/>
        <v>567563</v>
      </c>
      <c r="Q14" s="645">
        <f t="shared" si="7"/>
        <v>757091</v>
      </c>
      <c r="R14" s="645">
        <f t="shared" si="7"/>
        <v>3016300</v>
      </c>
      <c r="S14" s="645">
        <f t="shared" si="7"/>
        <v>7932967</v>
      </c>
      <c r="T14" s="645">
        <f t="shared" si="7"/>
        <v>267309</v>
      </c>
      <c r="U14" s="645">
        <f t="shared" si="7"/>
        <v>218158</v>
      </c>
      <c r="V14" s="645">
        <f t="shared" si="7"/>
        <v>268145</v>
      </c>
      <c r="W14" s="645">
        <f t="shared" si="7"/>
        <v>366288</v>
      </c>
      <c r="X14" s="645">
        <f t="shared" si="7"/>
        <v>289094</v>
      </c>
      <c r="Y14" s="645">
        <f t="shared" si="7"/>
        <v>240912</v>
      </c>
      <c r="Z14" s="645">
        <f t="shared" si="7"/>
        <v>287737</v>
      </c>
      <c r="AA14" s="645">
        <f t="shared" si="7"/>
        <v>351454</v>
      </c>
      <c r="AB14" s="645">
        <f t="shared" si="7"/>
        <v>355840</v>
      </c>
      <c r="AC14" s="645">
        <f t="shared" si="7"/>
        <v>358685</v>
      </c>
      <c r="AD14" s="645">
        <f t="shared" si="7"/>
        <v>176931</v>
      </c>
      <c r="AE14" s="645">
        <f t="shared" si="7"/>
        <v>297216</v>
      </c>
      <c r="AF14" s="645">
        <f t="shared" si="7"/>
        <v>203465</v>
      </c>
      <c r="AG14" s="645">
        <f t="shared" si="7"/>
        <v>333216</v>
      </c>
      <c r="AH14" s="645">
        <f t="shared" si="7"/>
        <v>3918517</v>
      </c>
      <c r="AI14" s="645">
        <f t="shared" si="7"/>
        <v>408454</v>
      </c>
      <c r="AJ14" s="645">
        <f t="shared" si="7"/>
        <v>205389</v>
      </c>
      <c r="AK14" s="645">
        <f t="shared" si="7"/>
        <v>203065</v>
      </c>
      <c r="AL14" s="387">
        <f t="shared" si="5"/>
        <v>0</v>
      </c>
      <c r="AM14" s="605">
        <f t="shared" si="1"/>
        <v>0</v>
      </c>
      <c r="AN14" s="605">
        <f t="shared" si="2"/>
        <v>0</v>
      </c>
      <c r="AO14" s="606">
        <f t="shared" si="3"/>
        <v>0</v>
      </c>
    </row>
    <row r="15" spans="1:41" s="624" customFormat="1" ht="14.25">
      <c r="A15" s="1033" t="s">
        <v>1399</v>
      </c>
      <c r="B15" s="1034"/>
      <c r="C15" s="1034"/>
      <c r="D15" s="1035"/>
      <c r="E15" s="1036"/>
      <c r="F15" s="647"/>
      <c r="G15" s="616"/>
      <c r="H15" s="648">
        <f t="shared" ref="H15:AK15" si="8">H16+H17</f>
        <v>968542</v>
      </c>
      <c r="I15" s="649">
        <f t="shared" si="8"/>
        <v>24540</v>
      </c>
      <c r="J15" s="649">
        <f t="shared" si="8"/>
        <v>944002</v>
      </c>
      <c r="K15" s="648">
        <f t="shared" si="8"/>
        <v>339627</v>
      </c>
      <c r="L15" s="649">
        <f t="shared" si="8"/>
        <v>60204</v>
      </c>
      <c r="M15" s="649">
        <f t="shared" si="8"/>
        <v>49150</v>
      </c>
      <c r="N15" s="649">
        <f t="shared" si="8"/>
        <v>41227</v>
      </c>
      <c r="O15" s="649">
        <f t="shared" si="8"/>
        <v>53987</v>
      </c>
      <c r="P15" s="649">
        <f t="shared" si="8"/>
        <v>57563</v>
      </c>
      <c r="Q15" s="649">
        <f t="shared" si="8"/>
        <v>61196</v>
      </c>
      <c r="R15" s="649">
        <f t="shared" si="8"/>
        <v>16300</v>
      </c>
      <c r="S15" s="648">
        <f t="shared" si="8"/>
        <v>606461</v>
      </c>
      <c r="T15" s="649">
        <f t="shared" si="8"/>
        <v>23404</v>
      </c>
      <c r="U15" s="649">
        <f t="shared" si="8"/>
        <v>31571</v>
      </c>
      <c r="V15" s="649">
        <f t="shared" si="8"/>
        <v>72108</v>
      </c>
      <c r="W15" s="649">
        <f t="shared" si="8"/>
        <v>66720</v>
      </c>
      <c r="X15" s="649">
        <f t="shared" si="8"/>
        <v>40094</v>
      </c>
      <c r="Y15" s="649">
        <f t="shared" si="8"/>
        <v>47979</v>
      </c>
      <c r="Z15" s="649">
        <f t="shared" si="8"/>
        <v>44506</v>
      </c>
      <c r="AA15" s="649">
        <f t="shared" si="8"/>
        <v>93233</v>
      </c>
      <c r="AB15" s="649">
        <f t="shared" si="8"/>
        <v>37501</v>
      </c>
      <c r="AC15" s="649">
        <f t="shared" si="8"/>
        <v>34681</v>
      </c>
      <c r="AD15" s="649">
        <f t="shared" si="8"/>
        <v>36931</v>
      </c>
      <c r="AE15" s="649">
        <f t="shared" si="8"/>
        <v>23216</v>
      </c>
      <c r="AF15" s="649">
        <f t="shared" si="8"/>
        <v>13410</v>
      </c>
      <c r="AG15" s="649">
        <f t="shared" si="8"/>
        <v>20590</v>
      </c>
      <c r="AH15" s="649">
        <f t="shared" si="8"/>
        <v>20517</v>
      </c>
      <c r="AI15" s="648">
        <f t="shared" si="8"/>
        <v>22454</v>
      </c>
      <c r="AJ15" s="649">
        <f t="shared" si="8"/>
        <v>12389</v>
      </c>
      <c r="AK15" s="649">
        <f t="shared" si="8"/>
        <v>10065</v>
      </c>
      <c r="AL15" s="387">
        <f t="shared" si="5"/>
        <v>0</v>
      </c>
      <c r="AM15" s="605">
        <f t="shared" si="1"/>
        <v>0</v>
      </c>
      <c r="AN15" s="605">
        <f t="shared" si="2"/>
        <v>0</v>
      </c>
      <c r="AO15" s="606">
        <f t="shared" si="3"/>
        <v>0</v>
      </c>
    </row>
    <row r="16" spans="1:41" s="654" customFormat="1" ht="28.5">
      <c r="A16" s="65" t="s">
        <v>116</v>
      </c>
      <c r="B16" s="627" t="s">
        <v>1400</v>
      </c>
      <c r="C16" s="625">
        <v>4</v>
      </c>
      <c r="D16" s="650"/>
      <c r="E16" s="627" t="s">
        <v>1401</v>
      </c>
      <c r="F16" s="101"/>
      <c r="G16" s="629">
        <v>1</v>
      </c>
      <c r="H16" s="651">
        <f>I16+J16</f>
        <v>826160</v>
      </c>
      <c r="I16" s="652">
        <v>0</v>
      </c>
      <c r="J16" s="653">
        <v>826160</v>
      </c>
      <c r="K16" s="651">
        <f>SUM(L16:R16)</f>
        <v>323327</v>
      </c>
      <c r="L16" s="653">
        <v>60204</v>
      </c>
      <c r="M16" s="653">
        <v>49150</v>
      </c>
      <c r="N16" s="653">
        <v>41227</v>
      </c>
      <c r="O16" s="653">
        <v>53987</v>
      </c>
      <c r="P16" s="653">
        <v>57563</v>
      </c>
      <c r="Q16" s="653">
        <v>61196</v>
      </c>
      <c r="R16" s="653">
        <v>0</v>
      </c>
      <c r="S16" s="651">
        <f>SUM(T16:AH16)</f>
        <v>480379</v>
      </c>
      <c r="T16" s="653">
        <v>23404</v>
      </c>
      <c r="U16" s="653">
        <v>31571</v>
      </c>
      <c r="V16" s="653">
        <v>44631</v>
      </c>
      <c r="W16" s="653">
        <v>50344</v>
      </c>
      <c r="X16" s="653">
        <v>40094</v>
      </c>
      <c r="Y16" s="653">
        <v>47979</v>
      </c>
      <c r="Z16" s="653">
        <v>44506</v>
      </c>
      <c r="AA16" s="653">
        <v>51321</v>
      </c>
      <c r="AB16" s="653">
        <v>37501</v>
      </c>
      <c r="AC16" s="653">
        <v>34681</v>
      </c>
      <c r="AD16" s="653">
        <v>17131</v>
      </c>
      <c r="AE16" s="653">
        <v>23216</v>
      </c>
      <c r="AF16" s="653">
        <v>13410</v>
      </c>
      <c r="AG16" s="653">
        <v>20590</v>
      </c>
      <c r="AH16" s="653">
        <v>0</v>
      </c>
      <c r="AI16" s="651">
        <f>SUM(AJ16:AK16)</f>
        <v>22454</v>
      </c>
      <c r="AJ16" s="653">
        <v>12389</v>
      </c>
      <c r="AK16" s="653">
        <v>10065</v>
      </c>
      <c r="AL16" s="387">
        <f t="shared" si="5"/>
        <v>0</v>
      </c>
      <c r="AM16" s="605">
        <f t="shared" si="1"/>
        <v>0</v>
      </c>
      <c r="AN16" s="605">
        <f t="shared" si="2"/>
        <v>0</v>
      </c>
      <c r="AO16" s="606">
        <f t="shared" si="3"/>
        <v>0</v>
      </c>
    </row>
    <row r="17" spans="1:49" s="654" customFormat="1" ht="14.25">
      <c r="A17" s="65" t="s">
        <v>116</v>
      </c>
      <c r="B17" s="627" t="s">
        <v>1402</v>
      </c>
      <c r="C17" s="625">
        <v>5</v>
      </c>
      <c r="D17" s="650" t="s">
        <v>1403</v>
      </c>
      <c r="E17" s="627" t="s">
        <v>1404</v>
      </c>
      <c r="F17" s="101">
        <v>1</v>
      </c>
      <c r="G17" s="629">
        <v>1</v>
      </c>
      <c r="H17" s="651">
        <f>I17+J17</f>
        <v>142382</v>
      </c>
      <c r="I17" s="655">
        <v>24540</v>
      </c>
      <c r="J17" s="656">
        <v>117842</v>
      </c>
      <c r="K17" s="657">
        <v>16300</v>
      </c>
      <c r="L17" s="655"/>
      <c r="M17" s="655"/>
      <c r="N17" s="655"/>
      <c r="O17" s="655"/>
      <c r="P17" s="655"/>
      <c r="Q17" s="655"/>
      <c r="R17" s="655">
        <v>16300</v>
      </c>
      <c r="S17" s="651">
        <f>SUM(T17:AH17)</f>
        <v>126082</v>
      </c>
      <c r="T17" s="655"/>
      <c r="U17" s="655"/>
      <c r="V17" s="655">
        <v>27477</v>
      </c>
      <c r="W17" s="655">
        <v>16376</v>
      </c>
      <c r="X17" s="655"/>
      <c r="Y17" s="655"/>
      <c r="Z17" s="655"/>
      <c r="AA17" s="656">
        <v>41912</v>
      </c>
      <c r="AB17" s="655"/>
      <c r="AC17" s="655"/>
      <c r="AD17" s="655">
        <v>19800</v>
      </c>
      <c r="AE17" s="655"/>
      <c r="AF17" s="655"/>
      <c r="AG17" s="655"/>
      <c r="AH17" s="655">
        <v>20517</v>
      </c>
      <c r="AI17" s="658">
        <f>SUM(AJ17:AK17)</f>
        <v>0</v>
      </c>
      <c r="AJ17" s="659"/>
      <c r="AK17" s="659"/>
      <c r="AL17" s="387">
        <f t="shared" si="5"/>
        <v>0</v>
      </c>
      <c r="AM17" s="605">
        <f t="shared" si="1"/>
        <v>0</v>
      </c>
      <c r="AN17" s="605">
        <f t="shared" si="2"/>
        <v>0</v>
      </c>
      <c r="AO17" s="606">
        <f t="shared" si="3"/>
        <v>0</v>
      </c>
    </row>
    <row r="18" spans="1:49" s="624" customFormat="1" ht="14.25">
      <c r="A18" s="1033" t="s">
        <v>1405</v>
      </c>
      <c r="B18" s="1034"/>
      <c r="C18" s="1034"/>
      <c r="D18" s="1035"/>
      <c r="E18" s="1036"/>
      <c r="F18" s="641"/>
      <c r="G18" s="616"/>
      <c r="H18" s="648">
        <f t="shared" ref="H18:AK18" si="9">SUM(H19:H24)</f>
        <v>13412000</v>
      </c>
      <c r="I18" s="649">
        <f t="shared" si="9"/>
        <v>212000</v>
      </c>
      <c r="J18" s="649">
        <f t="shared" si="9"/>
        <v>13200000</v>
      </c>
      <c r="K18" s="648">
        <f t="shared" si="9"/>
        <v>6202000</v>
      </c>
      <c r="L18" s="649">
        <f t="shared" si="9"/>
        <v>1047000</v>
      </c>
      <c r="M18" s="649">
        <f t="shared" si="9"/>
        <v>115000</v>
      </c>
      <c r="N18" s="649">
        <f t="shared" si="9"/>
        <v>515000</v>
      </c>
      <c r="O18" s="649">
        <f t="shared" si="9"/>
        <v>397000</v>
      </c>
      <c r="P18" s="649">
        <f t="shared" si="9"/>
        <v>510000</v>
      </c>
      <c r="Q18" s="649">
        <f t="shared" si="9"/>
        <v>618000</v>
      </c>
      <c r="R18" s="649">
        <f t="shared" si="9"/>
        <v>3000000</v>
      </c>
      <c r="S18" s="648">
        <f t="shared" si="9"/>
        <v>6824000</v>
      </c>
      <c r="T18" s="649">
        <f t="shared" si="9"/>
        <v>240000</v>
      </c>
      <c r="U18" s="649">
        <f t="shared" si="9"/>
        <v>180000</v>
      </c>
      <c r="V18" s="649">
        <f t="shared" si="9"/>
        <v>179000</v>
      </c>
      <c r="W18" s="649">
        <f t="shared" si="9"/>
        <v>194000</v>
      </c>
      <c r="X18" s="649">
        <f t="shared" si="9"/>
        <v>249000</v>
      </c>
      <c r="Y18" s="649">
        <f t="shared" si="9"/>
        <v>185000</v>
      </c>
      <c r="Z18" s="649">
        <f t="shared" si="9"/>
        <v>209000</v>
      </c>
      <c r="AA18" s="649">
        <f t="shared" si="9"/>
        <v>245000</v>
      </c>
      <c r="AB18" s="649">
        <f t="shared" si="9"/>
        <v>224000</v>
      </c>
      <c r="AC18" s="649">
        <f t="shared" si="9"/>
        <v>229000</v>
      </c>
      <c r="AD18" s="649">
        <f t="shared" si="9"/>
        <v>140000</v>
      </c>
      <c r="AE18" s="649">
        <f t="shared" si="9"/>
        <v>224000</v>
      </c>
      <c r="AF18" s="649">
        <f t="shared" si="9"/>
        <v>169000</v>
      </c>
      <c r="AG18" s="649">
        <f t="shared" si="9"/>
        <v>259000</v>
      </c>
      <c r="AH18" s="649">
        <f t="shared" si="9"/>
        <v>3898000</v>
      </c>
      <c r="AI18" s="648">
        <f t="shared" si="9"/>
        <v>386000</v>
      </c>
      <c r="AJ18" s="649">
        <f t="shared" si="9"/>
        <v>193000</v>
      </c>
      <c r="AK18" s="649">
        <f t="shared" si="9"/>
        <v>193000</v>
      </c>
      <c r="AL18" s="387">
        <f t="shared" si="5"/>
        <v>0</v>
      </c>
      <c r="AM18" s="605">
        <f t="shared" si="1"/>
        <v>0</v>
      </c>
      <c r="AN18" s="605">
        <f t="shared" si="2"/>
        <v>0</v>
      </c>
      <c r="AO18" s="606">
        <f t="shared" si="3"/>
        <v>0</v>
      </c>
    </row>
    <row r="19" spans="1:49" s="654" customFormat="1" ht="14.25">
      <c r="A19" s="65" t="s">
        <v>116</v>
      </c>
      <c r="B19" s="126" t="s">
        <v>1406</v>
      </c>
      <c r="C19" s="660">
        <v>2</v>
      </c>
      <c r="D19" s="661" t="s">
        <v>1407</v>
      </c>
      <c r="E19" s="627" t="s">
        <v>1408</v>
      </c>
      <c r="F19" s="101">
        <v>1</v>
      </c>
      <c r="G19" s="629">
        <v>6</v>
      </c>
      <c r="H19" s="662">
        <f t="shared" ref="H19:H24" si="10">I19+J19</f>
        <v>19000</v>
      </c>
      <c r="I19" s="663">
        <v>2000</v>
      </c>
      <c r="J19" s="663">
        <v>17000</v>
      </c>
      <c r="K19" s="662">
        <f t="shared" ref="K19:K24" si="11">SUM(L19:R19)</f>
        <v>19000</v>
      </c>
      <c r="L19" s="663"/>
      <c r="M19" s="663"/>
      <c r="N19" s="663"/>
      <c r="O19" s="663">
        <v>2000</v>
      </c>
      <c r="P19" s="663"/>
      <c r="Q19" s="663">
        <v>17000</v>
      </c>
      <c r="R19" s="663"/>
      <c r="S19" s="662">
        <f t="shared" ref="S19:S24" si="12">SUM(T19:AH19)</f>
        <v>0</v>
      </c>
      <c r="T19" s="663"/>
      <c r="U19" s="663"/>
      <c r="V19" s="663"/>
      <c r="W19" s="663"/>
      <c r="X19" s="663"/>
      <c r="Y19" s="663"/>
      <c r="Z19" s="663"/>
      <c r="AA19" s="663"/>
      <c r="AB19" s="663"/>
      <c r="AC19" s="663"/>
      <c r="AD19" s="663"/>
      <c r="AE19" s="663"/>
      <c r="AF19" s="663"/>
      <c r="AG19" s="663"/>
      <c r="AH19" s="663"/>
      <c r="AI19" s="662">
        <f t="shared" ref="AI19:AI24" si="13">SUM(AJ19:AK19)</f>
        <v>0</v>
      </c>
      <c r="AJ19" s="663"/>
      <c r="AK19" s="663"/>
      <c r="AL19" s="387">
        <f t="shared" si="5"/>
        <v>0</v>
      </c>
      <c r="AM19" s="605">
        <f t="shared" si="1"/>
        <v>0</v>
      </c>
      <c r="AN19" s="605">
        <f t="shared" si="2"/>
        <v>0</v>
      </c>
      <c r="AO19" s="606">
        <f t="shared" si="3"/>
        <v>0</v>
      </c>
    </row>
    <row r="20" spans="1:49" s="633" customFormat="1" ht="28.5">
      <c r="A20" s="65" t="s">
        <v>116</v>
      </c>
      <c r="B20" s="126" t="s">
        <v>1406</v>
      </c>
      <c r="C20" s="660">
        <v>2</v>
      </c>
      <c r="D20" s="650" t="s">
        <v>1409</v>
      </c>
      <c r="E20" s="126" t="s">
        <v>1410</v>
      </c>
      <c r="F20" s="101">
        <v>1</v>
      </c>
      <c r="G20" s="664">
        <v>6</v>
      </c>
      <c r="H20" s="662">
        <f t="shared" si="10"/>
        <v>2130000</v>
      </c>
      <c r="I20" s="663">
        <v>50000</v>
      </c>
      <c r="J20" s="663">
        <v>2080000</v>
      </c>
      <c r="K20" s="662">
        <f t="shared" si="11"/>
        <v>1469000</v>
      </c>
      <c r="L20" s="663">
        <v>708000</v>
      </c>
      <c r="M20" s="663"/>
      <c r="N20" s="663">
        <v>300000</v>
      </c>
      <c r="O20" s="663">
        <v>80000</v>
      </c>
      <c r="P20" s="663">
        <v>180000</v>
      </c>
      <c r="Q20" s="663">
        <v>201000</v>
      </c>
      <c r="R20" s="663"/>
      <c r="S20" s="662">
        <f t="shared" si="12"/>
        <v>659000</v>
      </c>
      <c r="T20" s="663">
        <v>57000</v>
      </c>
      <c r="U20" s="663">
        <v>21000</v>
      </c>
      <c r="V20" s="663">
        <v>40000</v>
      </c>
      <c r="W20" s="663">
        <v>15000</v>
      </c>
      <c r="X20" s="663">
        <v>90000</v>
      </c>
      <c r="Y20" s="663">
        <v>20000</v>
      </c>
      <c r="Z20" s="663">
        <v>30000</v>
      </c>
      <c r="AA20" s="663">
        <v>60000</v>
      </c>
      <c r="AB20" s="663">
        <v>70000</v>
      </c>
      <c r="AC20" s="663">
        <v>50000</v>
      </c>
      <c r="AD20" s="663">
        <v>1000</v>
      </c>
      <c r="AE20" s="663">
        <v>65000</v>
      </c>
      <c r="AF20" s="663">
        <v>10000</v>
      </c>
      <c r="AG20" s="663">
        <v>80000</v>
      </c>
      <c r="AH20" s="663">
        <v>50000</v>
      </c>
      <c r="AI20" s="662">
        <f t="shared" si="13"/>
        <v>2000</v>
      </c>
      <c r="AJ20" s="663">
        <v>1000</v>
      </c>
      <c r="AK20" s="663">
        <v>1000</v>
      </c>
      <c r="AL20" s="387">
        <f t="shared" si="5"/>
        <v>0</v>
      </c>
      <c r="AM20" s="605">
        <f t="shared" si="1"/>
        <v>0</v>
      </c>
      <c r="AN20" s="605">
        <f t="shared" si="2"/>
        <v>0</v>
      </c>
      <c r="AO20" s="606">
        <f t="shared" si="3"/>
        <v>0</v>
      </c>
    </row>
    <row r="21" spans="1:49" s="633" customFormat="1" ht="14.25">
      <c r="A21" s="65" t="s">
        <v>116</v>
      </c>
      <c r="B21" s="126" t="s">
        <v>1406</v>
      </c>
      <c r="C21" s="660">
        <v>2</v>
      </c>
      <c r="D21" s="650" t="s">
        <v>1411</v>
      </c>
      <c r="E21" s="126" t="s">
        <v>1412</v>
      </c>
      <c r="F21" s="101">
        <v>1</v>
      </c>
      <c r="G21" s="664">
        <v>6</v>
      </c>
      <c r="H21" s="651">
        <f>I21+J21</f>
        <v>1760000</v>
      </c>
      <c r="I21" s="665">
        <v>100000</v>
      </c>
      <c r="J21" s="656">
        <v>1660000</v>
      </c>
      <c r="K21" s="651">
        <f>SUM(L21:R21)</f>
        <v>949000</v>
      </c>
      <c r="L21" s="653">
        <v>224000</v>
      </c>
      <c r="M21" s="665"/>
      <c r="N21" s="665">
        <v>100000</v>
      </c>
      <c r="O21" s="665">
        <v>200000</v>
      </c>
      <c r="P21" s="665">
        <v>140000</v>
      </c>
      <c r="Q21" s="653">
        <v>285000</v>
      </c>
      <c r="R21" s="659"/>
      <c r="S21" s="658">
        <v>791000</v>
      </c>
      <c r="T21" s="659">
        <v>74000</v>
      </c>
      <c r="U21" s="659">
        <v>50000</v>
      </c>
      <c r="V21" s="659">
        <v>30000</v>
      </c>
      <c r="W21" s="659">
        <v>70000</v>
      </c>
      <c r="X21" s="659">
        <v>50000</v>
      </c>
      <c r="Y21" s="659">
        <v>56000</v>
      </c>
      <c r="Z21" s="659">
        <v>70000</v>
      </c>
      <c r="AA21" s="659">
        <v>76000</v>
      </c>
      <c r="AB21" s="659">
        <v>45000</v>
      </c>
      <c r="AC21" s="659">
        <v>70000</v>
      </c>
      <c r="AD21" s="659">
        <v>30000</v>
      </c>
      <c r="AE21" s="659">
        <v>50000</v>
      </c>
      <c r="AF21" s="659">
        <v>50000</v>
      </c>
      <c r="AG21" s="659">
        <v>70000</v>
      </c>
      <c r="AH21" s="659"/>
      <c r="AI21" s="658">
        <v>20000</v>
      </c>
      <c r="AJ21" s="659">
        <v>10000</v>
      </c>
      <c r="AK21" s="659">
        <v>10000</v>
      </c>
      <c r="AL21" s="387">
        <f t="shared" si="5"/>
        <v>0</v>
      </c>
      <c r="AM21" s="605">
        <f t="shared" si="1"/>
        <v>0</v>
      </c>
      <c r="AN21" s="605">
        <f t="shared" si="2"/>
        <v>0</v>
      </c>
      <c r="AO21" s="606">
        <f t="shared" si="3"/>
        <v>0</v>
      </c>
    </row>
    <row r="22" spans="1:49" s="633" customFormat="1" ht="28.5">
      <c r="A22" s="65" t="s">
        <v>116</v>
      </c>
      <c r="B22" s="126" t="s">
        <v>1406</v>
      </c>
      <c r="C22" s="660">
        <v>3</v>
      </c>
      <c r="D22" s="650" t="s">
        <v>1413</v>
      </c>
      <c r="E22" s="126" t="s">
        <v>1414</v>
      </c>
      <c r="F22" s="101">
        <v>1</v>
      </c>
      <c r="G22" s="664">
        <v>6</v>
      </c>
      <c r="H22" s="662">
        <f>I22+J22</f>
        <v>75000</v>
      </c>
      <c r="I22" s="663">
        <v>0</v>
      </c>
      <c r="J22" s="663">
        <v>75000</v>
      </c>
      <c r="K22" s="662">
        <f t="shared" si="11"/>
        <v>75000</v>
      </c>
      <c r="L22" s="663"/>
      <c r="M22" s="663"/>
      <c r="N22" s="663"/>
      <c r="O22" s="663"/>
      <c r="P22" s="663">
        <v>75000</v>
      </c>
      <c r="Q22" s="663"/>
      <c r="R22" s="663"/>
      <c r="S22" s="662">
        <f t="shared" si="12"/>
        <v>0</v>
      </c>
      <c r="T22" s="663"/>
      <c r="U22" s="663"/>
      <c r="V22" s="663"/>
      <c r="W22" s="663"/>
      <c r="X22" s="663"/>
      <c r="Y22" s="663"/>
      <c r="Z22" s="663"/>
      <c r="AA22" s="663"/>
      <c r="AB22" s="663"/>
      <c r="AC22" s="663"/>
      <c r="AD22" s="663"/>
      <c r="AE22" s="663"/>
      <c r="AF22" s="663"/>
      <c r="AG22" s="663"/>
      <c r="AH22" s="663"/>
      <c r="AI22" s="662">
        <f t="shared" si="13"/>
        <v>0</v>
      </c>
      <c r="AJ22" s="663"/>
      <c r="AK22" s="663"/>
      <c r="AL22" s="387">
        <f t="shared" si="5"/>
        <v>0</v>
      </c>
      <c r="AM22" s="605">
        <f t="shared" si="1"/>
        <v>0</v>
      </c>
      <c r="AN22" s="605">
        <f t="shared" si="2"/>
        <v>0</v>
      </c>
      <c r="AO22" s="606">
        <f t="shared" si="3"/>
        <v>0</v>
      </c>
    </row>
    <row r="23" spans="1:49" s="633" customFormat="1" ht="28.5">
      <c r="A23" s="65" t="s">
        <v>116</v>
      </c>
      <c r="B23" s="126" t="s">
        <v>1406</v>
      </c>
      <c r="C23" s="660">
        <v>5</v>
      </c>
      <c r="D23" s="650" t="s">
        <v>1415</v>
      </c>
      <c r="E23" s="126" t="s">
        <v>1416</v>
      </c>
      <c r="F23" s="101">
        <v>1</v>
      </c>
      <c r="G23" s="664">
        <v>4</v>
      </c>
      <c r="H23" s="662">
        <v>7048000</v>
      </c>
      <c r="I23" s="663">
        <v>0</v>
      </c>
      <c r="J23" s="666">
        <v>7048000</v>
      </c>
      <c r="K23" s="662">
        <v>3000000</v>
      </c>
      <c r="L23" s="663"/>
      <c r="M23" s="663"/>
      <c r="N23" s="663"/>
      <c r="O23" s="663"/>
      <c r="P23" s="663"/>
      <c r="Q23" s="663"/>
      <c r="R23" s="663">
        <v>3000000</v>
      </c>
      <c r="S23" s="667">
        <v>3848000</v>
      </c>
      <c r="T23" s="663"/>
      <c r="U23" s="663"/>
      <c r="V23" s="663"/>
      <c r="W23" s="663"/>
      <c r="X23" s="663"/>
      <c r="Y23" s="663"/>
      <c r="Z23" s="663"/>
      <c r="AA23" s="663"/>
      <c r="AB23" s="663"/>
      <c r="AC23" s="663"/>
      <c r="AD23" s="663"/>
      <c r="AE23" s="663"/>
      <c r="AF23" s="663"/>
      <c r="AG23" s="663"/>
      <c r="AH23" s="668">
        <v>3848000</v>
      </c>
      <c r="AI23" s="662">
        <v>200000</v>
      </c>
      <c r="AJ23" s="663">
        <v>100000</v>
      </c>
      <c r="AK23" s="663">
        <v>100000</v>
      </c>
      <c r="AL23" s="387">
        <f t="shared" si="5"/>
        <v>0</v>
      </c>
      <c r="AM23" s="605">
        <f t="shared" si="1"/>
        <v>0</v>
      </c>
      <c r="AN23" s="605">
        <f t="shared" si="2"/>
        <v>0</v>
      </c>
      <c r="AO23" s="606">
        <f t="shared" si="3"/>
        <v>0</v>
      </c>
    </row>
    <row r="24" spans="1:49" s="669" customFormat="1" ht="14.25">
      <c r="A24" s="65" t="s">
        <v>116</v>
      </c>
      <c r="B24" s="126" t="s">
        <v>1406</v>
      </c>
      <c r="C24" s="660">
        <v>5</v>
      </c>
      <c r="D24" s="650" t="s">
        <v>1417</v>
      </c>
      <c r="E24" s="126" t="s">
        <v>1418</v>
      </c>
      <c r="F24" s="101">
        <v>1</v>
      </c>
      <c r="G24" s="664">
        <v>4</v>
      </c>
      <c r="H24" s="662">
        <f t="shared" si="10"/>
        <v>2380000</v>
      </c>
      <c r="I24" s="663">
        <v>60000</v>
      </c>
      <c r="J24" s="663">
        <v>2320000</v>
      </c>
      <c r="K24" s="662">
        <f t="shared" si="11"/>
        <v>690000</v>
      </c>
      <c r="L24" s="663">
        <v>115000</v>
      </c>
      <c r="M24" s="663">
        <v>115000</v>
      </c>
      <c r="N24" s="663">
        <v>115000</v>
      </c>
      <c r="O24" s="663">
        <v>115000</v>
      </c>
      <c r="P24" s="663">
        <v>115000</v>
      </c>
      <c r="Q24" s="663">
        <v>115000</v>
      </c>
      <c r="R24" s="663">
        <v>0</v>
      </c>
      <c r="S24" s="662">
        <f t="shared" si="12"/>
        <v>1526000</v>
      </c>
      <c r="T24" s="663">
        <v>109000</v>
      </c>
      <c r="U24" s="663">
        <v>109000</v>
      </c>
      <c r="V24" s="663">
        <v>109000</v>
      </c>
      <c r="W24" s="663">
        <v>109000</v>
      </c>
      <c r="X24" s="663">
        <v>109000</v>
      </c>
      <c r="Y24" s="663">
        <v>109000</v>
      </c>
      <c r="Z24" s="663">
        <v>109000</v>
      </c>
      <c r="AA24" s="663">
        <v>109000</v>
      </c>
      <c r="AB24" s="663">
        <v>109000</v>
      </c>
      <c r="AC24" s="663">
        <v>109000</v>
      </c>
      <c r="AD24" s="663">
        <v>109000</v>
      </c>
      <c r="AE24" s="663">
        <v>109000</v>
      </c>
      <c r="AF24" s="663">
        <v>109000</v>
      </c>
      <c r="AG24" s="663">
        <v>109000</v>
      </c>
      <c r="AH24" s="663">
        <v>0</v>
      </c>
      <c r="AI24" s="662">
        <f t="shared" si="13"/>
        <v>164000</v>
      </c>
      <c r="AJ24" s="663">
        <v>82000</v>
      </c>
      <c r="AK24" s="663">
        <v>82000</v>
      </c>
      <c r="AL24" s="387">
        <f t="shared" si="5"/>
        <v>0</v>
      </c>
      <c r="AM24" s="605">
        <f t="shared" si="1"/>
        <v>0</v>
      </c>
      <c r="AN24" s="605">
        <f t="shared" si="2"/>
        <v>0</v>
      </c>
      <c r="AO24" s="606">
        <f t="shared" si="3"/>
        <v>0</v>
      </c>
      <c r="AP24" s="633"/>
      <c r="AQ24" s="633"/>
      <c r="AR24" s="633"/>
      <c r="AS24" s="633"/>
      <c r="AT24" s="633"/>
      <c r="AU24" s="633"/>
      <c r="AV24" s="633"/>
      <c r="AW24" s="633"/>
    </row>
    <row r="25" spans="1:49" s="678" customFormat="1" ht="14.25">
      <c r="A25" s="612" t="s">
        <v>116</v>
      </c>
      <c r="B25" s="670" t="s">
        <v>1419</v>
      </c>
      <c r="C25" s="639">
        <v>5</v>
      </c>
      <c r="D25" s="671" t="s">
        <v>1403</v>
      </c>
      <c r="E25" s="615" t="s">
        <v>1404</v>
      </c>
      <c r="F25" s="641">
        <v>1</v>
      </c>
      <c r="G25" s="672" t="s">
        <v>1420</v>
      </c>
      <c r="H25" s="651">
        <f>I25+J25</f>
        <v>378000</v>
      </c>
      <c r="I25" s="673"/>
      <c r="J25" s="674">
        <v>378000</v>
      </c>
      <c r="K25" s="675">
        <f>SUM(L25:R25)</f>
        <v>88314</v>
      </c>
      <c r="L25" s="676"/>
      <c r="M25" s="676"/>
      <c r="N25" s="676"/>
      <c r="O25" s="676">
        <v>18509</v>
      </c>
      <c r="P25" s="676"/>
      <c r="Q25" s="676">
        <v>69805</v>
      </c>
      <c r="R25" s="676"/>
      <c r="S25" s="675">
        <f>SUM(T25:AH25)</f>
        <v>289686</v>
      </c>
      <c r="T25" s="676">
        <v>3905</v>
      </c>
      <c r="U25" s="676">
        <v>1587</v>
      </c>
      <c r="V25" s="676">
        <v>17037</v>
      </c>
      <c r="W25" s="676">
        <v>81968</v>
      </c>
      <c r="X25" s="676"/>
      <c r="Y25" s="676">
        <v>7933</v>
      </c>
      <c r="Z25" s="676">
        <v>6231</v>
      </c>
      <c r="AA25" s="676">
        <v>13221</v>
      </c>
      <c r="AB25" s="676">
        <v>12339</v>
      </c>
      <c r="AC25" s="677">
        <v>89004</v>
      </c>
      <c r="AD25" s="676"/>
      <c r="AE25" s="676"/>
      <c r="AF25" s="676">
        <v>14155</v>
      </c>
      <c r="AG25" s="676">
        <v>42306</v>
      </c>
      <c r="AH25" s="676"/>
      <c r="AI25" s="675">
        <f>SUM(AJ25:AK25)</f>
        <v>0</v>
      </c>
      <c r="AJ25" s="676"/>
      <c r="AK25" s="676"/>
      <c r="AL25" s="387">
        <f t="shared" si="5"/>
        <v>0</v>
      </c>
      <c r="AM25" s="605">
        <f t="shared" si="1"/>
        <v>0</v>
      </c>
      <c r="AN25" s="605">
        <f t="shared" si="2"/>
        <v>0</v>
      </c>
      <c r="AO25" s="606">
        <f t="shared" si="3"/>
        <v>0</v>
      </c>
      <c r="AP25" s="633"/>
      <c r="AQ25" s="633"/>
      <c r="AR25" s="633"/>
      <c r="AS25" s="633"/>
      <c r="AT25" s="633"/>
      <c r="AU25" s="633"/>
      <c r="AV25" s="633"/>
      <c r="AW25" s="633"/>
    </row>
    <row r="26" spans="1:49" s="678" customFormat="1" ht="14.25">
      <c r="A26" s="612" t="s">
        <v>116</v>
      </c>
      <c r="B26" s="670" t="s">
        <v>1421</v>
      </c>
      <c r="C26" s="639">
        <v>5</v>
      </c>
      <c r="D26" s="679" t="s">
        <v>1403</v>
      </c>
      <c r="E26" s="615" t="s">
        <v>1404</v>
      </c>
      <c r="F26" s="641">
        <v>1</v>
      </c>
      <c r="G26" s="672" t="s">
        <v>1420</v>
      </c>
      <c r="H26" s="651">
        <f>I26+J26</f>
        <v>330000</v>
      </c>
      <c r="I26" s="680"/>
      <c r="J26" s="674">
        <v>330000</v>
      </c>
      <c r="K26" s="651">
        <f>SUM(L26:R26)</f>
        <v>117180</v>
      </c>
      <c r="L26" s="680"/>
      <c r="M26" s="680"/>
      <c r="N26" s="680"/>
      <c r="O26" s="674">
        <v>109090</v>
      </c>
      <c r="P26" s="680"/>
      <c r="Q26" s="674">
        <v>8090</v>
      </c>
      <c r="R26" s="680"/>
      <c r="S26" s="651">
        <f>SUM(T26:AH26)</f>
        <v>212820</v>
      </c>
      <c r="T26" s="680"/>
      <c r="U26" s="674">
        <v>5000</v>
      </c>
      <c r="V26" s="680"/>
      <c r="W26" s="674">
        <v>23600</v>
      </c>
      <c r="X26" s="680"/>
      <c r="Y26" s="680"/>
      <c r="Z26" s="674">
        <v>28000</v>
      </c>
      <c r="AA26" s="680"/>
      <c r="AB26" s="674">
        <v>82000</v>
      </c>
      <c r="AC26" s="674">
        <v>6000</v>
      </c>
      <c r="AD26" s="680"/>
      <c r="AE26" s="674">
        <v>50000</v>
      </c>
      <c r="AF26" s="674">
        <v>6900</v>
      </c>
      <c r="AG26" s="674">
        <v>11320</v>
      </c>
      <c r="AH26" s="680"/>
      <c r="AI26" s="681">
        <v>0</v>
      </c>
      <c r="AJ26" s="680"/>
      <c r="AK26" s="680"/>
      <c r="AL26" s="387">
        <f t="shared" si="5"/>
        <v>0</v>
      </c>
      <c r="AM26" s="605">
        <f t="shared" si="1"/>
        <v>0</v>
      </c>
      <c r="AN26" s="605">
        <f t="shared" si="2"/>
        <v>0</v>
      </c>
      <c r="AO26" s="606">
        <f t="shared" si="3"/>
        <v>0</v>
      </c>
      <c r="AP26" s="633"/>
      <c r="AQ26" s="633"/>
      <c r="AR26" s="633"/>
      <c r="AS26" s="633"/>
      <c r="AT26" s="633"/>
      <c r="AU26" s="633"/>
      <c r="AV26" s="633"/>
      <c r="AW26" s="633"/>
    </row>
    <row r="27" spans="1:49" s="685" customFormat="1" ht="15.75">
      <c r="A27" s="1037" t="s">
        <v>1422</v>
      </c>
      <c r="B27" s="1038"/>
      <c r="C27" s="1038"/>
      <c r="D27" s="1008"/>
      <c r="E27" s="1039"/>
      <c r="F27" s="641"/>
      <c r="G27" s="682"/>
      <c r="H27" s="683">
        <f>H28</f>
        <v>79442</v>
      </c>
      <c r="I27" s="684">
        <f t="shared" ref="I27:AK27" si="14">I28</f>
        <v>0</v>
      </c>
      <c r="J27" s="684">
        <f t="shared" si="14"/>
        <v>79442</v>
      </c>
      <c r="K27" s="683">
        <f t="shared" si="14"/>
        <v>45094</v>
      </c>
      <c r="L27" s="684">
        <f t="shared" si="14"/>
        <v>9740</v>
      </c>
      <c r="M27" s="684">
        <f t="shared" si="14"/>
        <v>15309</v>
      </c>
      <c r="N27" s="684">
        <f t="shared" si="14"/>
        <v>5667</v>
      </c>
      <c r="O27" s="684">
        <f t="shared" si="14"/>
        <v>172</v>
      </c>
      <c r="P27" s="684">
        <f t="shared" si="14"/>
        <v>6870</v>
      </c>
      <c r="Q27" s="684">
        <f t="shared" si="14"/>
        <v>7336</v>
      </c>
      <c r="R27" s="684">
        <f t="shared" si="14"/>
        <v>0</v>
      </c>
      <c r="S27" s="683">
        <f t="shared" si="14"/>
        <v>33391</v>
      </c>
      <c r="T27" s="684">
        <f t="shared" si="14"/>
        <v>1816</v>
      </c>
      <c r="U27" s="684">
        <f t="shared" si="14"/>
        <v>4171</v>
      </c>
      <c r="V27" s="684">
        <f t="shared" si="14"/>
        <v>1767</v>
      </c>
      <c r="W27" s="684">
        <f t="shared" si="14"/>
        <v>4686</v>
      </c>
      <c r="X27" s="684">
        <f t="shared" si="14"/>
        <v>2134</v>
      </c>
      <c r="Y27" s="684">
        <f t="shared" si="14"/>
        <v>4392</v>
      </c>
      <c r="Z27" s="684">
        <f t="shared" si="14"/>
        <v>1570</v>
      </c>
      <c r="AA27" s="684">
        <f t="shared" si="14"/>
        <v>3263</v>
      </c>
      <c r="AB27" s="684">
        <f t="shared" si="14"/>
        <v>1619</v>
      </c>
      <c r="AC27" s="684">
        <f t="shared" si="14"/>
        <v>638</v>
      </c>
      <c r="AD27" s="684">
        <f t="shared" si="14"/>
        <v>1202</v>
      </c>
      <c r="AE27" s="684">
        <f t="shared" si="14"/>
        <v>1914</v>
      </c>
      <c r="AF27" s="684">
        <f t="shared" si="14"/>
        <v>1766</v>
      </c>
      <c r="AG27" s="684">
        <f t="shared" si="14"/>
        <v>2453</v>
      </c>
      <c r="AH27" s="684">
        <f t="shared" si="14"/>
        <v>0</v>
      </c>
      <c r="AI27" s="683">
        <f t="shared" si="14"/>
        <v>957</v>
      </c>
      <c r="AJ27" s="684">
        <f t="shared" si="14"/>
        <v>270</v>
      </c>
      <c r="AK27" s="684">
        <f t="shared" si="14"/>
        <v>687</v>
      </c>
      <c r="AL27" s="387">
        <f t="shared" si="5"/>
        <v>0</v>
      </c>
      <c r="AM27" s="605">
        <f t="shared" si="1"/>
        <v>0</v>
      </c>
      <c r="AN27" s="605">
        <f t="shared" si="2"/>
        <v>0</v>
      </c>
      <c r="AO27" s="606">
        <f t="shared" si="3"/>
        <v>0</v>
      </c>
      <c r="AP27" s="633"/>
      <c r="AQ27" s="633"/>
      <c r="AR27" s="633"/>
      <c r="AS27" s="633"/>
      <c r="AT27" s="633"/>
      <c r="AU27" s="633"/>
      <c r="AV27" s="633"/>
      <c r="AW27" s="633"/>
    </row>
    <row r="28" spans="1:49" s="691" customFormat="1" ht="28.5">
      <c r="A28" s="126" t="s">
        <v>1291</v>
      </c>
      <c r="B28" s="126" t="s">
        <v>1423</v>
      </c>
      <c r="C28" s="686">
        <v>4</v>
      </c>
      <c r="D28" s="679"/>
      <c r="E28" s="627" t="s">
        <v>1424</v>
      </c>
      <c r="F28" s="641"/>
      <c r="G28" s="687">
        <v>1</v>
      </c>
      <c r="H28" s="688">
        <f>I28+J28</f>
        <v>79442</v>
      </c>
      <c r="I28" s="663"/>
      <c r="J28" s="689">
        <v>79442</v>
      </c>
      <c r="K28" s="688">
        <f>SUM(L28:R28)</f>
        <v>45094</v>
      </c>
      <c r="L28" s="690">
        <v>9740</v>
      </c>
      <c r="M28" s="690">
        <v>15309</v>
      </c>
      <c r="N28" s="690">
        <v>5667</v>
      </c>
      <c r="O28" s="690">
        <v>172</v>
      </c>
      <c r="P28" s="690">
        <v>6870</v>
      </c>
      <c r="Q28" s="690">
        <v>7336</v>
      </c>
      <c r="R28" s="663"/>
      <c r="S28" s="688">
        <f>SUM(T28:AH28)</f>
        <v>33391</v>
      </c>
      <c r="T28" s="689">
        <v>1816</v>
      </c>
      <c r="U28" s="689">
        <v>4171</v>
      </c>
      <c r="V28" s="689">
        <v>1767</v>
      </c>
      <c r="W28" s="689">
        <v>4686</v>
      </c>
      <c r="X28" s="689">
        <v>2134</v>
      </c>
      <c r="Y28" s="689">
        <v>4392</v>
      </c>
      <c r="Z28" s="689">
        <v>1570</v>
      </c>
      <c r="AA28" s="689">
        <v>3263</v>
      </c>
      <c r="AB28" s="689">
        <v>1619</v>
      </c>
      <c r="AC28" s="689">
        <v>638</v>
      </c>
      <c r="AD28" s="689">
        <v>1202</v>
      </c>
      <c r="AE28" s="689">
        <v>1914</v>
      </c>
      <c r="AF28" s="689">
        <v>1766</v>
      </c>
      <c r="AG28" s="689">
        <v>2453</v>
      </c>
      <c r="AH28" s="663"/>
      <c r="AI28" s="688">
        <f>AJ28+AK28</f>
        <v>957</v>
      </c>
      <c r="AJ28" s="689">
        <v>270</v>
      </c>
      <c r="AK28" s="689">
        <v>687</v>
      </c>
      <c r="AL28" s="387">
        <f t="shared" si="5"/>
        <v>0</v>
      </c>
      <c r="AM28" s="605">
        <f t="shared" si="1"/>
        <v>0</v>
      </c>
      <c r="AN28" s="605">
        <f t="shared" si="2"/>
        <v>0</v>
      </c>
      <c r="AO28" s="606">
        <f t="shared" si="3"/>
        <v>0</v>
      </c>
      <c r="AP28" s="633"/>
      <c r="AQ28" s="633"/>
      <c r="AR28" s="633"/>
      <c r="AS28" s="633"/>
      <c r="AT28" s="633"/>
      <c r="AU28" s="633"/>
      <c r="AV28" s="633"/>
      <c r="AW28" s="633"/>
    </row>
    <row r="29" spans="1:49" s="694" customFormat="1" ht="15.75">
      <c r="A29" s="1037" t="s">
        <v>1425</v>
      </c>
      <c r="B29" s="1038"/>
      <c r="C29" s="1038"/>
      <c r="D29" s="1040"/>
      <c r="E29" s="1039"/>
      <c r="F29" s="692"/>
      <c r="G29" s="682"/>
      <c r="H29" s="693">
        <f t="shared" ref="H29:AK29" si="15">H30+H38+H45</f>
        <v>7993954</v>
      </c>
      <c r="I29" s="693">
        <f t="shared" si="15"/>
        <v>646648</v>
      </c>
      <c r="J29" s="693">
        <f t="shared" si="15"/>
        <v>7347306</v>
      </c>
      <c r="K29" s="693">
        <f t="shared" si="15"/>
        <v>4608161</v>
      </c>
      <c r="L29" s="693">
        <f t="shared" si="15"/>
        <v>751630</v>
      </c>
      <c r="M29" s="693">
        <f t="shared" si="15"/>
        <v>309258</v>
      </c>
      <c r="N29" s="693">
        <f t="shared" si="15"/>
        <v>753642</v>
      </c>
      <c r="O29" s="693">
        <f t="shared" si="15"/>
        <v>1017873</v>
      </c>
      <c r="P29" s="693">
        <f t="shared" si="15"/>
        <v>591159</v>
      </c>
      <c r="Q29" s="693">
        <f t="shared" si="15"/>
        <v>1079992</v>
      </c>
      <c r="R29" s="693">
        <f t="shared" si="15"/>
        <v>104607</v>
      </c>
      <c r="S29" s="693">
        <f t="shared" si="15"/>
        <v>3173355</v>
      </c>
      <c r="T29" s="693">
        <f t="shared" si="15"/>
        <v>197860</v>
      </c>
      <c r="U29" s="693">
        <f t="shared" si="15"/>
        <v>296632</v>
      </c>
      <c r="V29" s="693">
        <f t="shared" si="15"/>
        <v>310030</v>
      </c>
      <c r="W29" s="693">
        <f t="shared" si="15"/>
        <v>311380</v>
      </c>
      <c r="X29" s="693">
        <f t="shared" si="15"/>
        <v>253496</v>
      </c>
      <c r="Y29" s="693">
        <f t="shared" si="15"/>
        <v>189786</v>
      </c>
      <c r="Z29" s="693">
        <f t="shared" si="15"/>
        <v>146162</v>
      </c>
      <c r="AA29" s="693">
        <f t="shared" si="15"/>
        <v>236100</v>
      </c>
      <c r="AB29" s="693">
        <f t="shared" si="15"/>
        <v>130011</v>
      </c>
      <c r="AC29" s="693">
        <f t="shared" si="15"/>
        <v>127105</v>
      </c>
      <c r="AD29" s="693">
        <f t="shared" si="15"/>
        <v>93803</v>
      </c>
      <c r="AE29" s="693">
        <f t="shared" si="15"/>
        <v>284877</v>
      </c>
      <c r="AF29" s="693">
        <f t="shared" si="15"/>
        <v>301312</v>
      </c>
      <c r="AG29" s="693">
        <f t="shared" si="15"/>
        <v>112787</v>
      </c>
      <c r="AH29" s="693">
        <f t="shared" si="15"/>
        <v>182014</v>
      </c>
      <c r="AI29" s="693">
        <f t="shared" si="15"/>
        <v>212438</v>
      </c>
      <c r="AJ29" s="693">
        <f t="shared" si="15"/>
        <v>117127</v>
      </c>
      <c r="AK29" s="693">
        <f t="shared" si="15"/>
        <v>95311</v>
      </c>
      <c r="AL29" s="387">
        <f t="shared" si="5"/>
        <v>0</v>
      </c>
      <c r="AM29" s="605">
        <f t="shared" si="1"/>
        <v>0</v>
      </c>
      <c r="AN29" s="605">
        <f t="shared" si="2"/>
        <v>0</v>
      </c>
      <c r="AO29" s="606">
        <f t="shared" si="3"/>
        <v>0</v>
      </c>
    </row>
    <row r="30" spans="1:49" s="695" customFormat="1" ht="14.25">
      <c r="A30" s="1033" t="s">
        <v>1426</v>
      </c>
      <c r="B30" s="1034"/>
      <c r="C30" s="1034"/>
      <c r="D30" s="1035"/>
      <c r="E30" s="1036"/>
      <c r="F30" s="641"/>
      <c r="G30" s="616"/>
      <c r="H30" s="648">
        <f t="shared" ref="H30:AK30" si="16">SUM(H31:H37)</f>
        <v>2184677</v>
      </c>
      <c r="I30" s="649">
        <f t="shared" si="16"/>
        <v>470317</v>
      </c>
      <c r="J30" s="649">
        <f t="shared" si="16"/>
        <v>1714360</v>
      </c>
      <c r="K30" s="648">
        <f t="shared" si="16"/>
        <v>1334712</v>
      </c>
      <c r="L30" s="649">
        <f t="shared" si="16"/>
        <v>278674</v>
      </c>
      <c r="M30" s="649">
        <f t="shared" si="16"/>
        <v>178431</v>
      </c>
      <c r="N30" s="649">
        <f t="shared" si="16"/>
        <v>201161</v>
      </c>
      <c r="O30" s="649">
        <f t="shared" si="16"/>
        <v>245997</v>
      </c>
      <c r="P30" s="649">
        <f t="shared" si="16"/>
        <v>172875</v>
      </c>
      <c r="Q30" s="649">
        <f t="shared" si="16"/>
        <v>237792</v>
      </c>
      <c r="R30" s="649">
        <f t="shared" si="16"/>
        <v>19782</v>
      </c>
      <c r="S30" s="648">
        <f t="shared" si="16"/>
        <v>831075</v>
      </c>
      <c r="T30" s="649">
        <f t="shared" si="16"/>
        <v>49297</v>
      </c>
      <c r="U30" s="649">
        <f t="shared" si="16"/>
        <v>59412</v>
      </c>
      <c r="V30" s="649">
        <f t="shared" si="16"/>
        <v>67959</v>
      </c>
      <c r="W30" s="649">
        <f t="shared" si="16"/>
        <v>114500</v>
      </c>
      <c r="X30" s="649">
        <f t="shared" si="16"/>
        <v>69648</v>
      </c>
      <c r="Y30" s="649">
        <f t="shared" si="16"/>
        <v>80052</v>
      </c>
      <c r="Z30" s="649">
        <f t="shared" si="16"/>
        <v>63643</v>
      </c>
      <c r="AA30" s="649">
        <f t="shared" si="16"/>
        <v>92462</v>
      </c>
      <c r="AB30" s="649">
        <f t="shared" si="16"/>
        <v>42556</v>
      </c>
      <c r="AC30" s="649">
        <f t="shared" si="16"/>
        <v>49866</v>
      </c>
      <c r="AD30" s="649">
        <f t="shared" si="16"/>
        <v>19485</v>
      </c>
      <c r="AE30" s="649">
        <f t="shared" si="16"/>
        <v>30068</v>
      </c>
      <c r="AF30" s="649">
        <f t="shared" si="16"/>
        <v>35182</v>
      </c>
      <c r="AG30" s="649">
        <f t="shared" si="16"/>
        <v>21106</v>
      </c>
      <c r="AH30" s="649">
        <f t="shared" si="16"/>
        <v>35839</v>
      </c>
      <c r="AI30" s="648">
        <f t="shared" si="16"/>
        <v>18890</v>
      </c>
      <c r="AJ30" s="649">
        <f t="shared" si="16"/>
        <v>13478</v>
      </c>
      <c r="AK30" s="649">
        <f t="shared" si="16"/>
        <v>5412</v>
      </c>
      <c r="AL30" s="387">
        <f t="shared" si="5"/>
        <v>0</v>
      </c>
      <c r="AM30" s="605">
        <f t="shared" si="1"/>
        <v>0</v>
      </c>
      <c r="AN30" s="605">
        <f t="shared" si="2"/>
        <v>0</v>
      </c>
      <c r="AO30" s="606">
        <f t="shared" si="3"/>
        <v>0</v>
      </c>
    </row>
    <row r="31" spans="1:49" s="699" customFormat="1" ht="28.5">
      <c r="A31" s="627" t="s">
        <v>1427</v>
      </c>
      <c r="B31" s="627" t="s">
        <v>433</v>
      </c>
      <c r="C31" s="696">
        <v>4</v>
      </c>
      <c r="D31" s="697" t="s">
        <v>1428</v>
      </c>
      <c r="E31" s="627" t="s">
        <v>1429</v>
      </c>
      <c r="F31" s="698">
        <v>2</v>
      </c>
      <c r="G31" s="629">
        <v>3</v>
      </c>
      <c r="H31" s="637">
        <v>6000</v>
      </c>
      <c r="I31" s="638"/>
      <c r="J31" s="638">
        <v>6000</v>
      </c>
      <c r="K31" s="637">
        <v>0</v>
      </c>
      <c r="L31" s="638"/>
      <c r="M31" s="638"/>
      <c r="N31" s="638"/>
      <c r="O31" s="638"/>
      <c r="P31" s="638"/>
      <c r="Q31" s="638"/>
      <c r="R31" s="638"/>
      <c r="S31" s="637">
        <v>6000</v>
      </c>
      <c r="T31" s="638"/>
      <c r="U31" s="638">
        <v>1000</v>
      </c>
      <c r="V31" s="638">
        <v>1000</v>
      </c>
      <c r="W31" s="638"/>
      <c r="X31" s="638"/>
      <c r="Y31" s="638"/>
      <c r="Z31" s="638">
        <v>1000</v>
      </c>
      <c r="AA31" s="638"/>
      <c r="AB31" s="638"/>
      <c r="AC31" s="638"/>
      <c r="AD31" s="638"/>
      <c r="AE31" s="638">
        <v>1000</v>
      </c>
      <c r="AF31" s="638">
        <v>1000</v>
      </c>
      <c r="AG31" s="638">
        <v>1000</v>
      </c>
      <c r="AH31" s="638"/>
      <c r="AI31" s="637">
        <v>0</v>
      </c>
      <c r="AJ31" s="638"/>
      <c r="AK31" s="638"/>
      <c r="AL31" s="387">
        <f t="shared" si="5"/>
        <v>0</v>
      </c>
      <c r="AM31" s="605">
        <f t="shared" si="1"/>
        <v>0</v>
      </c>
      <c r="AN31" s="605">
        <f t="shared" si="2"/>
        <v>0</v>
      </c>
      <c r="AO31" s="606">
        <f t="shared" si="3"/>
        <v>0</v>
      </c>
    </row>
    <row r="32" spans="1:49" s="701" customFormat="1" ht="28.5">
      <c r="A32" s="627" t="s">
        <v>1427</v>
      </c>
      <c r="B32" s="627" t="s">
        <v>433</v>
      </c>
      <c r="C32" s="696">
        <v>4</v>
      </c>
      <c r="D32" s="700" t="s">
        <v>1430</v>
      </c>
      <c r="E32" s="126" t="s">
        <v>1431</v>
      </c>
      <c r="F32" s="698">
        <v>2</v>
      </c>
      <c r="G32" s="629">
        <v>3</v>
      </c>
      <c r="H32" s="637">
        <v>32592</v>
      </c>
      <c r="I32" s="638">
        <v>22592</v>
      </c>
      <c r="J32" s="638">
        <v>10000</v>
      </c>
      <c r="K32" s="637">
        <v>7817</v>
      </c>
      <c r="L32" s="638"/>
      <c r="M32" s="638"/>
      <c r="N32" s="638"/>
      <c r="O32" s="638"/>
      <c r="P32" s="638"/>
      <c r="Q32" s="638"/>
      <c r="R32" s="638">
        <v>7817</v>
      </c>
      <c r="S32" s="637">
        <v>24102</v>
      </c>
      <c r="T32" s="638"/>
      <c r="U32" s="638"/>
      <c r="V32" s="638"/>
      <c r="W32" s="638"/>
      <c r="X32" s="638"/>
      <c r="Y32" s="638"/>
      <c r="Z32" s="638"/>
      <c r="AA32" s="638"/>
      <c r="AB32" s="638"/>
      <c r="AC32" s="638"/>
      <c r="AD32" s="638"/>
      <c r="AE32" s="638"/>
      <c r="AF32" s="638"/>
      <c r="AG32" s="638"/>
      <c r="AH32" s="638">
        <v>24102</v>
      </c>
      <c r="AI32" s="637">
        <v>673</v>
      </c>
      <c r="AJ32" s="638">
        <v>651</v>
      </c>
      <c r="AK32" s="638">
        <v>22</v>
      </c>
      <c r="AL32" s="387">
        <f t="shared" si="5"/>
        <v>0</v>
      </c>
      <c r="AM32" s="605">
        <f t="shared" si="1"/>
        <v>0</v>
      </c>
      <c r="AN32" s="605">
        <f t="shared" si="2"/>
        <v>0</v>
      </c>
      <c r="AO32" s="606">
        <f t="shared" si="3"/>
        <v>0</v>
      </c>
    </row>
    <row r="33" spans="1:41" s="701" customFormat="1" ht="42.75">
      <c r="A33" s="627" t="s">
        <v>1427</v>
      </c>
      <c r="B33" s="627" t="s">
        <v>433</v>
      </c>
      <c r="C33" s="696">
        <v>4</v>
      </c>
      <c r="D33" s="700" t="s">
        <v>1430</v>
      </c>
      <c r="E33" s="126" t="s">
        <v>1432</v>
      </c>
      <c r="F33" s="698">
        <v>2</v>
      </c>
      <c r="G33" s="629">
        <v>3</v>
      </c>
      <c r="H33" s="617">
        <v>65869</v>
      </c>
      <c r="I33" s="638">
        <v>24941</v>
      </c>
      <c r="J33" s="618">
        <v>40928</v>
      </c>
      <c r="K33" s="617">
        <v>35490</v>
      </c>
      <c r="L33" s="618">
        <v>7821</v>
      </c>
      <c r="M33" s="618">
        <v>5433</v>
      </c>
      <c r="N33" s="618">
        <v>4051</v>
      </c>
      <c r="O33" s="618">
        <v>5434</v>
      </c>
      <c r="P33" s="618">
        <v>5182</v>
      </c>
      <c r="Q33" s="618">
        <v>7569</v>
      </c>
      <c r="R33" s="618"/>
      <c r="S33" s="617">
        <v>28883</v>
      </c>
      <c r="T33" s="618">
        <v>2000</v>
      </c>
      <c r="U33" s="618">
        <v>1748</v>
      </c>
      <c r="V33" s="618">
        <v>2504</v>
      </c>
      <c r="W33" s="618">
        <v>3507</v>
      </c>
      <c r="X33" s="618">
        <v>1875</v>
      </c>
      <c r="Y33" s="618">
        <v>3005</v>
      </c>
      <c r="Z33" s="618">
        <v>2504</v>
      </c>
      <c r="AA33" s="618">
        <v>4765</v>
      </c>
      <c r="AB33" s="618">
        <v>2125</v>
      </c>
      <c r="AC33" s="618">
        <v>1749</v>
      </c>
      <c r="AD33" s="618">
        <v>870</v>
      </c>
      <c r="AE33" s="618">
        <v>1246</v>
      </c>
      <c r="AF33" s="618">
        <v>618</v>
      </c>
      <c r="AG33" s="618">
        <v>367</v>
      </c>
      <c r="AH33" s="618"/>
      <c r="AI33" s="617">
        <v>1496</v>
      </c>
      <c r="AJ33" s="618">
        <v>753</v>
      </c>
      <c r="AK33" s="618">
        <v>743</v>
      </c>
      <c r="AL33" s="387">
        <f t="shared" si="5"/>
        <v>0</v>
      </c>
      <c r="AM33" s="605">
        <f t="shared" si="1"/>
        <v>0</v>
      </c>
      <c r="AN33" s="605">
        <f t="shared" si="2"/>
        <v>0</v>
      </c>
      <c r="AO33" s="606">
        <f t="shared" si="3"/>
        <v>0</v>
      </c>
    </row>
    <row r="34" spans="1:41" s="702" customFormat="1" ht="14.25">
      <c r="A34" s="627" t="s">
        <v>1427</v>
      </c>
      <c r="B34" s="627" t="s">
        <v>433</v>
      </c>
      <c r="C34" s="696">
        <v>4</v>
      </c>
      <c r="D34" s="700" t="s">
        <v>1433</v>
      </c>
      <c r="E34" s="126" t="s">
        <v>1434</v>
      </c>
      <c r="F34" s="698">
        <v>2</v>
      </c>
      <c r="G34" s="629">
        <v>3</v>
      </c>
      <c r="H34" s="637">
        <v>773012</v>
      </c>
      <c r="I34" s="638">
        <v>154602</v>
      </c>
      <c r="J34" s="638">
        <v>618410</v>
      </c>
      <c r="K34" s="637">
        <v>373428</v>
      </c>
      <c r="L34" s="638">
        <v>63054</v>
      </c>
      <c r="M34" s="638">
        <v>46241</v>
      </c>
      <c r="N34" s="638">
        <v>56750</v>
      </c>
      <c r="O34" s="638">
        <v>70062</v>
      </c>
      <c r="P34" s="638">
        <v>62355</v>
      </c>
      <c r="Q34" s="638">
        <v>74966</v>
      </c>
      <c r="R34" s="638"/>
      <c r="S34" s="637">
        <v>390943</v>
      </c>
      <c r="T34" s="638">
        <v>23353</v>
      </c>
      <c r="U34" s="638">
        <v>25688</v>
      </c>
      <c r="V34" s="638">
        <v>34330</v>
      </c>
      <c r="W34" s="638">
        <v>49277</v>
      </c>
      <c r="X34" s="638">
        <v>39468</v>
      </c>
      <c r="Y34" s="638">
        <v>42738</v>
      </c>
      <c r="Z34" s="638">
        <v>34330</v>
      </c>
      <c r="AA34" s="638">
        <v>46708</v>
      </c>
      <c r="AB34" s="638">
        <v>25222</v>
      </c>
      <c r="AC34" s="638">
        <v>28959</v>
      </c>
      <c r="AD34" s="638">
        <v>12611</v>
      </c>
      <c r="AE34" s="638">
        <v>12378</v>
      </c>
      <c r="AF34" s="638">
        <v>9575</v>
      </c>
      <c r="AG34" s="638">
        <v>6306</v>
      </c>
      <c r="AH34" s="638"/>
      <c r="AI34" s="637">
        <v>8641</v>
      </c>
      <c r="AJ34" s="638">
        <v>5605</v>
      </c>
      <c r="AK34" s="638">
        <v>3036</v>
      </c>
      <c r="AL34" s="387">
        <f t="shared" si="5"/>
        <v>0</v>
      </c>
      <c r="AM34" s="605">
        <f t="shared" si="1"/>
        <v>0</v>
      </c>
      <c r="AN34" s="605">
        <f t="shared" si="2"/>
        <v>0</v>
      </c>
      <c r="AO34" s="606">
        <f t="shared" si="3"/>
        <v>0</v>
      </c>
    </row>
    <row r="35" spans="1:41" s="702" customFormat="1" ht="28.5">
      <c r="A35" s="627" t="s">
        <v>1427</v>
      </c>
      <c r="B35" s="627" t="s">
        <v>433</v>
      </c>
      <c r="C35" s="696">
        <v>4</v>
      </c>
      <c r="D35" s="700" t="s">
        <v>1435</v>
      </c>
      <c r="E35" s="126" t="s">
        <v>1436</v>
      </c>
      <c r="F35" s="698">
        <v>2</v>
      </c>
      <c r="G35" s="629">
        <v>3</v>
      </c>
      <c r="H35" s="617">
        <v>1283367</v>
      </c>
      <c r="I35" s="638">
        <v>263562</v>
      </c>
      <c r="J35" s="618">
        <v>1019805</v>
      </c>
      <c r="K35" s="617">
        <v>906012</v>
      </c>
      <c r="L35" s="618">
        <v>207799</v>
      </c>
      <c r="M35" s="618">
        <v>126757</v>
      </c>
      <c r="N35" s="618">
        <v>140360</v>
      </c>
      <c r="O35" s="618">
        <v>170501</v>
      </c>
      <c r="P35" s="618">
        <v>105338</v>
      </c>
      <c r="Q35" s="618">
        <v>155257</v>
      </c>
      <c r="R35" s="618"/>
      <c r="S35" s="617">
        <v>369410</v>
      </c>
      <c r="T35" s="618">
        <v>23944</v>
      </c>
      <c r="U35" s="618">
        <v>30976</v>
      </c>
      <c r="V35" s="618">
        <v>30125</v>
      </c>
      <c r="W35" s="618">
        <v>61716</v>
      </c>
      <c r="X35" s="618">
        <v>28305</v>
      </c>
      <c r="Y35" s="618">
        <v>34309</v>
      </c>
      <c r="Z35" s="618">
        <v>25809</v>
      </c>
      <c r="AA35" s="618">
        <v>40989</v>
      </c>
      <c r="AB35" s="618">
        <v>15209</v>
      </c>
      <c r="AC35" s="618">
        <v>19158</v>
      </c>
      <c r="AD35" s="618">
        <v>6004</v>
      </c>
      <c r="AE35" s="618">
        <v>15444</v>
      </c>
      <c r="AF35" s="618">
        <v>23989</v>
      </c>
      <c r="AG35" s="618">
        <v>13433</v>
      </c>
      <c r="AH35" s="638"/>
      <c r="AI35" s="637">
        <v>7945</v>
      </c>
      <c r="AJ35" s="638">
        <v>6374</v>
      </c>
      <c r="AK35" s="638">
        <v>1571</v>
      </c>
      <c r="AL35" s="387">
        <f t="shared" si="5"/>
        <v>0</v>
      </c>
      <c r="AM35" s="605">
        <f t="shared" si="1"/>
        <v>0</v>
      </c>
      <c r="AN35" s="605">
        <f t="shared" si="2"/>
        <v>0</v>
      </c>
      <c r="AO35" s="606">
        <f t="shared" si="3"/>
        <v>0</v>
      </c>
    </row>
    <row r="36" spans="1:41" s="704" customFormat="1" ht="28.5">
      <c r="A36" s="627" t="s">
        <v>1427</v>
      </c>
      <c r="B36" s="627" t="s">
        <v>433</v>
      </c>
      <c r="C36" s="696">
        <v>5</v>
      </c>
      <c r="D36" s="700" t="s">
        <v>1437</v>
      </c>
      <c r="E36" s="126" t="s">
        <v>1438</v>
      </c>
      <c r="F36" s="698">
        <v>1</v>
      </c>
      <c r="G36" s="629">
        <v>3</v>
      </c>
      <c r="H36" s="617">
        <v>13287</v>
      </c>
      <c r="I36" s="703">
        <v>0</v>
      </c>
      <c r="J36" s="618">
        <v>13287</v>
      </c>
      <c r="K36" s="617">
        <v>6615</v>
      </c>
      <c r="L36" s="703"/>
      <c r="M36" s="703"/>
      <c r="N36" s="703"/>
      <c r="O36" s="703"/>
      <c r="P36" s="703"/>
      <c r="Q36" s="703"/>
      <c r="R36" s="618">
        <v>6615</v>
      </c>
      <c r="S36" s="617">
        <v>6537</v>
      </c>
      <c r="T36" s="703"/>
      <c r="U36" s="703"/>
      <c r="V36" s="703"/>
      <c r="W36" s="703"/>
      <c r="X36" s="703"/>
      <c r="Y36" s="703"/>
      <c r="Z36" s="703"/>
      <c r="AA36" s="703"/>
      <c r="AB36" s="703"/>
      <c r="AC36" s="703"/>
      <c r="AD36" s="703"/>
      <c r="AE36" s="703"/>
      <c r="AF36" s="703"/>
      <c r="AG36" s="703"/>
      <c r="AH36" s="618">
        <v>6537</v>
      </c>
      <c r="AI36" s="617">
        <v>135</v>
      </c>
      <c r="AJ36" s="618">
        <v>95</v>
      </c>
      <c r="AK36" s="618">
        <v>40</v>
      </c>
      <c r="AL36" s="387">
        <f t="shared" si="5"/>
        <v>0</v>
      </c>
      <c r="AM36" s="605">
        <f t="shared" si="1"/>
        <v>0</v>
      </c>
      <c r="AN36" s="605">
        <f t="shared" si="2"/>
        <v>0</v>
      </c>
      <c r="AO36" s="606">
        <f t="shared" si="3"/>
        <v>0</v>
      </c>
    </row>
    <row r="37" spans="1:41" s="704" customFormat="1" ht="28.5">
      <c r="A37" s="627" t="s">
        <v>1427</v>
      </c>
      <c r="B37" s="627" t="s">
        <v>433</v>
      </c>
      <c r="C37" s="696">
        <v>5</v>
      </c>
      <c r="D37" s="700" t="s">
        <v>1437</v>
      </c>
      <c r="E37" s="126" t="s">
        <v>1438</v>
      </c>
      <c r="F37" s="698">
        <v>1</v>
      </c>
      <c r="G37" s="629">
        <v>3</v>
      </c>
      <c r="H37" s="617">
        <v>10550</v>
      </c>
      <c r="I37" s="638">
        <v>4620</v>
      </c>
      <c r="J37" s="618">
        <v>5930</v>
      </c>
      <c r="K37" s="617">
        <v>5350</v>
      </c>
      <c r="L37" s="638"/>
      <c r="M37" s="638"/>
      <c r="N37" s="638"/>
      <c r="O37" s="638"/>
      <c r="P37" s="638"/>
      <c r="Q37" s="638"/>
      <c r="R37" s="618">
        <v>5350</v>
      </c>
      <c r="S37" s="617">
        <v>5200</v>
      </c>
      <c r="T37" s="638"/>
      <c r="U37" s="638"/>
      <c r="V37" s="638"/>
      <c r="W37" s="638"/>
      <c r="X37" s="638"/>
      <c r="Y37" s="638"/>
      <c r="Z37" s="638"/>
      <c r="AA37" s="638"/>
      <c r="AB37" s="638"/>
      <c r="AC37" s="638"/>
      <c r="AD37" s="638"/>
      <c r="AE37" s="638"/>
      <c r="AF37" s="638"/>
      <c r="AG37" s="638"/>
      <c r="AH37" s="618">
        <v>5200</v>
      </c>
      <c r="AI37" s="637"/>
      <c r="AJ37" s="638"/>
      <c r="AK37" s="638"/>
      <c r="AL37" s="387">
        <f t="shared" si="5"/>
        <v>0</v>
      </c>
      <c r="AM37" s="605">
        <f t="shared" si="1"/>
        <v>0</v>
      </c>
      <c r="AN37" s="605">
        <f t="shared" si="2"/>
        <v>0</v>
      </c>
      <c r="AO37" s="606">
        <f t="shared" si="3"/>
        <v>0</v>
      </c>
    </row>
    <row r="38" spans="1:41" s="695" customFormat="1" ht="14.25">
      <c r="A38" s="1033" t="s">
        <v>1439</v>
      </c>
      <c r="B38" s="1034"/>
      <c r="C38" s="1034"/>
      <c r="D38" s="1035"/>
      <c r="E38" s="1036"/>
      <c r="F38" s="101"/>
      <c r="G38" s="616"/>
      <c r="H38" s="619">
        <f>SUM(H39:H44)</f>
        <v>2500377</v>
      </c>
      <c r="I38" s="620">
        <f t="shared" ref="I38:AK38" si="17">SUM(I39:I44)</f>
        <v>176331</v>
      </c>
      <c r="J38" s="620">
        <f t="shared" si="17"/>
        <v>2324046</v>
      </c>
      <c r="K38" s="619">
        <f t="shared" si="17"/>
        <v>1573489</v>
      </c>
      <c r="L38" s="620">
        <f t="shared" si="17"/>
        <v>178461</v>
      </c>
      <c r="M38" s="620">
        <f t="shared" si="17"/>
        <v>129928</v>
      </c>
      <c r="N38" s="620">
        <f t="shared" si="17"/>
        <v>267087</v>
      </c>
      <c r="O38" s="620">
        <f t="shared" si="17"/>
        <v>362381</v>
      </c>
      <c r="P38" s="620">
        <f t="shared" si="17"/>
        <v>245890</v>
      </c>
      <c r="Q38" s="620">
        <f t="shared" si="17"/>
        <v>324917</v>
      </c>
      <c r="R38" s="620">
        <f t="shared" si="17"/>
        <v>64825</v>
      </c>
      <c r="S38" s="619">
        <f t="shared" si="17"/>
        <v>875138</v>
      </c>
      <c r="T38" s="620">
        <f t="shared" si="17"/>
        <v>21169</v>
      </c>
      <c r="U38" s="620">
        <f t="shared" si="17"/>
        <v>90422</v>
      </c>
      <c r="V38" s="620">
        <f t="shared" si="17"/>
        <v>139576</v>
      </c>
      <c r="W38" s="620">
        <f t="shared" si="17"/>
        <v>93082</v>
      </c>
      <c r="X38" s="620">
        <f t="shared" si="17"/>
        <v>42252</v>
      </c>
      <c r="Y38" s="620">
        <f t="shared" si="17"/>
        <v>44441</v>
      </c>
      <c r="Z38" s="620">
        <f t="shared" si="17"/>
        <v>38822</v>
      </c>
      <c r="AA38" s="620">
        <f t="shared" si="17"/>
        <v>47850</v>
      </c>
      <c r="AB38" s="620">
        <f t="shared" si="17"/>
        <v>13960</v>
      </c>
      <c r="AC38" s="620">
        <f t="shared" si="17"/>
        <v>17643</v>
      </c>
      <c r="AD38" s="620">
        <f t="shared" si="17"/>
        <v>29520</v>
      </c>
      <c r="AE38" s="620">
        <f t="shared" si="17"/>
        <v>82910</v>
      </c>
      <c r="AF38" s="620">
        <f t="shared" si="17"/>
        <v>121534</v>
      </c>
      <c r="AG38" s="620">
        <f t="shared" si="17"/>
        <v>49782</v>
      </c>
      <c r="AH38" s="620">
        <f t="shared" si="17"/>
        <v>42175</v>
      </c>
      <c r="AI38" s="619">
        <f t="shared" si="17"/>
        <v>51750</v>
      </c>
      <c r="AJ38" s="620">
        <f t="shared" si="17"/>
        <v>45750</v>
      </c>
      <c r="AK38" s="620">
        <f t="shared" si="17"/>
        <v>6000</v>
      </c>
      <c r="AL38" s="387">
        <f t="shared" si="5"/>
        <v>0</v>
      </c>
      <c r="AM38" s="605">
        <f t="shared" si="1"/>
        <v>0</v>
      </c>
      <c r="AN38" s="605">
        <f t="shared" si="2"/>
        <v>0</v>
      </c>
      <c r="AO38" s="606">
        <f t="shared" si="3"/>
        <v>0</v>
      </c>
    </row>
    <row r="39" spans="1:41" s="702" customFormat="1" ht="28.5">
      <c r="A39" s="627" t="s">
        <v>1427</v>
      </c>
      <c r="B39" s="627" t="s">
        <v>1440</v>
      </c>
      <c r="C39" s="696">
        <v>4</v>
      </c>
      <c r="D39" s="700" t="s">
        <v>1433</v>
      </c>
      <c r="E39" s="126" t="s">
        <v>1434</v>
      </c>
      <c r="F39" s="698">
        <v>2</v>
      </c>
      <c r="G39" s="629">
        <v>3</v>
      </c>
      <c r="H39" s="637">
        <v>38790</v>
      </c>
      <c r="I39" s="638">
        <v>7758</v>
      </c>
      <c r="J39" s="638">
        <v>31032</v>
      </c>
      <c r="K39" s="637">
        <v>30313</v>
      </c>
      <c r="L39" s="638">
        <v>7706</v>
      </c>
      <c r="M39" s="638">
        <v>9505</v>
      </c>
      <c r="N39" s="638">
        <v>1798</v>
      </c>
      <c r="O39" s="638">
        <v>3083</v>
      </c>
      <c r="P39" s="638">
        <v>1028</v>
      </c>
      <c r="Q39" s="638">
        <v>7193</v>
      </c>
      <c r="R39" s="638"/>
      <c r="S39" s="637">
        <v>8477</v>
      </c>
      <c r="T39" s="638">
        <v>513</v>
      </c>
      <c r="U39" s="638">
        <v>513</v>
      </c>
      <c r="V39" s="638">
        <v>1027</v>
      </c>
      <c r="W39" s="638">
        <v>1284</v>
      </c>
      <c r="X39" s="638">
        <v>257</v>
      </c>
      <c r="Y39" s="638">
        <v>771</v>
      </c>
      <c r="Z39" s="638">
        <v>514</v>
      </c>
      <c r="AA39" s="638">
        <v>1028</v>
      </c>
      <c r="AB39" s="638">
        <v>257</v>
      </c>
      <c r="AC39" s="638">
        <v>514</v>
      </c>
      <c r="AD39" s="638">
        <v>0</v>
      </c>
      <c r="AE39" s="638">
        <v>1028</v>
      </c>
      <c r="AF39" s="638">
        <v>771</v>
      </c>
      <c r="AG39" s="638">
        <v>0</v>
      </c>
      <c r="AH39" s="638"/>
      <c r="AI39" s="637">
        <v>0</v>
      </c>
      <c r="AJ39" s="638">
        <v>0</v>
      </c>
      <c r="AK39" s="638">
        <v>0</v>
      </c>
      <c r="AL39" s="387">
        <f t="shared" si="5"/>
        <v>0</v>
      </c>
      <c r="AM39" s="605">
        <f t="shared" si="1"/>
        <v>0</v>
      </c>
      <c r="AN39" s="605">
        <f t="shared" si="2"/>
        <v>0</v>
      </c>
      <c r="AO39" s="606">
        <f t="shared" si="3"/>
        <v>0</v>
      </c>
    </row>
    <row r="40" spans="1:41" s="702" customFormat="1" ht="28.5">
      <c r="A40" s="627" t="s">
        <v>1427</v>
      </c>
      <c r="B40" s="627" t="s">
        <v>1440</v>
      </c>
      <c r="C40" s="696">
        <v>4</v>
      </c>
      <c r="D40" s="700" t="s">
        <v>1435</v>
      </c>
      <c r="E40" s="126" t="s">
        <v>1436</v>
      </c>
      <c r="F40" s="698">
        <v>2</v>
      </c>
      <c r="G40" s="629">
        <v>3</v>
      </c>
      <c r="H40" s="637">
        <v>420094</v>
      </c>
      <c r="I40" s="638">
        <v>121468</v>
      </c>
      <c r="J40" s="638">
        <v>298626</v>
      </c>
      <c r="K40" s="637">
        <v>267636</v>
      </c>
      <c r="L40" s="638">
        <v>61778</v>
      </c>
      <c r="M40" s="638">
        <v>42016</v>
      </c>
      <c r="N40" s="638">
        <v>39966</v>
      </c>
      <c r="O40" s="638">
        <v>48120</v>
      </c>
      <c r="P40" s="638">
        <v>29272</v>
      </c>
      <c r="Q40" s="638">
        <v>46484</v>
      </c>
      <c r="R40" s="638"/>
      <c r="S40" s="637">
        <v>152458</v>
      </c>
      <c r="T40" s="638">
        <v>9781</v>
      </c>
      <c r="U40" s="638">
        <v>12709</v>
      </c>
      <c r="V40" s="638">
        <v>12560</v>
      </c>
      <c r="W40" s="638">
        <v>25526</v>
      </c>
      <c r="X40" s="638">
        <v>11602</v>
      </c>
      <c r="Y40" s="638">
        <v>14162</v>
      </c>
      <c r="Z40" s="638">
        <v>10608</v>
      </c>
      <c r="AA40" s="638">
        <v>17007</v>
      </c>
      <c r="AB40" s="638">
        <v>6185</v>
      </c>
      <c r="AC40" s="638">
        <v>7804</v>
      </c>
      <c r="AD40" s="638">
        <v>2435</v>
      </c>
      <c r="AE40" s="638">
        <v>6542</v>
      </c>
      <c r="AF40" s="638">
        <v>10090</v>
      </c>
      <c r="AG40" s="638">
        <v>5447</v>
      </c>
      <c r="AH40" s="638"/>
      <c r="AI40" s="637">
        <v>0</v>
      </c>
      <c r="AJ40" s="638">
        <v>0</v>
      </c>
      <c r="AK40" s="638">
        <v>0</v>
      </c>
      <c r="AL40" s="387">
        <f t="shared" si="5"/>
        <v>0</v>
      </c>
      <c r="AM40" s="605">
        <f t="shared" si="1"/>
        <v>0</v>
      </c>
      <c r="AN40" s="605">
        <f t="shared" si="2"/>
        <v>0</v>
      </c>
      <c r="AO40" s="606">
        <f t="shared" si="3"/>
        <v>0</v>
      </c>
    </row>
    <row r="41" spans="1:41" s="702" customFormat="1" ht="28.5">
      <c r="A41" s="627" t="s">
        <v>1427</v>
      </c>
      <c r="B41" s="627" t="s">
        <v>1440</v>
      </c>
      <c r="C41" s="696">
        <v>4</v>
      </c>
      <c r="D41" s="700" t="s">
        <v>1441</v>
      </c>
      <c r="E41" s="126" t="s">
        <v>1442</v>
      </c>
      <c r="F41" s="698">
        <v>2</v>
      </c>
      <c r="G41" s="629">
        <v>3</v>
      </c>
      <c r="H41" s="637">
        <v>42743</v>
      </c>
      <c r="I41" s="638">
        <v>14105</v>
      </c>
      <c r="J41" s="638">
        <v>28638</v>
      </c>
      <c r="K41" s="637">
        <v>32595</v>
      </c>
      <c r="L41" s="638">
        <v>8917</v>
      </c>
      <c r="M41" s="638">
        <v>10147</v>
      </c>
      <c r="N41" s="638">
        <v>2153</v>
      </c>
      <c r="O41" s="638">
        <v>2768</v>
      </c>
      <c r="P41" s="638">
        <v>1230</v>
      </c>
      <c r="Q41" s="638">
        <v>7380</v>
      </c>
      <c r="R41" s="638"/>
      <c r="S41" s="637">
        <v>10148</v>
      </c>
      <c r="T41" s="638">
        <v>615</v>
      </c>
      <c r="U41" s="638">
        <v>615</v>
      </c>
      <c r="V41" s="638">
        <v>1229</v>
      </c>
      <c r="W41" s="638">
        <v>1537</v>
      </c>
      <c r="X41" s="638">
        <v>308</v>
      </c>
      <c r="Y41" s="638">
        <v>923</v>
      </c>
      <c r="Z41" s="638">
        <v>615</v>
      </c>
      <c r="AA41" s="638">
        <v>1230</v>
      </c>
      <c r="AB41" s="638">
        <v>308</v>
      </c>
      <c r="AC41" s="638">
        <v>615</v>
      </c>
      <c r="AD41" s="638">
        <v>0</v>
      </c>
      <c r="AE41" s="638">
        <v>1230</v>
      </c>
      <c r="AF41" s="638">
        <v>923</v>
      </c>
      <c r="AG41" s="638">
        <v>0</v>
      </c>
      <c r="AH41" s="638"/>
      <c r="AI41" s="637">
        <v>0</v>
      </c>
      <c r="AJ41" s="638">
        <v>0</v>
      </c>
      <c r="AK41" s="638">
        <v>0</v>
      </c>
      <c r="AL41" s="387">
        <f t="shared" si="5"/>
        <v>0</v>
      </c>
      <c r="AM41" s="605">
        <f t="shared" si="1"/>
        <v>0</v>
      </c>
      <c r="AN41" s="605">
        <f t="shared" si="2"/>
        <v>0</v>
      </c>
      <c r="AO41" s="606">
        <f t="shared" si="3"/>
        <v>0</v>
      </c>
    </row>
    <row r="42" spans="1:41" s="702" customFormat="1" ht="28.5">
      <c r="A42" s="627" t="s">
        <v>1427</v>
      </c>
      <c r="B42" s="627" t="s">
        <v>1440</v>
      </c>
      <c r="C42" s="696">
        <v>6</v>
      </c>
      <c r="D42" s="700" t="s">
        <v>1443</v>
      </c>
      <c r="E42" s="126" t="s">
        <v>1444</v>
      </c>
      <c r="F42" s="698">
        <v>1</v>
      </c>
      <c r="G42" s="629">
        <v>3</v>
      </c>
      <c r="H42" s="637">
        <v>1070000</v>
      </c>
      <c r="I42" s="638"/>
      <c r="J42" s="638">
        <v>1070000</v>
      </c>
      <c r="K42" s="637">
        <v>684385</v>
      </c>
      <c r="L42" s="638">
        <v>0</v>
      </c>
      <c r="M42" s="638">
        <v>0</v>
      </c>
      <c r="N42" s="638">
        <v>133110</v>
      </c>
      <c r="O42" s="638">
        <v>208350</v>
      </c>
      <c r="P42" s="638">
        <v>114300</v>
      </c>
      <c r="Q42" s="638">
        <v>163800</v>
      </c>
      <c r="R42" s="638">
        <v>64825</v>
      </c>
      <c r="S42" s="637">
        <v>385615</v>
      </c>
      <c r="T42" s="638">
        <v>0</v>
      </c>
      <c r="U42" s="638">
        <v>49500</v>
      </c>
      <c r="V42" s="638">
        <v>96975</v>
      </c>
      <c r="W42" s="638">
        <v>34650</v>
      </c>
      <c r="X42" s="638">
        <v>0</v>
      </c>
      <c r="Y42" s="638">
        <v>0</v>
      </c>
      <c r="Z42" s="638">
        <v>0</v>
      </c>
      <c r="AA42" s="638">
        <v>0</v>
      </c>
      <c r="AB42" s="638">
        <v>0</v>
      </c>
      <c r="AC42" s="638">
        <v>0</v>
      </c>
      <c r="AD42" s="638">
        <v>0</v>
      </c>
      <c r="AE42" s="638">
        <v>47025</v>
      </c>
      <c r="AF42" s="638">
        <v>78165</v>
      </c>
      <c r="AG42" s="638">
        <v>37125</v>
      </c>
      <c r="AH42" s="638">
        <v>42175</v>
      </c>
      <c r="AI42" s="637">
        <v>0</v>
      </c>
      <c r="AJ42" s="638">
        <v>0</v>
      </c>
      <c r="AK42" s="638">
        <v>0</v>
      </c>
      <c r="AL42" s="387">
        <f t="shared" si="5"/>
        <v>0</v>
      </c>
      <c r="AM42" s="605">
        <f t="shared" si="1"/>
        <v>0</v>
      </c>
      <c r="AN42" s="605">
        <f t="shared" si="2"/>
        <v>0</v>
      </c>
      <c r="AO42" s="606">
        <f t="shared" si="3"/>
        <v>0</v>
      </c>
    </row>
    <row r="43" spans="1:41" s="702" customFormat="1" ht="28.5">
      <c r="A43" s="627" t="s">
        <v>1427</v>
      </c>
      <c r="B43" s="627" t="s">
        <v>1440</v>
      </c>
      <c r="C43" s="696">
        <v>5</v>
      </c>
      <c r="D43" s="700" t="s">
        <v>1437</v>
      </c>
      <c r="E43" s="126" t="s">
        <v>1445</v>
      </c>
      <c r="F43" s="698">
        <v>1</v>
      </c>
      <c r="G43" s="629">
        <v>3</v>
      </c>
      <c r="H43" s="637">
        <v>605050</v>
      </c>
      <c r="I43" s="638"/>
      <c r="J43" s="638">
        <v>605050</v>
      </c>
      <c r="K43" s="637">
        <v>235560</v>
      </c>
      <c r="L43" s="638">
        <v>44560</v>
      </c>
      <c r="M43" s="638">
        <v>12760</v>
      </c>
      <c r="N43" s="638">
        <v>44560</v>
      </c>
      <c r="O43" s="638">
        <v>44560</v>
      </c>
      <c r="P43" s="638">
        <v>44560</v>
      </c>
      <c r="Q43" s="638">
        <v>44560</v>
      </c>
      <c r="R43" s="638"/>
      <c r="S43" s="637">
        <v>317740</v>
      </c>
      <c r="T43" s="638">
        <v>10260</v>
      </c>
      <c r="U43" s="638">
        <v>27085</v>
      </c>
      <c r="V43" s="638">
        <v>27085</v>
      </c>
      <c r="W43" s="638">
        <v>30085</v>
      </c>
      <c r="X43" s="638">
        <v>30085</v>
      </c>
      <c r="Y43" s="638">
        <v>28585</v>
      </c>
      <c r="Z43" s="638">
        <v>27085</v>
      </c>
      <c r="AA43" s="638">
        <v>28585</v>
      </c>
      <c r="AB43" s="638">
        <v>7210</v>
      </c>
      <c r="AC43" s="638">
        <v>8710</v>
      </c>
      <c r="AD43" s="638">
        <v>27085</v>
      </c>
      <c r="AE43" s="638">
        <v>27085</v>
      </c>
      <c r="AF43" s="638">
        <v>31585</v>
      </c>
      <c r="AG43" s="638">
        <v>7210</v>
      </c>
      <c r="AH43" s="638"/>
      <c r="AI43" s="637">
        <v>51750</v>
      </c>
      <c r="AJ43" s="638">
        <v>45750</v>
      </c>
      <c r="AK43" s="638">
        <v>6000</v>
      </c>
      <c r="AL43" s="387">
        <f t="shared" si="5"/>
        <v>0</v>
      </c>
      <c r="AM43" s="605">
        <f t="shared" si="1"/>
        <v>0</v>
      </c>
      <c r="AN43" s="605">
        <f t="shared" si="2"/>
        <v>0</v>
      </c>
      <c r="AO43" s="606">
        <f t="shared" si="3"/>
        <v>0</v>
      </c>
    </row>
    <row r="44" spans="1:41" s="702" customFormat="1" ht="28.5">
      <c r="A44" s="627" t="s">
        <v>1427</v>
      </c>
      <c r="B44" s="627" t="s">
        <v>1440</v>
      </c>
      <c r="C44" s="696">
        <v>8</v>
      </c>
      <c r="D44" s="700"/>
      <c r="E44" s="126" t="s">
        <v>1446</v>
      </c>
      <c r="F44" s="698"/>
      <c r="G44" s="629">
        <v>3</v>
      </c>
      <c r="H44" s="617">
        <v>323700</v>
      </c>
      <c r="I44" s="638">
        <v>33000</v>
      </c>
      <c r="J44" s="618">
        <v>290700</v>
      </c>
      <c r="K44" s="637">
        <v>323000</v>
      </c>
      <c r="L44" s="102">
        <v>55500</v>
      </c>
      <c r="M44" s="102">
        <v>55500</v>
      </c>
      <c r="N44" s="705">
        <v>45500</v>
      </c>
      <c r="O44" s="102">
        <v>55500</v>
      </c>
      <c r="P44" s="102">
        <v>55500</v>
      </c>
      <c r="Q44" s="102">
        <v>55500</v>
      </c>
      <c r="R44" s="103">
        <v>0</v>
      </c>
      <c r="S44" s="637">
        <v>700</v>
      </c>
      <c r="T44" s="638">
        <v>0</v>
      </c>
      <c r="U44" s="638">
        <v>0</v>
      </c>
      <c r="V44" s="638">
        <v>700</v>
      </c>
      <c r="W44" s="638">
        <v>0</v>
      </c>
      <c r="X44" s="638">
        <v>0</v>
      </c>
      <c r="Y44" s="638">
        <v>0</v>
      </c>
      <c r="Z44" s="638">
        <v>0</v>
      </c>
      <c r="AA44" s="638">
        <v>0</v>
      </c>
      <c r="AB44" s="638">
        <v>0</v>
      </c>
      <c r="AC44" s="638">
        <v>0</v>
      </c>
      <c r="AD44" s="638">
        <v>0</v>
      </c>
      <c r="AE44" s="638">
        <v>0</v>
      </c>
      <c r="AF44" s="638">
        <v>0</v>
      </c>
      <c r="AG44" s="638">
        <v>0</v>
      </c>
      <c r="AH44" s="638">
        <v>0</v>
      </c>
      <c r="AI44" s="637">
        <v>0</v>
      </c>
      <c r="AJ44" s="638">
        <v>0</v>
      </c>
      <c r="AK44" s="638">
        <v>0</v>
      </c>
      <c r="AL44" s="387">
        <f t="shared" si="5"/>
        <v>0</v>
      </c>
      <c r="AM44" s="605">
        <f t="shared" si="1"/>
        <v>0</v>
      </c>
      <c r="AN44" s="605">
        <f t="shared" si="2"/>
        <v>0</v>
      </c>
      <c r="AO44" s="606">
        <f t="shared" si="3"/>
        <v>0</v>
      </c>
    </row>
    <row r="45" spans="1:41" s="695" customFormat="1" ht="14.25">
      <c r="A45" s="1033" t="s">
        <v>1447</v>
      </c>
      <c r="B45" s="1034"/>
      <c r="C45" s="1034"/>
      <c r="D45" s="1035"/>
      <c r="E45" s="1036"/>
      <c r="F45" s="641"/>
      <c r="G45" s="616"/>
      <c r="H45" s="619">
        <f t="shared" ref="H45:AK45" si="18">SUM(H46:H49)</f>
        <v>3308900</v>
      </c>
      <c r="I45" s="620">
        <f t="shared" si="18"/>
        <v>0</v>
      </c>
      <c r="J45" s="620">
        <f t="shared" si="18"/>
        <v>3308900</v>
      </c>
      <c r="K45" s="619">
        <f t="shared" si="18"/>
        <v>1699960</v>
      </c>
      <c r="L45" s="620">
        <f t="shared" si="18"/>
        <v>294495</v>
      </c>
      <c r="M45" s="620">
        <f t="shared" si="18"/>
        <v>899</v>
      </c>
      <c r="N45" s="620">
        <f t="shared" si="18"/>
        <v>285394</v>
      </c>
      <c r="O45" s="620">
        <f t="shared" si="18"/>
        <v>409495</v>
      </c>
      <c r="P45" s="620">
        <f t="shared" si="18"/>
        <v>172394</v>
      </c>
      <c r="Q45" s="620">
        <f t="shared" si="18"/>
        <v>517283</v>
      </c>
      <c r="R45" s="620">
        <f t="shared" si="18"/>
        <v>20000</v>
      </c>
      <c r="S45" s="619">
        <f t="shared" si="18"/>
        <v>1467142</v>
      </c>
      <c r="T45" s="620">
        <f t="shared" si="18"/>
        <v>127394</v>
      </c>
      <c r="U45" s="620">
        <f t="shared" si="18"/>
        <v>146798</v>
      </c>
      <c r="V45" s="620">
        <f t="shared" si="18"/>
        <v>102495</v>
      </c>
      <c r="W45" s="620">
        <f t="shared" si="18"/>
        <v>103798</v>
      </c>
      <c r="X45" s="620">
        <f t="shared" si="18"/>
        <v>141596</v>
      </c>
      <c r="Y45" s="620">
        <f t="shared" si="18"/>
        <v>65293</v>
      </c>
      <c r="Z45" s="620">
        <f t="shared" si="18"/>
        <v>43697</v>
      </c>
      <c r="AA45" s="620">
        <f t="shared" si="18"/>
        <v>95788</v>
      </c>
      <c r="AB45" s="620">
        <f t="shared" si="18"/>
        <v>73495</v>
      </c>
      <c r="AC45" s="620">
        <f t="shared" si="18"/>
        <v>59596</v>
      </c>
      <c r="AD45" s="620">
        <f t="shared" si="18"/>
        <v>44798</v>
      </c>
      <c r="AE45" s="620">
        <f t="shared" si="18"/>
        <v>171899</v>
      </c>
      <c r="AF45" s="620">
        <f t="shared" si="18"/>
        <v>144596</v>
      </c>
      <c r="AG45" s="620">
        <f t="shared" si="18"/>
        <v>41899</v>
      </c>
      <c r="AH45" s="620">
        <f t="shared" si="18"/>
        <v>104000</v>
      </c>
      <c r="AI45" s="619">
        <f t="shared" si="18"/>
        <v>141798</v>
      </c>
      <c r="AJ45" s="620">
        <f t="shared" si="18"/>
        <v>57899</v>
      </c>
      <c r="AK45" s="620">
        <f t="shared" si="18"/>
        <v>83899</v>
      </c>
      <c r="AL45" s="387">
        <f t="shared" si="5"/>
        <v>0</v>
      </c>
      <c r="AM45" s="605">
        <f t="shared" si="1"/>
        <v>0</v>
      </c>
      <c r="AN45" s="605">
        <f t="shared" si="2"/>
        <v>0</v>
      </c>
      <c r="AO45" s="606">
        <f t="shared" si="3"/>
        <v>0</v>
      </c>
    </row>
    <row r="46" spans="1:41" s="654" customFormat="1" ht="28.5">
      <c r="A46" s="627" t="s">
        <v>1427</v>
      </c>
      <c r="B46" s="126" t="s">
        <v>1448</v>
      </c>
      <c r="C46" s="696">
        <v>5</v>
      </c>
      <c r="D46" s="700" t="s">
        <v>1437</v>
      </c>
      <c r="E46" s="126" t="s">
        <v>1445</v>
      </c>
      <c r="F46" s="698">
        <v>1</v>
      </c>
      <c r="G46" s="664">
        <v>3</v>
      </c>
      <c r="H46" s="637">
        <v>89900</v>
      </c>
      <c r="I46" s="638"/>
      <c r="J46" s="638">
        <v>89900</v>
      </c>
      <c r="K46" s="637">
        <v>35960</v>
      </c>
      <c r="L46" s="638">
        <v>4495</v>
      </c>
      <c r="M46" s="638">
        <v>899</v>
      </c>
      <c r="N46" s="638">
        <v>5394</v>
      </c>
      <c r="O46" s="638">
        <v>4495</v>
      </c>
      <c r="P46" s="638">
        <v>5394</v>
      </c>
      <c r="Q46" s="638">
        <v>15283.000000000002</v>
      </c>
      <c r="R46" s="638"/>
      <c r="S46" s="637">
        <v>52142</v>
      </c>
      <c r="T46" s="638">
        <v>5394</v>
      </c>
      <c r="U46" s="638">
        <v>1798</v>
      </c>
      <c r="V46" s="638">
        <v>4495</v>
      </c>
      <c r="W46" s="638">
        <v>1798</v>
      </c>
      <c r="X46" s="638">
        <v>3596</v>
      </c>
      <c r="Y46" s="638">
        <v>6293.0000000000009</v>
      </c>
      <c r="Z46" s="638">
        <v>2697</v>
      </c>
      <c r="AA46" s="638">
        <v>10788</v>
      </c>
      <c r="AB46" s="638">
        <v>4495</v>
      </c>
      <c r="AC46" s="638">
        <v>3596</v>
      </c>
      <c r="AD46" s="638">
        <v>1798</v>
      </c>
      <c r="AE46" s="638">
        <v>899</v>
      </c>
      <c r="AF46" s="638">
        <v>3596</v>
      </c>
      <c r="AG46" s="638">
        <v>899</v>
      </c>
      <c r="AH46" s="638"/>
      <c r="AI46" s="637">
        <v>1798</v>
      </c>
      <c r="AJ46" s="638">
        <v>899</v>
      </c>
      <c r="AK46" s="638">
        <v>899</v>
      </c>
      <c r="AL46" s="387">
        <f t="shared" si="5"/>
        <v>0</v>
      </c>
      <c r="AM46" s="605">
        <f t="shared" si="1"/>
        <v>0</v>
      </c>
      <c r="AN46" s="605">
        <f t="shared" si="2"/>
        <v>0</v>
      </c>
      <c r="AO46" s="606">
        <f>K46-L46-M46-N46-O46-P46-Q46-R46</f>
        <v>-1.8189894035458565E-12</v>
      </c>
    </row>
    <row r="47" spans="1:41" s="702" customFormat="1" ht="28.5">
      <c r="A47" s="627" t="s">
        <v>1427</v>
      </c>
      <c r="B47" s="126" t="s">
        <v>1448</v>
      </c>
      <c r="C47" s="696">
        <v>5</v>
      </c>
      <c r="D47" s="700" t="s">
        <v>1449</v>
      </c>
      <c r="E47" s="126" t="s">
        <v>1450</v>
      </c>
      <c r="F47" s="101">
        <v>1</v>
      </c>
      <c r="G47" s="664">
        <v>3</v>
      </c>
      <c r="H47" s="617">
        <v>2432000</v>
      </c>
      <c r="I47" s="638">
        <v>0</v>
      </c>
      <c r="J47" s="618">
        <v>2432000</v>
      </c>
      <c r="K47" s="637">
        <v>1396000</v>
      </c>
      <c r="L47" s="638">
        <v>240000</v>
      </c>
      <c r="M47" s="638">
        <v>0</v>
      </c>
      <c r="N47" s="638">
        <v>240000</v>
      </c>
      <c r="O47" s="638">
        <v>358000</v>
      </c>
      <c r="P47" s="638">
        <v>110000</v>
      </c>
      <c r="Q47" s="638">
        <v>448000</v>
      </c>
      <c r="R47" s="638">
        <v>0</v>
      </c>
      <c r="S47" s="637">
        <v>906000</v>
      </c>
      <c r="T47" s="638">
        <v>52000</v>
      </c>
      <c r="U47" s="638">
        <v>130000</v>
      </c>
      <c r="V47" s="638">
        <v>78000</v>
      </c>
      <c r="W47" s="638">
        <v>78000</v>
      </c>
      <c r="X47" s="638">
        <v>78000</v>
      </c>
      <c r="Y47" s="638">
        <v>39000</v>
      </c>
      <c r="Z47" s="638">
        <v>26000</v>
      </c>
      <c r="AA47" s="638">
        <v>39000</v>
      </c>
      <c r="AB47" s="638">
        <v>39000</v>
      </c>
      <c r="AC47" s="638">
        <v>26000</v>
      </c>
      <c r="AD47" s="638">
        <v>13000</v>
      </c>
      <c r="AE47" s="638">
        <v>156000</v>
      </c>
      <c r="AF47" s="618">
        <v>126000</v>
      </c>
      <c r="AG47" s="638">
        <v>26000</v>
      </c>
      <c r="AH47" s="638">
        <v>0</v>
      </c>
      <c r="AI47" s="637">
        <v>130000</v>
      </c>
      <c r="AJ47" s="638">
        <v>52000</v>
      </c>
      <c r="AK47" s="638">
        <v>78000</v>
      </c>
      <c r="AL47" s="387">
        <f t="shared" si="5"/>
        <v>0</v>
      </c>
      <c r="AM47" s="605">
        <f t="shared" si="1"/>
        <v>0</v>
      </c>
      <c r="AN47" s="605">
        <f t="shared" si="2"/>
        <v>0</v>
      </c>
      <c r="AO47" s="606">
        <f t="shared" si="3"/>
        <v>0</v>
      </c>
    </row>
    <row r="48" spans="1:41" s="702" customFormat="1" ht="28.5">
      <c r="A48" s="627" t="s">
        <v>1451</v>
      </c>
      <c r="B48" s="126" t="s">
        <v>1452</v>
      </c>
      <c r="C48" s="696">
        <v>5</v>
      </c>
      <c r="D48" s="700" t="s">
        <v>1453</v>
      </c>
      <c r="E48" s="126" t="s">
        <v>1454</v>
      </c>
      <c r="F48" s="101">
        <v>1</v>
      </c>
      <c r="G48" s="664">
        <v>3</v>
      </c>
      <c r="H48" s="637">
        <v>493000</v>
      </c>
      <c r="I48" s="638">
        <v>0</v>
      </c>
      <c r="J48" s="638">
        <v>493000</v>
      </c>
      <c r="K48" s="637">
        <v>168000</v>
      </c>
      <c r="L48" s="638">
        <v>30000</v>
      </c>
      <c r="M48" s="638">
        <v>0</v>
      </c>
      <c r="N48" s="638">
        <v>30000</v>
      </c>
      <c r="O48" s="638">
        <v>37000</v>
      </c>
      <c r="P48" s="638">
        <v>37000</v>
      </c>
      <c r="Q48" s="638">
        <v>34000</v>
      </c>
      <c r="R48" s="638">
        <v>0</v>
      </c>
      <c r="S48" s="637">
        <v>315000</v>
      </c>
      <c r="T48" s="638">
        <v>40000</v>
      </c>
      <c r="U48" s="638">
        <v>15000</v>
      </c>
      <c r="V48" s="638">
        <v>20000</v>
      </c>
      <c r="W48" s="638">
        <v>24000</v>
      </c>
      <c r="X48" s="638">
        <v>40000</v>
      </c>
      <c r="Y48" s="638">
        <v>20000</v>
      </c>
      <c r="Z48" s="638">
        <v>15000</v>
      </c>
      <c r="AA48" s="638">
        <v>36000</v>
      </c>
      <c r="AB48" s="638">
        <v>20000</v>
      </c>
      <c r="AC48" s="638">
        <v>20000</v>
      </c>
      <c r="AD48" s="638">
        <v>20000</v>
      </c>
      <c r="AE48" s="638">
        <v>15000</v>
      </c>
      <c r="AF48" s="638">
        <v>15000</v>
      </c>
      <c r="AG48" s="638">
        <v>15000</v>
      </c>
      <c r="AH48" s="638">
        <v>0</v>
      </c>
      <c r="AI48" s="637">
        <v>10000</v>
      </c>
      <c r="AJ48" s="638">
        <v>5000</v>
      </c>
      <c r="AK48" s="638">
        <v>5000</v>
      </c>
      <c r="AL48" s="387">
        <f t="shared" si="5"/>
        <v>0</v>
      </c>
      <c r="AM48" s="605">
        <f t="shared" si="1"/>
        <v>0</v>
      </c>
      <c r="AN48" s="605">
        <f t="shared" si="2"/>
        <v>0</v>
      </c>
      <c r="AO48" s="606">
        <f t="shared" si="3"/>
        <v>0</v>
      </c>
    </row>
    <row r="49" spans="1:41" s="702" customFormat="1" ht="28.5">
      <c r="A49" s="627" t="s">
        <v>1451</v>
      </c>
      <c r="B49" s="126" t="s">
        <v>1452</v>
      </c>
      <c r="C49" s="696">
        <v>5</v>
      </c>
      <c r="D49" s="700" t="s">
        <v>1455</v>
      </c>
      <c r="E49" s="126" t="s">
        <v>1456</v>
      </c>
      <c r="F49" s="101">
        <v>1</v>
      </c>
      <c r="G49" s="664">
        <v>3</v>
      </c>
      <c r="H49" s="637">
        <v>294000</v>
      </c>
      <c r="I49" s="638">
        <v>0</v>
      </c>
      <c r="J49" s="638">
        <v>294000</v>
      </c>
      <c r="K49" s="637">
        <v>100000</v>
      </c>
      <c r="L49" s="638">
        <v>20000</v>
      </c>
      <c r="M49" s="638">
        <v>0</v>
      </c>
      <c r="N49" s="638">
        <v>10000</v>
      </c>
      <c r="O49" s="638">
        <v>10000</v>
      </c>
      <c r="P49" s="638">
        <v>20000</v>
      </c>
      <c r="Q49" s="638">
        <v>20000</v>
      </c>
      <c r="R49" s="638">
        <v>20000</v>
      </c>
      <c r="S49" s="637">
        <v>194000</v>
      </c>
      <c r="T49" s="638">
        <v>30000</v>
      </c>
      <c r="U49" s="638">
        <v>0</v>
      </c>
      <c r="V49" s="638">
        <v>0</v>
      </c>
      <c r="W49" s="638">
        <v>0</v>
      </c>
      <c r="X49" s="638">
        <v>20000</v>
      </c>
      <c r="Y49" s="638">
        <v>0</v>
      </c>
      <c r="Z49" s="638">
        <v>0</v>
      </c>
      <c r="AA49" s="638">
        <v>10000</v>
      </c>
      <c r="AB49" s="638">
        <v>10000</v>
      </c>
      <c r="AC49" s="638">
        <v>10000</v>
      </c>
      <c r="AD49" s="638">
        <v>10000</v>
      </c>
      <c r="AE49" s="638">
        <v>0</v>
      </c>
      <c r="AF49" s="638">
        <v>0</v>
      </c>
      <c r="AG49" s="638">
        <v>0</v>
      </c>
      <c r="AH49" s="638">
        <v>104000</v>
      </c>
      <c r="AI49" s="637">
        <v>0</v>
      </c>
      <c r="AJ49" s="638">
        <v>0</v>
      </c>
      <c r="AK49" s="638">
        <v>0</v>
      </c>
      <c r="AL49" s="387">
        <f t="shared" si="5"/>
        <v>0</v>
      </c>
      <c r="AM49" s="605">
        <f t="shared" si="1"/>
        <v>0</v>
      </c>
      <c r="AN49" s="605">
        <f t="shared" si="2"/>
        <v>0</v>
      </c>
      <c r="AO49" s="606">
        <f t="shared" si="3"/>
        <v>0</v>
      </c>
    </row>
    <row r="50" spans="1:41" s="611" customFormat="1" ht="15.75">
      <c r="A50" s="1041" t="s">
        <v>1457</v>
      </c>
      <c r="B50" s="1042"/>
      <c r="C50" s="1042"/>
      <c r="D50" s="1043"/>
      <c r="E50" s="1044"/>
      <c r="F50" s="608"/>
      <c r="G50" s="609"/>
      <c r="H50" s="610">
        <f>H51+H52+H55+H61</f>
        <v>8694300</v>
      </c>
      <c r="I50" s="610">
        <f t="shared" ref="I50:AK50" si="19">I51+I52+I55+I61</f>
        <v>739300</v>
      </c>
      <c r="J50" s="610">
        <f t="shared" si="19"/>
        <v>7955000</v>
      </c>
      <c r="K50" s="610">
        <f t="shared" si="19"/>
        <v>3895900</v>
      </c>
      <c r="L50" s="610">
        <f t="shared" si="19"/>
        <v>22700</v>
      </c>
      <c r="M50" s="610">
        <f t="shared" si="19"/>
        <v>0</v>
      </c>
      <c r="N50" s="610">
        <f t="shared" si="19"/>
        <v>41950</v>
      </c>
      <c r="O50" s="610">
        <f t="shared" si="19"/>
        <v>494950</v>
      </c>
      <c r="P50" s="610">
        <f t="shared" si="19"/>
        <v>236970</v>
      </c>
      <c r="Q50" s="610">
        <f t="shared" si="19"/>
        <v>207550</v>
      </c>
      <c r="R50" s="610">
        <f t="shared" si="19"/>
        <v>2891780</v>
      </c>
      <c r="S50" s="610">
        <f t="shared" si="19"/>
        <v>4750848</v>
      </c>
      <c r="T50" s="610">
        <f t="shared" si="19"/>
        <v>151550</v>
      </c>
      <c r="U50" s="610">
        <f t="shared" si="19"/>
        <v>53950</v>
      </c>
      <c r="V50" s="610">
        <f t="shared" si="19"/>
        <v>77000</v>
      </c>
      <c r="W50" s="610">
        <f t="shared" si="19"/>
        <v>59100</v>
      </c>
      <c r="X50" s="610">
        <f t="shared" si="19"/>
        <v>27400</v>
      </c>
      <c r="Y50" s="610">
        <f t="shared" si="19"/>
        <v>180955</v>
      </c>
      <c r="Z50" s="610">
        <f t="shared" si="19"/>
        <v>526600</v>
      </c>
      <c r="AA50" s="610">
        <f t="shared" si="19"/>
        <v>84600</v>
      </c>
      <c r="AB50" s="610">
        <f t="shared" si="19"/>
        <v>115500</v>
      </c>
      <c r="AC50" s="610">
        <f t="shared" si="19"/>
        <v>43700</v>
      </c>
      <c r="AD50" s="610">
        <f t="shared" si="19"/>
        <v>7750</v>
      </c>
      <c r="AE50" s="610">
        <f t="shared" si="19"/>
        <v>69190</v>
      </c>
      <c r="AF50" s="610">
        <f t="shared" si="19"/>
        <v>62480</v>
      </c>
      <c r="AG50" s="610">
        <f t="shared" si="19"/>
        <v>10550</v>
      </c>
      <c r="AH50" s="610">
        <f t="shared" si="19"/>
        <v>3280523</v>
      </c>
      <c r="AI50" s="610">
        <f t="shared" si="19"/>
        <v>47552</v>
      </c>
      <c r="AJ50" s="610">
        <f t="shared" si="19"/>
        <v>18552</v>
      </c>
      <c r="AK50" s="610">
        <f t="shared" si="19"/>
        <v>29000</v>
      </c>
      <c r="AL50" s="387">
        <f t="shared" si="5"/>
        <v>0</v>
      </c>
      <c r="AM50" s="605">
        <f t="shared" si="1"/>
        <v>0</v>
      </c>
      <c r="AN50" s="605">
        <f t="shared" si="2"/>
        <v>0</v>
      </c>
      <c r="AO50" s="606">
        <f t="shared" si="3"/>
        <v>0</v>
      </c>
    </row>
    <row r="51" spans="1:41" s="709" customFormat="1" ht="28.5">
      <c r="A51" s="706" t="s">
        <v>916</v>
      </c>
      <c r="B51" s="627" t="s">
        <v>1458</v>
      </c>
      <c r="C51" s="625">
        <v>5</v>
      </c>
      <c r="D51" s="707" t="s">
        <v>1459</v>
      </c>
      <c r="E51" s="627" t="s">
        <v>1460</v>
      </c>
      <c r="F51" s="635">
        <v>1</v>
      </c>
      <c r="G51" s="629">
        <v>4</v>
      </c>
      <c r="H51" s="708">
        <f>SUM(I51:J51)</f>
        <v>455000</v>
      </c>
      <c r="I51" s="638">
        <v>0</v>
      </c>
      <c r="J51" s="632">
        <f>K51+S51</f>
        <v>455000</v>
      </c>
      <c r="K51" s="637">
        <f>SUM(L51:R51)</f>
        <v>61700</v>
      </c>
      <c r="L51" s="632">
        <v>20400</v>
      </c>
      <c r="M51" s="638">
        <f>SUM(M53:M57)</f>
        <v>0</v>
      </c>
      <c r="N51" s="632">
        <v>9000</v>
      </c>
      <c r="O51" s="632">
        <v>13200</v>
      </c>
      <c r="P51" s="632">
        <v>9550</v>
      </c>
      <c r="Q51" s="632">
        <v>9550</v>
      </c>
      <c r="R51" s="638">
        <v>0</v>
      </c>
      <c r="S51" s="637">
        <f>SUM(T51:AH51)</f>
        <v>393300</v>
      </c>
      <c r="T51" s="632">
        <v>9550</v>
      </c>
      <c r="U51" s="632">
        <v>18950</v>
      </c>
      <c r="V51" s="632">
        <v>9500</v>
      </c>
      <c r="W51" s="632">
        <v>9100</v>
      </c>
      <c r="X51" s="632">
        <v>9400</v>
      </c>
      <c r="Y51" s="632">
        <v>13600</v>
      </c>
      <c r="Z51" s="632">
        <v>46000</v>
      </c>
      <c r="AA51" s="632">
        <v>9100</v>
      </c>
      <c r="AB51" s="632">
        <v>93500</v>
      </c>
      <c r="AC51" s="632">
        <v>41700</v>
      </c>
      <c r="AD51" s="632">
        <v>4750</v>
      </c>
      <c r="AE51" s="632">
        <v>66500</v>
      </c>
      <c r="AF51" s="632">
        <v>52100</v>
      </c>
      <c r="AG51" s="632">
        <v>9550</v>
      </c>
      <c r="AH51" s="632">
        <v>0</v>
      </c>
      <c r="AI51" s="637">
        <f>SUM(AJ51:AK51)</f>
        <v>0</v>
      </c>
      <c r="AJ51" s="638"/>
      <c r="AK51" s="638"/>
      <c r="AL51" s="387">
        <f t="shared" si="5"/>
        <v>0</v>
      </c>
      <c r="AM51" s="605">
        <f t="shared" si="1"/>
        <v>0</v>
      </c>
      <c r="AN51" s="605">
        <f t="shared" si="2"/>
        <v>0</v>
      </c>
      <c r="AO51" s="606">
        <f t="shared" si="3"/>
        <v>0</v>
      </c>
    </row>
    <row r="52" spans="1:41" s="710" customFormat="1" ht="14.25">
      <c r="A52" s="1023" t="s">
        <v>1461</v>
      </c>
      <c r="B52" s="1024"/>
      <c r="C52" s="1024"/>
      <c r="D52" s="1025"/>
      <c r="E52" s="1026"/>
      <c r="F52" s="641"/>
      <c r="G52" s="616"/>
      <c r="H52" s="619">
        <f>H53+H54</f>
        <v>4568000</v>
      </c>
      <c r="I52" s="620">
        <f t="shared" ref="I52:AK52" si="20">I53+I54</f>
        <v>200000</v>
      </c>
      <c r="J52" s="620">
        <f t="shared" si="20"/>
        <v>4368000</v>
      </c>
      <c r="K52" s="619">
        <f t="shared" si="20"/>
        <v>2166000</v>
      </c>
      <c r="L52" s="620">
        <f t="shared" si="20"/>
        <v>0</v>
      </c>
      <c r="M52" s="620">
        <f t="shared" si="20"/>
        <v>0</v>
      </c>
      <c r="N52" s="620">
        <f t="shared" si="20"/>
        <v>0</v>
      </c>
      <c r="O52" s="620">
        <f t="shared" si="20"/>
        <v>0</v>
      </c>
      <c r="P52" s="620">
        <f t="shared" si="20"/>
        <v>0</v>
      </c>
      <c r="Q52" s="620">
        <f t="shared" si="20"/>
        <v>0</v>
      </c>
      <c r="R52" s="620">
        <f t="shared" si="20"/>
        <v>2166000</v>
      </c>
      <c r="S52" s="619">
        <f t="shared" si="20"/>
        <v>2402000</v>
      </c>
      <c r="T52" s="620">
        <f t="shared" si="20"/>
        <v>0</v>
      </c>
      <c r="U52" s="620">
        <f t="shared" si="20"/>
        <v>0</v>
      </c>
      <c r="V52" s="620">
        <f t="shared" si="20"/>
        <v>0</v>
      </c>
      <c r="W52" s="620">
        <f t="shared" si="20"/>
        <v>0</v>
      </c>
      <c r="X52" s="620">
        <f t="shared" si="20"/>
        <v>0</v>
      </c>
      <c r="Y52" s="620">
        <f t="shared" si="20"/>
        <v>0</v>
      </c>
      <c r="Z52" s="620">
        <f t="shared" si="20"/>
        <v>0</v>
      </c>
      <c r="AA52" s="620">
        <f t="shared" si="20"/>
        <v>0</v>
      </c>
      <c r="AB52" s="620">
        <f t="shared" si="20"/>
        <v>0</v>
      </c>
      <c r="AC52" s="620">
        <f t="shared" si="20"/>
        <v>0</v>
      </c>
      <c r="AD52" s="620">
        <f t="shared" si="20"/>
        <v>0</v>
      </c>
      <c r="AE52" s="620">
        <f t="shared" si="20"/>
        <v>0</v>
      </c>
      <c r="AF52" s="620">
        <f t="shared" si="20"/>
        <v>0</v>
      </c>
      <c r="AG52" s="620">
        <f t="shared" si="20"/>
        <v>0</v>
      </c>
      <c r="AH52" s="620">
        <f t="shared" si="20"/>
        <v>2402000</v>
      </c>
      <c r="AI52" s="619">
        <f t="shared" si="20"/>
        <v>0</v>
      </c>
      <c r="AJ52" s="620">
        <f t="shared" si="20"/>
        <v>0</v>
      </c>
      <c r="AK52" s="620">
        <f t="shared" si="20"/>
        <v>0</v>
      </c>
      <c r="AL52" s="387">
        <f t="shared" si="5"/>
        <v>0</v>
      </c>
      <c r="AM52" s="605">
        <f t="shared" si="1"/>
        <v>0</v>
      </c>
      <c r="AN52" s="605">
        <f t="shared" si="2"/>
        <v>0</v>
      </c>
      <c r="AO52" s="606">
        <f t="shared" si="3"/>
        <v>0</v>
      </c>
    </row>
    <row r="53" spans="1:41" s="712" customFormat="1" ht="14.25">
      <c r="A53" s="65" t="s">
        <v>916</v>
      </c>
      <c r="B53" s="627" t="s">
        <v>1462</v>
      </c>
      <c r="C53" s="625">
        <v>4</v>
      </c>
      <c r="D53" s="711" t="s">
        <v>1463</v>
      </c>
      <c r="E53" s="627" t="s">
        <v>1464</v>
      </c>
      <c r="F53" s="635">
        <v>2</v>
      </c>
      <c r="G53" s="629">
        <v>3</v>
      </c>
      <c r="H53" s="637">
        <f>SUM(I53:J53)</f>
        <v>200000</v>
      </c>
      <c r="I53" s="638">
        <v>200000</v>
      </c>
      <c r="J53" s="638"/>
      <c r="K53" s="637">
        <f>SUM(L53:R53)</f>
        <v>200000</v>
      </c>
      <c r="L53" s="638"/>
      <c r="M53" s="638"/>
      <c r="N53" s="638"/>
      <c r="O53" s="638"/>
      <c r="P53" s="638"/>
      <c r="Q53" s="638"/>
      <c r="R53" s="638">
        <v>200000</v>
      </c>
      <c r="S53" s="637"/>
      <c r="T53" s="638"/>
      <c r="U53" s="638"/>
      <c r="V53" s="638"/>
      <c r="W53" s="638"/>
      <c r="X53" s="638"/>
      <c r="Y53" s="638"/>
      <c r="Z53" s="638"/>
      <c r="AA53" s="638"/>
      <c r="AB53" s="638"/>
      <c r="AC53" s="638"/>
      <c r="AD53" s="638"/>
      <c r="AE53" s="638"/>
      <c r="AF53" s="638"/>
      <c r="AG53" s="638"/>
      <c r="AH53" s="638"/>
      <c r="AI53" s="637"/>
      <c r="AJ53" s="638"/>
      <c r="AK53" s="638"/>
      <c r="AL53" s="387">
        <f t="shared" si="5"/>
        <v>0</v>
      </c>
      <c r="AM53" s="605">
        <f t="shared" si="1"/>
        <v>0</v>
      </c>
      <c r="AN53" s="605">
        <f t="shared" si="2"/>
        <v>0</v>
      </c>
      <c r="AO53" s="606">
        <f t="shared" si="3"/>
        <v>0</v>
      </c>
    </row>
    <row r="54" spans="1:41" s="633" customFormat="1" ht="57">
      <c r="A54" s="65" t="s">
        <v>916</v>
      </c>
      <c r="B54" s="627" t="s">
        <v>1462</v>
      </c>
      <c r="C54" s="625">
        <v>5</v>
      </c>
      <c r="D54" s="713" t="s">
        <v>1465</v>
      </c>
      <c r="E54" s="627" t="s">
        <v>1466</v>
      </c>
      <c r="F54" s="635">
        <v>1</v>
      </c>
      <c r="G54" s="664">
        <v>4</v>
      </c>
      <c r="H54" s="708">
        <f>4434000-66000</f>
        <v>4368000</v>
      </c>
      <c r="I54" s="638"/>
      <c r="J54" s="632">
        <f>4434000-66000</f>
        <v>4368000</v>
      </c>
      <c r="K54" s="708">
        <f>SUBTOTAL(9,L54:R54)</f>
        <v>1966000</v>
      </c>
      <c r="L54" s="638"/>
      <c r="M54" s="638"/>
      <c r="N54" s="638"/>
      <c r="O54" s="638"/>
      <c r="P54" s="638"/>
      <c r="Q54" s="638"/>
      <c r="R54" s="632">
        <f>1995300-29300</f>
        <v>1966000</v>
      </c>
      <c r="S54" s="708">
        <f>SUBTOTAL(9,T54:AH54)</f>
        <v>2402000</v>
      </c>
      <c r="T54" s="638"/>
      <c r="U54" s="638"/>
      <c r="V54" s="638"/>
      <c r="W54" s="638"/>
      <c r="X54" s="638"/>
      <c r="Y54" s="638"/>
      <c r="Z54" s="638"/>
      <c r="AA54" s="638"/>
      <c r="AB54" s="638"/>
      <c r="AC54" s="638"/>
      <c r="AD54" s="638"/>
      <c r="AE54" s="638"/>
      <c r="AF54" s="638"/>
      <c r="AG54" s="638"/>
      <c r="AH54" s="632">
        <f>2438700-36700</f>
        <v>2402000</v>
      </c>
      <c r="AI54" s="637">
        <v>0</v>
      </c>
      <c r="AJ54" s="638"/>
      <c r="AK54" s="638"/>
      <c r="AL54" s="387">
        <f t="shared" si="5"/>
        <v>0</v>
      </c>
      <c r="AM54" s="605">
        <f t="shared" si="1"/>
        <v>0</v>
      </c>
      <c r="AN54" s="605">
        <f t="shared" si="2"/>
        <v>0</v>
      </c>
      <c r="AO54" s="606">
        <f t="shared" si="3"/>
        <v>0</v>
      </c>
    </row>
    <row r="55" spans="1:41" s="695" customFormat="1" ht="14.25">
      <c r="A55" s="1023" t="s">
        <v>1467</v>
      </c>
      <c r="B55" s="1024"/>
      <c r="C55" s="1024"/>
      <c r="D55" s="1025"/>
      <c r="E55" s="1026"/>
      <c r="F55" s="641"/>
      <c r="G55" s="714"/>
      <c r="H55" s="619">
        <f>H56+H57+H58+H59+H60</f>
        <v>3293300</v>
      </c>
      <c r="I55" s="620">
        <f t="shared" ref="I55:AK55" si="21">I56+I57+I58+I59+I60</f>
        <v>289300</v>
      </c>
      <c r="J55" s="620">
        <f t="shared" si="21"/>
        <v>3004000</v>
      </c>
      <c r="K55" s="619">
        <f t="shared" si="21"/>
        <v>1575500</v>
      </c>
      <c r="L55" s="620">
        <f t="shared" si="21"/>
        <v>2300</v>
      </c>
      <c r="M55" s="620">
        <f t="shared" si="21"/>
        <v>0</v>
      </c>
      <c r="N55" s="620">
        <f t="shared" si="21"/>
        <v>32950</v>
      </c>
      <c r="O55" s="620">
        <f t="shared" si="21"/>
        <v>481750</v>
      </c>
      <c r="P55" s="620">
        <f t="shared" si="21"/>
        <v>227420</v>
      </c>
      <c r="Q55" s="620">
        <f t="shared" si="21"/>
        <v>198000</v>
      </c>
      <c r="R55" s="620">
        <f t="shared" si="21"/>
        <v>633080</v>
      </c>
      <c r="S55" s="619">
        <f t="shared" si="21"/>
        <v>1670248</v>
      </c>
      <c r="T55" s="620">
        <f t="shared" si="21"/>
        <v>142000</v>
      </c>
      <c r="U55" s="620">
        <f t="shared" si="21"/>
        <v>35000</v>
      </c>
      <c r="V55" s="620">
        <f t="shared" si="21"/>
        <v>67500</v>
      </c>
      <c r="W55" s="620">
        <f t="shared" si="21"/>
        <v>50000</v>
      </c>
      <c r="X55" s="620">
        <f t="shared" si="21"/>
        <v>18000</v>
      </c>
      <c r="Y55" s="620">
        <f t="shared" si="21"/>
        <v>167355</v>
      </c>
      <c r="Z55" s="620">
        <f t="shared" si="21"/>
        <v>480600</v>
      </c>
      <c r="AA55" s="620">
        <f t="shared" si="21"/>
        <v>75500</v>
      </c>
      <c r="AB55" s="620">
        <f t="shared" si="21"/>
        <v>22000</v>
      </c>
      <c r="AC55" s="620">
        <f t="shared" si="21"/>
        <v>2000</v>
      </c>
      <c r="AD55" s="620">
        <f t="shared" si="21"/>
        <v>3000</v>
      </c>
      <c r="AE55" s="620">
        <f t="shared" si="21"/>
        <v>2690</v>
      </c>
      <c r="AF55" s="620">
        <f t="shared" si="21"/>
        <v>10380</v>
      </c>
      <c r="AG55" s="620">
        <f t="shared" si="21"/>
        <v>1000</v>
      </c>
      <c r="AH55" s="620">
        <f t="shared" si="21"/>
        <v>593223</v>
      </c>
      <c r="AI55" s="619">
        <f t="shared" si="21"/>
        <v>47552</v>
      </c>
      <c r="AJ55" s="620">
        <f t="shared" si="21"/>
        <v>18552</v>
      </c>
      <c r="AK55" s="620">
        <f t="shared" si="21"/>
        <v>29000</v>
      </c>
      <c r="AL55" s="387">
        <f t="shared" si="5"/>
        <v>0</v>
      </c>
      <c r="AM55" s="605">
        <f t="shared" si="1"/>
        <v>0</v>
      </c>
      <c r="AN55" s="605">
        <f t="shared" si="2"/>
        <v>0</v>
      </c>
      <c r="AO55" s="606">
        <f t="shared" si="3"/>
        <v>0</v>
      </c>
    </row>
    <row r="56" spans="1:41" s="716" customFormat="1" ht="28.5">
      <c r="A56" s="65" t="s">
        <v>916</v>
      </c>
      <c r="B56" s="627" t="s">
        <v>1468</v>
      </c>
      <c r="C56" s="625">
        <v>2</v>
      </c>
      <c r="D56" s="715" t="s">
        <v>1469</v>
      </c>
      <c r="E56" s="126" t="s">
        <v>1470</v>
      </c>
      <c r="F56" s="635">
        <v>1</v>
      </c>
      <c r="G56" s="629">
        <v>4</v>
      </c>
      <c r="H56" s="637">
        <f>SUM(I56:J56)</f>
        <v>245000</v>
      </c>
      <c r="I56" s="638">
        <v>75000</v>
      </c>
      <c r="J56" s="638">
        <v>170000</v>
      </c>
      <c r="K56" s="637">
        <f>SUM(L56:R56)</f>
        <v>74000</v>
      </c>
      <c r="L56" s="638">
        <v>1300</v>
      </c>
      <c r="M56" s="638">
        <v>0</v>
      </c>
      <c r="N56" s="638">
        <v>1950</v>
      </c>
      <c r="O56" s="638">
        <v>9750</v>
      </c>
      <c r="P56" s="638">
        <v>12420</v>
      </c>
      <c r="Q56" s="638">
        <v>0</v>
      </c>
      <c r="R56" s="638">
        <v>48580</v>
      </c>
      <c r="S56" s="637">
        <f>SUM(T56:AH56)</f>
        <v>170448</v>
      </c>
      <c r="T56" s="638">
        <v>0</v>
      </c>
      <c r="U56" s="638">
        <v>0</v>
      </c>
      <c r="V56" s="638">
        <v>7500</v>
      </c>
      <c r="W56" s="638">
        <v>0</v>
      </c>
      <c r="X56" s="638">
        <v>0</v>
      </c>
      <c r="Y56" s="638">
        <v>355</v>
      </c>
      <c r="Z56" s="638">
        <v>600</v>
      </c>
      <c r="AA56" s="638">
        <v>22500</v>
      </c>
      <c r="AB56" s="638">
        <v>0</v>
      </c>
      <c r="AC56" s="638">
        <v>0</v>
      </c>
      <c r="AD56" s="638">
        <v>0</v>
      </c>
      <c r="AE56" s="638">
        <v>690</v>
      </c>
      <c r="AF56" s="638">
        <v>1380</v>
      </c>
      <c r="AG56" s="638">
        <v>0</v>
      </c>
      <c r="AH56" s="638">
        <v>137423</v>
      </c>
      <c r="AI56" s="637">
        <f>SUM(AJ56:AK56)</f>
        <v>552</v>
      </c>
      <c r="AJ56" s="638">
        <v>552</v>
      </c>
      <c r="AK56" s="638"/>
      <c r="AL56" s="387">
        <f t="shared" si="5"/>
        <v>0</v>
      </c>
      <c r="AM56" s="605">
        <f t="shared" si="1"/>
        <v>0</v>
      </c>
      <c r="AN56" s="605">
        <f t="shared" si="2"/>
        <v>0</v>
      </c>
      <c r="AO56" s="606">
        <f t="shared" si="3"/>
        <v>0</v>
      </c>
    </row>
    <row r="57" spans="1:41" s="716" customFormat="1" ht="28.5">
      <c r="A57" s="65" t="s">
        <v>916</v>
      </c>
      <c r="B57" s="627" t="s">
        <v>1468</v>
      </c>
      <c r="C57" s="625">
        <v>2</v>
      </c>
      <c r="D57" s="715" t="s">
        <v>1471</v>
      </c>
      <c r="E57" s="126" t="s">
        <v>1472</v>
      </c>
      <c r="F57" s="635">
        <v>1</v>
      </c>
      <c r="G57" s="629">
        <v>4</v>
      </c>
      <c r="H57" s="637">
        <f>SUM(I57:J57)</f>
        <v>68000</v>
      </c>
      <c r="I57" s="638">
        <v>4000</v>
      </c>
      <c r="J57" s="638">
        <v>64000</v>
      </c>
      <c r="K57" s="637">
        <f>SUM(L57:R57)</f>
        <v>14500</v>
      </c>
      <c r="L57" s="638"/>
      <c r="M57" s="638"/>
      <c r="N57" s="638"/>
      <c r="O57" s="638"/>
      <c r="P57" s="638"/>
      <c r="Q57" s="638"/>
      <c r="R57" s="638">
        <v>14500</v>
      </c>
      <c r="S57" s="637">
        <f>SUM(T57:AH57)</f>
        <v>14500</v>
      </c>
      <c r="T57" s="638"/>
      <c r="U57" s="638"/>
      <c r="V57" s="638"/>
      <c r="W57" s="638"/>
      <c r="X57" s="638"/>
      <c r="Y57" s="638"/>
      <c r="Z57" s="638"/>
      <c r="AA57" s="638"/>
      <c r="AB57" s="638"/>
      <c r="AC57" s="638"/>
      <c r="AD57" s="638"/>
      <c r="AE57" s="638"/>
      <c r="AF57" s="638"/>
      <c r="AG57" s="638"/>
      <c r="AH57" s="638">
        <v>14500</v>
      </c>
      <c r="AI57" s="637">
        <f>SUM(AJ57:AK57)</f>
        <v>39000</v>
      </c>
      <c r="AJ57" s="638">
        <v>15000</v>
      </c>
      <c r="AK57" s="638">
        <v>24000</v>
      </c>
      <c r="AL57" s="387">
        <f t="shared" si="5"/>
        <v>0</v>
      </c>
      <c r="AM57" s="605">
        <f t="shared" si="1"/>
        <v>0</v>
      </c>
      <c r="AN57" s="605">
        <f t="shared" si="2"/>
        <v>0</v>
      </c>
      <c r="AO57" s="606">
        <f t="shared" si="3"/>
        <v>0</v>
      </c>
    </row>
    <row r="58" spans="1:41" s="633" customFormat="1" ht="14.25">
      <c r="A58" s="65" t="s">
        <v>916</v>
      </c>
      <c r="B58" s="627" t="s">
        <v>1468</v>
      </c>
      <c r="C58" s="625">
        <v>2</v>
      </c>
      <c r="D58" s="715" t="s">
        <v>1473</v>
      </c>
      <c r="E58" s="126" t="s">
        <v>1474</v>
      </c>
      <c r="F58" s="635">
        <v>1</v>
      </c>
      <c r="G58" s="629">
        <v>4</v>
      </c>
      <c r="H58" s="637">
        <f>SUM(I58:J58)</f>
        <v>64300</v>
      </c>
      <c r="I58" s="638">
        <v>4300</v>
      </c>
      <c r="J58" s="638">
        <v>60000</v>
      </c>
      <c r="K58" s="637">
        <f>SUM(L58:R58)</f>
        <v>0</v>
      </c>
      <c r="L58" s="638">
        <v>0</v>
      </c>
      <c r="M58" s="638">
        <v>0</v>
      </c>
      <c r="N58" s="638">
        <v>0</v>
      </c>
      <c r="O58" s="638">
        <v>0</v>
      </c>
      <c r="P58" s="638">
        <v>0</v>
      </c>
      <c r="Q58" s="638">
        <v>0</v>
      </c>
      <c r="R58" s="638">
        <v>0</v>
      </c>
      <c r="S58" s="637">
        <f>SUM(T58:AH58)</f>
        <v>57300</v>
      </c>
      <c r="T58" s="638">
        <v>0</v>
      </c>
      <c r="U58" s="638">
        <v>0</v>
      </c>
      <c r="V58" s="638">
        <v>0</v>
      </c>
      <c r="W58" s="638">
        <v>0</v>
      </c>
      <c r="X58" s="638">
        <v>2000</v>
      </c>
      <c r="Y58" s="638">
        <v>3000</v>
      </c>
      <c r="Z58" s="638">
        <v>45000</v>
      </c>
      <c r="AA58" s="638">
        <v>0</v>
      </c>
      <c r="AB58" s="638">
        <v>0</v>
      </c>
      <c r="AC58" s="638">
        <v>0</v>
      </c>
      <c r="AD58" s="638">
        <v>2000</v>
      </c>
      <c r="AE58" s="638">
        <v>0</v>
      </c>
      <c r="AF58" s="638">
        <v>0</v>
      </c>
      <c r="AG58" s="638">
        <v>0</v>
      </c>
      <c r="AH58" s="638">
        <v>5300</v>
      </c>
      <c r="AI58" s="637">
        <f>SUM(AJ58:AK58)</f>
        <v>7000</v>
      </c>
      <c r="AJ58" s="638">
        <v>2000</v>
      </c>
      <c r="AK58" s="638">
        <v>5000</v>
      </c>
      <c r="AL58" s="387">
        <f t="shared" si="5"/>
        <v>0</v>
      </c>
      <c r="AM58" s="605">
        <f t="shared" si="1"/>
        <v>0</v>
      </c>
      <c r="AN58" s="605">
        <f t="shared" si="2"/>
        <v>0</v>
      </c>
      <c r="AO58" s="606">
        <f t="shared" si="3"/>
        <v>0</v>
      </c>
    </row>
    <row r="59" spans="1:41" s="716" customFormat="1" ht="28.5">
      <c r="A59" s="65" t="s">
        <v>916</v>
      </c>
      <c r="B59" s="627" t="s">
        <v>1468</v>
      </c>
      <c r="C59" s="625">
        <v>2</v>
      </c>
      <c r="D59" s="715" t="s">
        <v>1475</v>
      </c>
      <c r="E59" s="627" t="s">
        <v>1410</v>
      </c>
      <c r="F59" s="635">
        <v>1</v>
      </c>
      <c r="G59" s="629">
        <v>4</v>
      </c>
      <c r="H59" s="637">
        <f>SUM(I59:J59)</f>
        <v>1910000</v>
      </c>
      <c r="I59" s="638">
        <v>150000</v>
      </c>
      <c r="J59" s="638">
        <v>1760000</v>
      </c>
      <c r="K59" s="637">
        <f>SUM(L59:R59)</f>
        <v>917000</v>
      </c>
      <c r="L59" s="638">
        <v>1000</v>
      </c>
      <c r="M59" s="638">
        <v>0</v>
      </c>
      <c r="N59" s="638">
        <v>31000</v>
      </c>
      <c r="O59" s="638">
        <v>472000</v>
      </c>
      <c r="P59" s="638">
        <v>215000</v>
      </c>
      <c r="Q59" s="638">
        <v>198000</v>
      </c>
      <c r="R59" s="638"/>
      <c r="S59" s="637">
        <f>SUM(T59:AH59)</f>
        <v>992000</v>
      </c>
      <c r="T59" s="638">
        <f>144000-2000</f>
        <v>142000</v>
      </c>
      <c r="U59" s="638">
        <v>35000</v>
      </c>
      <c r="V59" s="638">
        <v>60000</v>
      </c>
      <c r="W59" s="638">
        <v>50000</v>
      </c>
      <c r="X59" s="638">
        <v>16000</v>
      </c>
      <c r="Y59" s="638">
        <v>164000</v>
      </c>
      <c r="Z59" s="638">
        <v>435000</v>
      </c>
      <c r="AA59" s="638">
        <v>53000</v>
      </c>
      <c r="AB59" s="638">
        <v>22000</v>
      </c>
      <c r="AC59" s="638">
        <v>2000</v>
      </c>
      <c r="AD59" s="638">
        <v>1000</v>
      </c>
      <c r="AE59" s="638">
        <v>2000</v>
      </c>
      <c r="AF59" s="638">
        <v>9000</v>
      </c>
      <c r="AG59" s="638">
        <v>1000</v>
      </c>
      <c r="AH59" s="638"/>
      <c r="AI59" s="637">
        <f>SUM(AJ59:AK59)</f>
        <v>1000</v>
      </c>
      <c r="AJ59" s="638">
        <v>1000</v>
      </c>
      <c r="AK59" s="638"/>
      <c r="AL59" s="387">
        <f t="shared" si="5"/>
        <v>0</v>
      </c>
      <c r="AM59" s="605">
        <f t="shared" si="1"/>
        <v>0</v>
      </c>
      <c r="AN59" s="605">
        <f t="shared" si="2"/>
        <v>0</v>
      </c>
      <c r="AO59" s="606">
        <f t="shared" si="3"/>
        <v>0</v>
      </c>
    </row>
    <row r="60" spans="1:41" s="716" customFormat="1" ht="14.25">
      <c r="A60" s="65" t="s">
        <v>916</v>
      </c>
      <c r="B60" s="627" t="s">
        <v>918</v>
      </c>
      <c r="C60" s="625">
        <v>2</v>
      </c>
      <c r="D60" s="715" t="s">
        <v>1476</v>
      </c>
      <c r="E60" s="627" t="s">
        <v>1412</v>
      </c>
      <c r="F60" s="635">
        <v>1</v>
      </c>
      <c r="G60" s="629">
        <v>4</v>
      </c>
      <c r="H60" s="637">
        <v>1006000</v>
      </c>
      <c r="I60" s="638">
        <v>56000</v>
      </c>
      <c r="J60" s="638">
        <v>950000</v>
      </c>
      <c r="K60" s="637">
        <v>570000</v>
      </c>
      <c r="L60" s="638"/>
      <c r="M60" s="638"/>
      <c r="N60" s="638"/>
      <c r="O60" s="638"/>
      <c r="P60" s="638"/>
      <c r="Q60" s="638"/>
      <c r="R60" s="638">
        <v>570000</v>
      </c>
      <c r="S60" s="637">
        <v>436000</v>
      </c>
      <c r="T60" s="638"/>
      <c r="U60" s="638"/>
      <c r="V60" s="638"/>
      <c r="W60" s="638"/>
      <c r="X60" s="638"/>
      <c r="Y60" s="638"/>
      <c r="Z60" s="638"/>
      <c r="AA60" s="638"/>
      <c r="AB60" s="638"/>
      <c r="AC60" s="638"/>
      <c r="AD60" s="638"/>
      <c r="AE60" s="638"/>
      <c r="AF60" s="638"/>
      <c r="AG60" s="638"/>
      <c r="AH60" s="638">
        <v>436000</v>
      </c>
      <c r="AI60" s="637">
        <v>0</v>
      </c>
      <c r="AJ60" s="638"/>
      <c r="AK60" s="638"/>
      <c r="AL60" s="387">
        <f t="shared" si="5"/>
        <v>0</v>
      </c>
      <c r="AM60" s="605">
        <f t="shared" si="1"/>
        <v>0</v>
      </c>
      <c r="AN60" s="605">
        <f t="shared" si="2"/>
        <v>0</v>
      </c>
      <c r="AO60" s="606">
        <f t="shared" si="3"/>
        <v>0</v>
      </c>
    </row>
    <row r="61" spans="1:41" s="718" customFormat="1" ht="28.5">
      <c r="A61" s="612" t="s">
        <v>916</v>
      </c>
      <c r="B61" s="615" t="s">
        <v>1477</v>
      </c>
      <c r="C61" s="639">
        <v>5</v>
      </c>
      <c r="D61" s="717" t="s">
        <v>1478</v>
      </c>
      <c r="E61" s="615" t="s">
        <v>1479</v>
      </c>
      <c r="F61" s="641">
        <v>1</v>
      </c>
      <c r="G61" s="616">
        <v>4</v>
      </c>
      <c r="H61" s="708">
        <f>SUM(I61:J61)</f>
        <v>378000</v>
      </c>
      <c r="I61" s="620">
        <v>250000</v>
      </c>
      <c r="J61" s="632">
        <v>128000</v>
      </c>
      <c r="K61" s="619">
        <f>SUM(L61:R61)</f>
        <v>92700</v>
      </c>
      <c r="L61" s="620"/>
      <c r="M61" s="620"/>
      <c r="N61" s="620"/>
      <c r="O61" s="620"/>
      <c r="P61" s="620"/>
      <c r="Q61" s="620"/>
      <c r="R61" s="632">
        <v>92700</v>
      </c>
      <c r="S61" s="619">
        <f>SUM(T61:AH61)</f>
        <v>285300</v>
      </c>
      <c r="T61" s="620"/>
      <c r="U61" s="620"/>
      <c r="V61" s="620"/>
      <c r="W61" s="620"/>
      <c r="X61" s="620"/>
      <c r="Y61" s="620"/>
      <c r="Z61" s="620"/>
      <c r="AA61" s="620"/>
      <c r="AB61" s="620"/>
      <c r="AC61" s="620"/>
      <c r="AD61" s="620"/>
      <c r="AE61" s="620"/>
      <c r="AF61" s="620"/>
      <c r="AG61" s="620"/>
      <c r="AH61" s="632">
        <v>285300</v>
      </c>
      <c r="AI61" s="619">
        <f>SUM(AJ61:AK61)</f>
        <v>0</v>
      </c>
      <c r="AJ61" s="620"/>
      <c r="AK61" s="620"/>
      <c r="AL61" s="387">
        <f t="shared" si="5"/>
        <v>0</v>
      </c>
      <c r="AM61" s="605">
        <f t="shared" si="1"/>
        <v>0</v>
      </c>
      <c r="AN61" s="605">
        <f t="shared" si="2"/>
        <v>0</v>
      </c>
      <c r="AO61" s="606">
        <f t="shared" si="3"/>
        <v>0</v>
      </c>
    </row>
    <row r="62" spans="1:41" s="611" customFormat="1" ht="15.75">
      <c r="A62" s="1041" t="s">
        <v>1480</v>
      </c>
      <c r="B62" s="1042"/>
      <c r="C62" s="1042"/>
      <c r="D62" s="1043"/>
      <c r="E62" s="1044"/>
      <c r="F62" s="608"/>
      <c r="G62" s="609"/>
      <c r="H62" s="610">
        <f t="shared" ref="H62:AK62" si="22">H63+H77</f>
        <v>10932459</v>
      </c>
      <c r="I62" s="610">
        <f t="shared" si="22"/>
        <v>0</v>
      </c>
      <c r="J62" s="610">
        <f t="shared" si="22"/>
        <v>10932459</v>
      </c>
      <c r="K62" s="610">
        <f t="shared" si="22"/>
        <v>8447543</v>
      </c>
      <c r="L62" s="610">
        <f t="shared" si="22"/>
        <v>2175903</v>
      </c>
      <c r="M62" s="610">
        <f t="shared" si="22"/>
        <v>36364</v>
      </c>
      <c r="N62" s="610">
        <f t="shared" si="22"/>
        <v>1645364</v>
      </c>
      <c r="O62" s="610">
        <f t="shared" si="22"/>
        <v>61284</v>
      </c>
      <c r="P62" s="610">
        <f t="shared" si="22"/>
        <v>3263364</v>
      </c>
      <c r="Q62" s="610">
        <f t="shared" si="22"/>
        <v>508364</v>
      </c>
      <c r="R62" s="610">
        <f t="shared" si="22"/>
        <v>756900</v>
      </c>
      <c r="S62" s="610">
        <f t="shared" si="22"/>
        <v>2412188</v>
      </c>
      <c r="T62" s="610">
        <f t="shared" si="22"/>
        <v>36363</v>
      </c>
      <c r="U62" s="610">
        <f t="shared" si="22"/>
        <v>36363</v>
      </c>
      <c r="V62" s="610">
        <f t="shared" si="22"/>
        <v>36363</v>
      </c>
      <c r="W62" s="610">
        <f t="shared" si="22"/>
        <v>36363</v>
      </c>
      <c r="X62" s="610">
        <f t="shared" si="22"/>
        <v>36363</v>
      </c>
      <c r="Y62" s="610">
        <f t="shared" si="22"/>
        <v>36363</v>
      </c>
      <c r="Z62" s="610">
        <f t="shared" si="22"/>
        <v>36363</v>
      </c>
      <c r="AA62" s="610">
        <f t="shared" si="22"/>
        <v>36363</v>
      </c>
      <c r="AB62" s="610">
        <f t="shared" si="22"/>
        <v>36364</v>
      </c>
      <c r="AC62" s="610">
        <f t="shared" si="22"/>
        <v>36364</v>
      </c>
      <c r="AD62" s="610">
        <f t="shared" si="22"/>
        <v>36364</v>
      </c>
      <c r="AE62" s="610">
        <f t="shared" si="22"/>
        <v>36364</v>
      </c>
      <c r="AF62" s="610">
        <f t="shared" si="22"/>
        <v>44364</v>
      </c>
      <c r="AG62" s="610">
        <f t="shared" si="22"/>
        <v>165364</v>
      </c>
      <c r="AH62" s="610">
        <f t="shared" si="22"/>
        <v>1766100</v>
      </c>
      <c r="AI62" s="610">
        <f t="shared" si="22"/>
        <v>72728</v>
      </c>
      <c r="AJ62" s="610">
        <f t="shared" si="22"/>
        <v>36364</v>
      </c>
      <c r="AK62" s="610">
        <f t="shared" si="22"/>
        <v>36364</v>
      </c>
      <c r="AL62" s="387">
        <f t="shared" si="5"/>
        <v>0</v>
      </c>
      <c r="AM62" s="605">
        <f t="shared" si="1"/>
        <v>0</v>
      </c>
      <c r="AN62" s="605">
        <f t="shared" si="2"/>
        <v>0</v>
      </c>
      <c r="AO62" s="606">
        <f t="shared" si="3"/>
        <v>0</v>
      </c>
    </row>
    <row r="63" spans="1:41" s="624" customFormat="1" ht="14.25">
      <c r="A63" s="1033" t="s">
        <v>1481</v>
      </c>
      <c r="B63" s="1034"/>
      <c r="C63" s="1034"/>
      <c r="D63" s="1035"/>
      <c r="E63" s="1036"/>
      <c r="F63" s="623"/>
      <c r="G63" s="616"/>
      <c r="H63" s="619">
        <f>SUM(H64:H76)</f>
        <v>7372459</v>
      </c>
      <c r="I63" s="620">
        <f t="shared" ref="I63:AK63" si="23">SUM(I64:I76)</f>
        <v>0</v>
      </c>
      <c r="J63" s="620">
        <f t="shared" si="23"/>
        <v>7372459</v>
      </c>
      <c r="K63" s="619">
        <f t="shared" si="23"/>
        <v>7235459</v>
      </c>
      <c r="L63" s="620">
        <f t="shared" si="23"/>
        <v>2139539</v>
      </c>
      <c r="M63" s="620">
        <f t="shared" si="23"/>
        <v>0</v>
      </c>
      <c r="N63" s="620">
        <f t="shared" si="23"/>
        <v>1609000</v>
      </c>
      <c r="O63" s="620">
        <f t="shared" si="23"/>
        <v>24920</v>
      </c>
      <c r="P63" s="620">
        <f t="shared" si="23"/>
        <v>2990000</v>
      </c>
      <c r="Q63" s="620">
        <f t="shared" si="23"/>
        <v>472000</v>
      </c>
      <c r="R63" s="620">
        <f t="shared" si="23"/>
        <v>0</v>
      </c>
      <c r="S63" s="619">
        <f t="shared" si="23"/>
        <v>137000</v>
      </c>
      <c r="T63" s="620">
        <f t="shared" si="23"/>
        <v>0</v>
      </c>
      <c r="U63" s="620">
        <f t="shared" si="23"/>
        <v>0</v>
      </c>
      <c r="V63" s="620">
        <f t="shared" si="23"/>
        <v>0</v>
      </c>
      <c r="W63" s="620">
        <f t="shared" si="23"/>
        <v>0</v>
      </c>
      <c r="X63" s="620">
        <f t="shared" si="23"/>
        <v>0</v>
      </c>
      <c r="Y63" s="620">
        <f t="shared" si="23"/>
        <v>0</v>
      </c>
      <c r="Z63" s="620">
        <f t="shared" si="23"/>
        <v>0</v>
      </c>
      <c r="AA63" s="620">
        <f t="shared" si="23"/>
        <v>0</v>
      </c>
      <c r="AB63" s="620">
        <f t="shared" si="23"/>
        <v>0</v>
      </c>
      <c r="AC63" s="620">
        <f t="shared" si="23"/>
        <v>0</v>
      </c>
      <c r="AD63" s="620">
        <f t="shared" si="23"/>
        <v>0</v>
      </c>
      <c r="AE63" s="620">
        <f t="shared" si="23"/>
        <v>0</v>
      </c>
      <c r="AF63" s="620">
        <f t="shared" si="23"/>
        <v>8000</v>
      </c>
      <c r="AG63" s="620">
        <f t="shared" si="23"/>
        <v>129000</v>
      </c>
      <c r="AH63" s="620">
        <f t="shared" si="23"/>
        <v>0</v>
      </c>
      <c r="AI63" s="619">
        <f t="shared" si="23"/>
        <v>0</v>
      </c>
      <c r="AJ63" s="620">
        <f t="shared" si="23"/>
        <v>0</v>
      </c>
      <c r="AK63" s="620">
        <f t="shared" si="23"/>
        <v>0</v>
      </c>
      <c r="AL63" s="387">
        <f t="shared" si="5"/>
        <v>0</v>
      </c>
      <c r="AM63" s="605">
        <f t="shared" si="1"/>
        <v>0</v>
      </c>
      <c r="AN63" s="605">
        <f t="shared" si="2"/>
        <v>0</v>
      </c>
      <c r="AO63" s="606">
        <f t="shared" si="3"/>
        <v>0</v>
      </c>
    </row>
    <row r="64" spans="1:41" s="633" customFormat="1" ht="28.5">
      <c r="A64" s="65" t="s">
        <v>923</v>
      </c>
      <c r="B64" s="126" t="s">
        <v>1482</v>
      </c>
      <c r="C64" s="660">
        <v>1</v>
      </c>
      <c r="D64" s="719" t="s">
        <v>1483</v>
      </c>
      <c r="E64" s="126" t="s">
        <v>613</v>
      </c>
      <c r="F64" s="101">
        <v>1</v>
      </c>
      <c r="G64" s="629">
        <v>4</v>
      </c>
      <c r="H64" s="662">
        <v>1661754</v>
      </c>
      <c r="I64" s="663"/>
      <c r="J64" s="663">
        <v>1661754</v>
      </c>
      <c r="K64" s="662">
        <v>1661754</v>
      </c>
      <c r="L64" s="663">
        <v>1661754</v>
      </c>
      <c r="M64" s="663"/>
      <c r="N64" s="663"/>
      <c r="O64" s="663"/>
      <c r="P64" s="663"/>
      <c r="Q64" s="663"/>
      <c r="R64" s="663"/>
      <c r="S64" s="662">
        <v>0</v>
      </c>
      <c r="T64" s="663"/>
      <c r="U64" s="663"/>
      <c r="V64" s="663"/>
      <c r="W64" s="663"/>
      <c r="X64" s="663"/>
      <c r="Y64" s="663"/>
      <c r="Z64" s="663"/>
      <c r="AA64" s="663"/>
      <c r="AB64" s="663"/>
      <c r="AC64" s="663"/>
      <c r="AD64" s="663"/>
      <c r="AE64" s="663"/>
      <c r="AF64" s="663"/>
      <c r="AG64" s="663"/>
      <c r="AH64" s="663"/>
      <c r="AI64" s="662">
        <v>0</v>
      </c>
      <c r="AJ64" s="663"/>
      <c r="AK64" s="663"/>
      <c r="AL64" s="387">
        <f t="shared" si="5"/>
        <v>0</v>
      </c>
      <c r="AM64" s="605">
        <f t="shared" si="1"/>
        <v>0</v>
      </c>
      <c r="AN64" s="605">
        <f t="shared" si="2"/>
        <v>0</v>
      </c>
      <c r="AO64" s="606">
        <f t="shared" si="3"/>
        <v>0</v>
      </c>
    </row>
    <row r="65" spans="1:41" s="633" customFormat="1" ht="14.25">
      <c r="A65" s="65" t="s">
        <v>923</v>
      </c>
      <c r="B65" s="126" t="s">
        <v>1482</v>
      </c>
      <c r="C65" s="660">
        <v>1</v>
      </c>
      <c r="D65" s="720" t="s">
        <v>1484</v>
      </c>
      <c r="E65" s="126" t="s">
        <v>214</v>
      </c>
      <c r="F65" s="101">
        <v>1</v>
      </c>
      <c r="G65" s="629">
        <v>4</v>
      </c>
      <c r="H65" s="662">
        <v>160188</v>
      </c>
      <c r="I65" s="638"/>
      <c r="J65" s="638">
        <v>160188</v>
      </c>
      <c r="K65" s="637">
        <v>160188</v>
      </c>
      <c r="L65" s="638">
        <v>160188</v>
      </c>
      <c r="M65" s="638"/>
      <c r="N65" s="638"/>
      <c r="O65" s="638"/>
      <c r="P65" s="638"/>
      <c r="Q65" s="638"/>
      <c r="R65" s="638"/>
      <c r="S65" s="637">
        <v>0</v>
      </c>
      <c r="T65" s="638"/>
      <c r="U65" s="638"/>
      <c r="V65" s="638"/>
      <c r="W65" s="638"/>
      <c r="X65" s="638"/>
      <c r="Y65" s="638"/>
      <c r="Z65" s="638"/>
      <c r="AA65" s="638"/>
      <c r="AB65" s="638"/>
      <c r="AC65" s="638"/>
      <c r="AD65" s="638"/>
      <c r="AE65" s="638"/>
      <c r="AF65" s="638"/>
      <c r="AG65" s="638"/>
      <c r="AH65" s="638"/>
      <c r="AI65" s="637">
        <v>0</v>
      </c>
      <c r="AJ65" s="638"/>
      <c r="AK65" s="638"/>
      <c r="AL65" s="387">
        <f t="shared" si="5"/>
        <v>0</v>
      </c>
      <c r="AM65" s="605">
        <f t="shared" si="1"/>
        <v>0</v>
      </c>
      <c r="AN65" s="605">
        <f t="shared" si="2"/>
        <v>0</v>
      </c>
      <c r="AO65" s="606">
        <f t="shared" si="3"/>
        <v>0</v>
      </c>
    </row>
    <row r="66" spans="1:41" s="633" customFormat="1" ht="28.5">
      <c r="A66" s="65" t="s">
        <v>923</v>
      </c>
      <c r="B66" s="627" t="s">
        <v>1482</v>
      </c>
      <c r="C66" s="660">
        <v>1</v>
      </c>
      <c r="D66" s="720" t="s">
        <v>1485</v>
      </c>
      <c r="E66" s="627" t="s">
        <v>614</v>
      </c>
      <c r="F66" s="101">
        <v>1</v>
      </c>
      <c r="G66" s="629">
        <v>4</v>
      </c>
      <c r="H66" s="662">
        <v>317597</v>
      </c>
      <c r="I66" s="638"/>
      <c r="J66" s="638">
        <v>317597</v>
      </c>
      <c r="K66" s="637">
        <v>317597</v>
      </c>
      <c r="L66" s="638">
        <v>317597</v>
      </c>
      <c r="M66" s="638"/>
      <c r="N66" s="638"/>
      <c r="O66" s="638"/>
      <c r="P66" s="638"/>
      <c r="Q66" s="638"/>
      <c r="R66" s="638"/>
      <c r="S66" s="637">
        <v>0</v>
      </c>
      <c r="T66" s="638"/>
      <c r="U66" s="638"/>
      <c r="V66" s="638"/>
      <c r="W66" s="638"/>
      <c r="X66" s="638"/>
      <c r="Y66" s="638"/>
      <c r="Z66" s="638"/>
      <c r="AA66" s="638"/>
      <c r="AB66" s="638"/>
      <c r="AC66" s="638"/>
      <c r="AD66" s="638"/>
      <c r="AE66" s="638"/>
      <c r="AF66" s="638"/>
      <c r="AG66" s="638"/>
      <c r="AH66" s="638"/>
      <c r="AI66" s="637">
        <v>0</v>
      </c>
      <c r="AJ66" s="638"/>
      <c r="AK66" s="638"/>
      <c r="AL66" s="387">
        <f t="shared" si="5"/>
        <v>0</v>
      </c>
      <c r="AM66" s="605">
        <f t="shared" si="1"/>
        <v>0</v>
      </c>
      <c r="AN66" s="605">
        <f t="shared" si="2"/>
        <v>0</v>
      </c>
      <c r="AO66" s="606">
        <f t="shared" si="3"/>
        <v>0</v>
      </c>
    </row>
    <row r="67" spans="1:41" s="633" customFormat="1" ht="28.5">
      <c r="A67" s="65" t="s">
        <v>923</v>
      </c>
      <c r="B67" s="126" t="s">
        <v>1482</v>
      </c>
      <c r="C67" s="660">
        <v>1</v>
      </c>
      <c r="D67" s="720" t="s">
        <v>1486</v>
      </c>
      <c r="E67" s="126" t="s">
        <v>1487</v>
      </c>
      <c r="F67" s="101">
        <v>1</v>
      </c>
      <c r="G67" s="629">
        <v>4</v>
      </c>
      <c r="H67" s="662">
        <v>1605000</v>
      </c>
      <c r="I67" s="638"/>
      <c r="J67" s="638">
        <v>1605000</v>
      </c>
      <c r="K67" s="637">
        <v>1605000</v>
      </c>
      <c r="L67" s="638"/>
      <c r="M67" s="638"/>
      <c r="N67" s="638">
        <v>1605000</v>
      </c>
      <c r="O67" s="638"/>
      <c r="P67" s="638"/>
      <c r="Q67" s="638"/>
      <c r="R67" s="638"/>
      <c r="S67" s="637">
        <v>0</v>
      </c>
      <c r="T67" s="638"/>
      <c r="U67" s="638"/>
      <c r="V67" s="638"/>
      <c r="W67" s="638"/>
      <c r="X67" s="638"/>
      <c r="Y67" s="638"/>
      <c r="Z67" s="638"/>
      <c r="AA67" s="638"/>
      <c r="AB67" s="638"/>
      <c r="AC67" s="638"/>
      <c r="AD67" s="638"/>
      <c r="AE67" s="638"/>
      <c r="AF67" s="638"/>
      <c r="AG67" s="638"/>
      <c r="AH67" s="638"/>
      <c r="AI67" s="637">
        <v>0</v>
      </c>
      <c r="AJ67" s="638"/>
      <c r="AK67" s="638"/>
      <c r="AL67" s="387">
        <f t="shared" si="5"/>
        <v>0</v>
      </c>
      <c r="AM67" s="605">
        <f t="shared" si="1"/>
        <v>0</v>
      </c>
      <c r="AN67" s="605">
        <f t="shared" si="2"/>
        <v>0</v>
      </c>
      <c r="AO67" s="606">
        <f t="shared" si="3"/>
        <v>0</v>
      </c>
    </row>
    <row r="68" spans="1:41" s="633" customFormat="1" ht="42.75">
      <c r="A68" s="65" t="s">
        <v>923</v>
      </c>
      <c r="B68" s="126" t="s">
        <v>1482</v>
      </c>
      <c r="C68" s="660">
        <v>1</v>
      </c>
      <c r="D68" s="720" t="s">
        <v>1488</v>
      </c>
      <c r="E68" s="126" t="s">
        <v>931</v>
      </c>
      <c r="F68" s="101">
        <v>1</v>
      </c>
      <c r="G68" s="629">
        <v>4</v>
      </c>
      <c r="H68" s="662">
        <v>389000</v>
      </c>
      <c r="I68" s="638"/>
      <c r="J68" s="638">
        <v>389000</v>
      </c>
      <c r="K68" s="637">
        <v>389000</v>
      </c>
      <c r="L68" s="638"/>
      <c r="M68" s="638"/>
      <c r="N68" s="638"/>
      <c r="O68" s="638"/>
      <c r="P68" s="638"/>
      <c r="Q68" s="638">
        <v>389000</v>
      </c>
      <c r="R68" s="638"/>
      <c r="S68" s="637">
        <v>0</v>
      </c>
      <c r="T68" s="638"/>
      <c r="U68" s="638"/>
      <c r="V68" s="638"/>
      <c r="W68" s="638"/>
      <c r="X68" s="638"/>
      <c r="Y68" s="638"/>
      <c r="Z68" s="638"/>
      <c r="AA68" s="638"/>
      <c r="AB68" s="638"/>
      <c r="AC68" s="638"/>
      <c r="AD68" s="638"/>
      <c r="AE68" s="638"/>
      <c r="AF68" s="638"/>
      <c r="AG68" s="638"/>
      <c r="AH68" s="638"/>
      <c r="AI68" s="637">
        <v>0</v>
      </c>
      <c r="AJ68" s="638"/>
      <c r="AK68" s="638"/>
      <c r="AL68" s="387">
        <f t="shared" si="5"/>
        <v>0</v>
      </c>
      <c r="AM68" s="605">
        <f t="shared" si="1"/>
        <v>0</v>
      </c>
      <c r="AN68" s="605">
        <f t="shared" si="2"/>
        <v>0</v>
      </c>
      <c r="AO68" s="606">
        <f t="shared" si="3"/>
        <v>0</v>
      </c>
    </row>
    <row r="69" spans="1:41" s="654" customFormat="1" ht="14.25">
      <c r="A69" s="65" t="s">
        <v>923</v>
      </c>
      <c r="B69" s="126" t="s">
        <v>1482</v>
      </c>
      <c r="C69" s="660">
        <v>1</v>
      </c>
      <c r="D69" s="720" t="s">
        <v>1489</v>
      </c>
      <c r="E69" s="126" t="s">
        <v>1490</v>
      </c>
      <c r="F69" s="101">
        <v>1</v>
      </c>
      <c r="G69" s="629">
        <v>4</v>
      </c>
      <c r="H69" s="662">
        <v>83000</v>
      </c>
      <c r="I69" s="638"/>
      <c r="J69" s="638">
        <v>83000</v>
      </c>
      <c r="K69" s="637">
        <v>83000</v>
      </c>
      <c r="L69" s="638"/>
      <c r="M69" s="638"/>
      <c r="N69" s="638"/>
      <c r="O69" s="638"/>
      <c r="P69" s="638"/>
      <c r="Q69" s="638">
        <v>83000</v>
      </c>
      <c r="R69" s="638"/>
      <c r="S69" s="637">
        <v>0</v>
      </c>
      <c r="T69" s="638"/>
      <c r="U69" s="638"/>
      <c r="V69" s="638"/>
      <c r="W69" s="638"/>
      <c r="X69" s="638"/>
      <c r="Y69" s="638"/>
      <c r="Z69" s="638"/>
      <c r="AA69" s="638"/>
      <c r="AB69" s="638"/>
      <c r="AC69" s="638"/>
      <c r="AD69" s="638"/>
      <c r="AE69" s="638"/>
      <c r="AF69" s="638"/>
      <c r="AG69" s="638"/>
      <c r="AH69" s="638"/>
      <c r="AI69" s="637">
        <v>0</v>
      </c>
      <c r="AJ69" s="638"/>
      <c r="AK69" s="638"/>
      <c r="AL69" s="387">
        <f t="shared" si="5"/>
        <v>0</v>
      </c>
      <c r="AM69" s="605">
        <f t="shared" ref="AM69:AM99" si="24">AI69-AJ69-AK69</f>
        <v>0</v>
      </c>
      <c r="AN69" s="605">
        <f t="shared" ref="AN69:AN99" si="25">S69-T69-U69-V69-W69-X69-Y69-Z69-AA69-AB69-AC69-AD69-AE69-AF69-AG69-AH69</f>
        <v>0</v>
      </c>
      <c r="AO69" s="606">
        <f t="shared" ref="AO69:AO99" si="26">K69-L69-M69-N69-O69-P69-Q69-R69</f>
        <v>0</v>
      </c>
    </row>
    <row r="70" spans="1:41" s="633" customFormat="1" ht="14.25">
      <c r="A70" s="65" t="s">
        <v>923</v>
      </c>
      <c r="B70" s="126" t="s">
        <v>1482</v>
      </c>
      <c r="C70" s="660">
        <v>1</v>
      </c>
      <c r="D70" s="720" t="s">
        <v>1491</v>
      </c>
      <c r="E70" s="126" t="s">
        <v>1492</v>
      </c>
      <c r="F70" s="101">
        <v>1</v>
      </c>
      <c r="G70" s="629">
        <v>4</v>
      </c>
      <c r="H70" s="662">
        <v>4000</v>
      </c>
      <c r="I70" s="638"/>
      <c r="J70" s="638">
        <v>4000</v>
      </c>
      <c r="K70" s="637">
        <v>4000</v>
      </c>
      <c r="L70" s="638"/>
      <c r="M70" s="638"/>
      <c r="N70" s="638">
        <v>4000</v>
      </c>
      <c r="O70" s="638"/>
      <c r="P70" s="638"/>
      <c r="Q70" s="638"/>
      <c r="R70" s="638"/>
      <c r="S70" s="637">
        <v>0</v>
      </c>
      <c r="T70" s="638"/>
      <c r="U70" s="638"/>
      <c r="V70" s="638"/>
      <c r="W70" s="638"/>
      <c r="X70" s="638"/>
      <c r="Y70" s="638"/>
      <c r="Z70" s="638"/>
      <c r="AA70" s="638"/>
      <c r="AB70" s="638"/>
      <c r="AC70" s="638"/>
      <c r="AD70" s="638"/>
      <c r="AE70" s="638"/>
      <c r="AF70" s="638"/>
      <c r="AG70" s="638"/>
      <c r="AH70" s="638"/>
      <c r="AI70" s="637">
        <v>0</v>
      </c>
      <c r="AJ70" s="638"/>
      <c r="AK70" s="638"/>
      <c r="AL70" s="387">
        <f t="shared" ref="AL70:AL103" si="27">IF(AND(+I70+J70=H70,AI70+S70+K70=H70),0,FALSE)</f>
        <v>0</v>
      </c>
      <c r="AM70" s="605">
        <f t="shared" si="24"/>
        <v>0</v>
      </c>
      <c r="AN70" s="605">
        <f t="shared" si="25"/>
        <v>0</v>
      </c>
      <c r="AO70" s="606">
        <f t="shared" si="26"/>
        <v>0</v>
      </c>
    </row>
    <row r="71" spans="1:41" s="633" customFormat="1" ht="14.25">
      <c r="A71" s="65" t="s">
        <v>923</v>
      </c>
      <c r="B71" s="126" t="s">
        <v>1482</v>
      </c>
      <c r="C71" s="660">
        <v>1</v>
      </c>
      <c r="D71" s="720" t="s">
        <v>1493</v>
      </c>
      <c r="E71" s="721" t="s">
        <v>1494</v>
      </c>
      <c r="F71" s="101">
        <v>1</v>
      </c>
      <c r="G71" s="629">
        <v>4</v>
      </c>
      <c r="H71" s="662">
        <v>8000</v>
      </c>
      <c r="I71" s="638"/>
      <c r="J71" s="638">
        <v>8000</v>
      </c>
      <c r="K71" s="637">
        <v>0</v>
      </c>
      <c r="L71" s="638"/>
      <c r="M71" s="638"/>
      <c r="N71" s="638">
        <v>0</v>
      </c>
      <c r="O71" s="638"/>
      <c r="P71" s="638"/>
      <c r="Q71" s="638"/>
      <c r="R71" s="638"/>
      <c r="S71" s="637">
        <v>8000</v>
      </c>
      <c r="T71" s="638"/>
      <c r="U71" s="638"/>
      <c r="V71" s="638"/>
      <c r="W71" s="638"/>
      <c r="X71" s="638"/>
      <c r="Y71" s="638"/>
      <c r="Z71" s="638"/>
      <c r="AA71" s="638"/>
      <c r="AB71" s="638"/>
      <c r="AC71" s="638"/>
      <c r="AD71" s="638"/>
      <c r="AE71" s="638"/>
      <c r="AF71" s="638">
        <v>8000</v>
      </c>
      <c r="AG71" s="638"/>
      <c r="AH71" s="638"/>
      <c r="AI71" s="637">
        <v>0</v>
      </c>
      <c r="AJ71" s="638"/>
      <c r="AK71" s="638"/>
      <c r="AL71" s="387">
        <f t="shared" si="27"/>
        <v>0</v>
      </c>
      <c r="AM71" s="605">
        <f t="shared" si="24"/>
        <v>0</v>
      </c>
      <c r="AN71" s="605">
        <f t="shared" si="25"/>
        <v>0</v>
      </c>
      <c r="AO71" s="606">
        <f t="shared" si="26"/>
        <v>0</v>
      </c>
    </row>
    <row r="72" spans="1:41" s="633" customFormat="1" ht="14.25">
      <c r="A72" s="65" t="s">
        <v>923</v>
      </c>
      <c r="B72" s="126" t="s">
        <v>1482</v>
      </c>
      <c r="C72" s="660">
        <v>1</v>
      </c>
      <c r="D72" s="720" t="s">
        <v>1495</v>
      </c>
      <c r="E72" s="126" t="s">
        <v>1496</v>
      </c>
      <c r="F72" s="101">
        <v>1</v>
      </c>
      <c r="G72" s="629">
        <v>4</v>
      </c>
      <c r="H72" s="662">
        <v>16920</v>
      </c>
      <c r="I72" s="638"/>
      <c r="J72" s="638">
        <v>16920</v>
      </c>
      <c r="K72" s="637">
        <v>16920</v>
      </c>
      <c r="L72" s="638"/>
      <c r="M72" s="638"/>
      <c r="N72" s="638"/>
      <c r="O72" s="638">
        <v>16920</v>
      </c>
      <c r="P72" s="638"/>
      <c r="Q72" s="638"/>
      <c r="R72" s="638"/>
      <c r="S72" s="637">
        <v>0</v>
      </c>
      <c r="T72" s="638"/>
      <c r="U72" s="638"/>
      <c r="V72" s="638"/>
      <c r="W72" s="638"/>
      <c r="X72" s="638"/>
      <c r="Y72" s="638"/>
      <c r="Z72" s="638"/>
      <c r="AA72" s="638"/>
      <c r="AB72" s="638"/>
      <c r="AC72" s="638"/>
      <c r="AD72" s="638"/>
      <c r="AE72" s="638"/>
      <c r="AF72" s="638"/>
      <c r="AG72" s="638"/>
      <c r="AH72" s="638"/>
      <c r="AI72" s="637">
        <v>0</v>
      </c>
      <c r="AJ72" s="638"/>
      <c r="AK72" s="638"/>
      <c r="AL72" s="387">
        <f t="shared" si="27"/>
        <v>0</v>
      </c>
      <c r="AM72" s="605">
        <f t="shared" si="24"/>
        <v>0</v>
      </c>
      <c r="AN72" s="605">
        <f t="shared" si="25"/>
        <v>0</v>
      </c>
      <c r="AO72" s="606">
        <f t="shared" si="26"/>
        <v>0</v>
      </c>
    </row>
    <row r="73" spans="1:41" s="633" customFormat="1" ht="28.5">
      <c r="A73" s="65" t="s">
        <v>923</v>
      </c>
      <c r="B73" s="126" t="s">
        <v>1482</v>
      </c>
      <c r="C73" s="660">
        <v>1</v>
      </c>
      <c r="D73" s="720" t="s">
        <v>1497</v>
      </c>
      <c r="E73" s="126" t="s">
        <v>1498</v>
      </c>
      <c r="F73" s="101">
        <v>1</v>
      </c>
      <c r="G73" s="629">
        <v>4</v>
      </c>
      <c r="H73" s="662">
        <v>8000</v>
      </c>
      <c r="I73" s="638"/>
      <c r="J73" s="638">
        <v>8000</v>
      </c>
      <c r="K73" s="637">
        <v>8000</v>
      </c>
      <c r="L73" s="638"/>
      <c r="M73" s="638"/>
      <c r="N73" s="638"/>
      <c r="O73" s="638">
        <v>8000</v>
      </c>
      <c r="P73" s="638"/>
      <c r="Q73" s="638"/>
      <c r="R73" s="638"/>
      <c r="S73" s="637">
        <v>0</v>
      </c>
      <c r="T73" s="638"/>
      <c r="U73" s="638"/>
      <c r="V73" s="638"/>
      <c r="W73" s="638"/>
      <c r="X73" s="638"/>
      <c r="Y73" s="638"/>
      <c r="Z73" s="638"/>
      <c r="AA73" s="638"/>
      <c r="AB73" s="638"/>
      <c r="AC73" s="638"/>
      <c r="AD73" s="638"/>
      <c r="AE73" s="638"/>
      <c r="AF73" s="638"/>
      <c r="AG73" s="638"/>
      <c r="AH73" s="638"/>
      <c r="AI73" s="637">
        <v>0</v>
      </c>
      <c r="AJ73" s="638"/>
      <c r="AK73" s="638"/>
      <c r="AL73" s="387">
        <f t="shared" si="27"/>
        <v>0</v>
      </c>
      <c r="AM73" s="605">
        <f t="shared" si="24"/>
        <v>0</v>
      </c>
      <c r="AN73" s="605">
        <f t="shared" si="25"/>
        <v>0</v>
      </c>
      <c r="AO73" s="606">
        <f t="shared" si="26"/>
        <v>0</v>
      </c>
    </row>
    <row r="74" spans="1:41" s="654" customFormat="1" ht="28.5">
      <c r="A74" s="65" t="s">
        <v>923</v>
      </c>
      <c r="B74" s="126" t="s">
        <v>1482</v>
      </c>
      <c r="C74" s="660">
        <v>1</v>
      </c>
      <c r="D74" s="720" t="s">
        <v>1499</v>
      </c>
      <c r="E74" s="126" t="s">
        <v>1500</v>
      </c>
      <c r="F74" s="101">
        <v>1</v>
      </c>
      <c r="G74" s="629">
        <v>4</v>
      </c>
      <c r="H74" s="662">
        <v>15000</v>
      </c>
      <c r="I74" s="638"/>
      <c r="J74" s="638">
        <v>15000</v>
      </c>
      <c r="K74" s="637">
        <v>15000</v>
      </c>
      <c r="L74" s="638"/>
      <c r="M74" s="638"/>
      <c r="N74" s="638"/>
      <c r="O74" s="638"/>
      <c r="P74" s="638">
        <v>15000</v>
      </c>
      <c r="Q74" s="638"/>
      <c r="R74" s="638"/>
      <c r="S74" s="637">
        <v>0</v>
      </c>
      <c r="T74" s="638"/>
      <c r="U74" s="638"/>
      <c r="V74" s="638"/>
      <c r="W74" s="638"/>
      <c r="X74" s="638"/>
      <c r="Y74" s="638"/>
      <c r="Z74" s="638"/>
      <c r="AA74" s="638"/>
      <c r="AB74" s="638"/>
      <c r="AC74" s="638"/>
      <c r="AD74" s="638"/>
      <c r="AE74" s="638"/>
      <c r="AF74" s="638"/>
      <c r="AG74" s="638"/>
      <c r="AH74" s="638"/>
      <c r="AI74" s="637">
        <v>0</v>
      </c>
      <c r="AJ74" s="638"/>
      <c r="AK74" s="638"/>
      <c r="AL74" s="387">
        <f t="shared" si="27"/>
        <v>0</v>
      </c>
      <c r="AM74" s="605">
        <f t="shared" si="24"/>
        <v>0</v>
      </c>
      <c r="AN74" s="605">
        <f t="shared" si="25"/>
        <v>0</v>
      </c>
      <c r="AO74" s="606">
        <f t="shared" si="26"/>
        <v>0</v>
      </c>
    </row>
    <row r="75" spans="1:41" s="654" customFormat="1" ht="28.5">
      <c r="A75" s="65" t="s">
        <v>923</v>
      </c>
      <c r="B75" s="126" t="s">
        <v>476</v>
      </c>
      <c r="C75" s="660">
        <v>1</v>
      </c>
      <c r="D75" s="719" t="s">
        <v>1501</v>
      </c>
      <c r="E75" s="126" t="s">
        <v>226</v>
      </c>
      <c r="F75" s="101">
        <v>1</v>
      </c>
      <c r="G75" s="629">
        <v>4</v>
      </c>
      <c r="H75" s="662">
        <v>2975000</v>
      </c>
      <c r="I75" s="638"/>
      <c r="J75" s="638">
        <v>2975000</v>
      </c>
      <c r="K75" s="637">
        <v>2975000</v>
      </c>
      <c r="L75" s="638"/>
      <c r="M75" s="638"/>
      <c r="N75" s="638"/>
      <c r="O75" s="638"/>
      <c r="P75" s="638">
        <v>2975000</v>
      </c>
      <c r="Q75" s="638"/>
      <c r="R75" s="638"/>
      <c r="S75" s="637">
        <v>0</v>
      </c>
      <c r="T75" s="638"/>
      <c r="U75" s="638"/>
      <c r="V75" s="638"/>
      <c r="W75" s="638"/>
      <c r="X75" s="638"/>
      <c r="Y75" s="638"/>
      <c r="Z75" s="638"/>
      <c r="AA75" s="638"/>
      <c r="AB75" s="638"/>
      <c r="AC75" s="638"/>
      <c r="AD75" s="638"/>
      <c r="AE75" s="638"/>
      <c r="AF75" s="638"/>
      <c r="AG75" s="638"/>
      <c r="AH75" s="638"/>
      <c r="AI75" s="637">
        <v>0</v>
      </c>
      <c r="AJ75" s="638"/>
      <c r="AK75" s="638"/>
      <c r="AL75" s="387">
        <f t="shared" si="27"/>
        <v>0</v>
      </c>
      <c r="AM75" s="605">
        <f t="shared" si="24"/>
        <v>0</v>
      </c>
      <c r="AN75" s="605">
        <f t="shared" si="25"/>
        <v>0</v>
      </c>
      <c r="AO75" s="606">
        <f t="shared" si="26"/>
        <v>0</v>
      </c>
    </row>
    <row r="76" spans="1:41" s="633" customFormat="1" ht="28.5">
      <c r="A76" s="65" t="s">
        <v>923</v>
      </c>
      <c r="B76" s="126" t="s">
        <v>476</v>
      </c>
      <c r="C76" s="660">
        <v>1</v>
      </c>
      <c r="D76" s="722" t="s">
        <v>1502</v>
      </c>
      <c r="E76" s="126" t="s">
        <v>935</v>
      </c>
      <c r="F76" s="101">
        <v>1</v>
      </c>
      <c r="G76" s="629">
        <v>4</v>
      </c>
      <c r="H76" s="662">
        <v>129000</v>
      </c>
      <c r="I76" s="638"/>
      <c r="J76" s="638">
        <v>129000</v>
      </c>
      <c r="K76" s="637">
        <v>0</v>
      </c>
      <c r="L76" s="638"/>
      <c r="M76" s="638"/>
      <c r="N76" s="638"/>
      <c r="O76" s="638"/>
      <c r="P76" s="638"/>
      <c r="Q76" s="638"/>
      <c r="R76" s="638"/>
      <c r="S76" s="637">
        <v>129000</v>
      </c>
      <c r="T76" s="638"/>
      <c r="U76" s="638"/>
      <c r="V76" s="638"/>
      <c r="W76" s="638"/>
      <c r="X76" s="638"/>
      <c r="Y76" s="638"/>
      <c r="Z76" s="638"/>
      <c r="AA76" s="638"/>
      <c r="AB76" s="638"/>
      <c r="AC76" s="638"/>
      <c r="AD76" s="638"/>
      <c r="AE76" s="638"/>
      <c r="AF76" s="638"/>
      <c r="AG76" s="638">
        <v>129000</v>
      </c>
      <c r="AH76" s="638"/>
      <c r="AI76" s="637">
        <v>0</v>
      </c>
      <c r="AJ76" s="638"/>
      <c r="AK76" s="638"/>
      <c r="AL76" s="387">
        <f t="shared" si="27"/>
        <v>0</v>
      </c>
      <c r="AM76" s="605">
        <f t="shared" si="24"/>
        <v>0</v>
      </c>
      <c r="AN76" s="605">
        <f t="shared" si="25"/>
        <v>0</v>
      </c>
      <c r="AO76" s="606">
        <f t="shared" si="26"/>
        <v>0</v>
      </c>
    </row>
    <row r="77" spans="1:41" s="624" customFormat="1" ht="14.25">
      <c r="A77" s="1023" t="s">
        <v>1503</v>
      </c>
      <c r="B77" s="1024"/>
      <c r="C77" s="1024"/>
      <c r="D77" s="1025"/>
      <c r="E77" s="1026"/>
      <c r="F77" s="641"/>
      <c r="G77" s="616"/>
      <c r="H77" s="619">
        <f t="shared" ref="H77:AK77" si="28">SUM(H78:H80)</f>
        <v>3560000</v>
      </c>
      <c r="I77" s="620">
        <f t="shared" si="28"/>
        <v>0</v>
      </c>
      <c r="J77" s="620">
        <f t="shared" si="28"/>
        <v>3560000</v>
      </c>
      <c r="K77" s="619">
        <f t="shared" si="28"/>
        <v>1212084</v>
      </c>
      <c r="L77" s="620">
        <f t="shared" si="28"/>
        <v>36364</v>
      </c>
      <c r="M77" s="620">
        <f t="shared" si="28"/>
        <v>36364</v>
      </c>
      <c r="N77" s="620">
        <f t="shared" si="28"/>
        <v>36364</v>
      </c>
      <c r="O77" s="620">
        <f t="shared" si="28"/>
        <v>36364</v>
      </c>
      <c r="P77" s="620">
        <f t="shared" si="28"/>
        <v>273364</v>
      </c>
      <c r="Q77" s="620">
        <f t="shared" si="28"/>
        <v>36364</v>
      </c>
      <c r="R77" s="620">
        <f t="shared" si="28"/>
        <v>756900</v>
      </c>
      <c r="S77" s="619">
        <f t="shared" si="28"/>
        <v>2275188</v>
      </c>
      <c r="T77" s="620">
        <f t="shared" si="28"/>
        <v>36363</v>
      </c>
      <c r="U77" s="620">
        <f t="shared" si="28"/>
        <v>36363</v>
      </c>
      <c r="V77" s="620">
        <f t="shared" si="28"/>
        <v>36363</v>
      </c>
      <c r="W77" s="620">
        <f t="shared" si="28"/>
        <v>36363</v>
      </c>
      <c r="X77" s="620">
        <f t="shared" si="28"/>
        <v>36363</v>
      </c>
      <c r="Y77" s="620">
        <f t="shared" si="28"/>
        <v>36363</v>
      </c>
      <c r="Z77" s="620">
        <f t="shared" si="28"/>
        <v>36363</v>
      </c>
      <c r="AA77" s="620">
        <f t="shared" si="28"/>
        <v>36363</v>
      </c>
      <c r="AB77" s="620">
        <f t="shared" si="28"/>
        <v>36364</v>
      </c>
      <c r="AC77" s="620">
        <f t="shared" si="28"/>
        <v>36364</v>
      </c>
      <c r="AD77" s="620">
        <f t="shared" si="28"/>
        <v>36364</v>
      </c>
      <c r="AE77" s="620">
        <f t="shared" si="28"/>
        <v>36364</v>
      </c>
      <c r="AF77" s="620">
        <f t="shared" si="28"/>
        <v>36364</v>
      </c>
      <c r="AG77" s="620">
        <f t="shared" si="28"/>
        <v>36364</v>
      </c>
      <c r="AH77" s="620">
        <f t="shared" si="28"/>
        <v>1766100</v>
      </c>
      <c r="AI77" s="619">
        <f t="shared" si="28"/>
        <v>72728</v>
      </c>
      <c r="AJ77" s="620">
        <f t="shared" si="28"/>
        <v>36364</v>
      </c>
      <c r="AK77" s="620">
        <f t="shared" si="28"/>
        <v>36364</v>
      </c>
      <c r="AL77" s="387">
        <f t="shared" si="27"/>
        <v>0</v>
      </c>
      <c r="AM77" s="605">
        <f t="shared" si="24"/>
        <v>0</v>
      </c>
      <c r="AN77" s="605">
        <f t="shared" si="25"/>
        <v>0</v>
      </c>
      <c r="AO77" s="606">
        <f t="shared" si="26"/>
        <v>0</v>
      </c>
    </row>
    <row r="78" spans="1:41" s="654" customFormat="1" ht="14.25">
      <c r="A78" s="65" t="s">
        <v>923</v>
      </c>
      <c r="B78" s="627" t="s">
        <v>79</v>
      </c>
      <c r="C78" s="660">
        <v>5</v>
      </c>
      <c r="D78" s="719">
        <v>5.0999999999999996</v>
      </c>
      <c r="E78" s="723" t="s">
        <v>1504</v>
      </c>
      <c r="F78" s="101">
        <v>1</v>
      </c>
      <c r="G78" s="629">
        <v>4</v>
      </c>
      <c r="H78" s="662">
        <v>800000</v>
      </c>
      <c r="I78" s="663"/>
      <c r="J78" s="663">
        <v>800000</v>
      </c>
      <c r="K78" s="662">
        <v>218184</v>
      </c>
      <c r="L78" s="663">
        <v>36364</v>
      </c>
      <c r="M78" s="663">
        <v>36364</v>
      </c>
      <c r="N78" s="663">
        <v>36364</v>
      </c>
      <c r="O78" s="663">
        <v>36364</v>
      </c>
      <c r="P78" s="663">
        <v>36364</v>
      </c>
      <c r="Q78" s="663">
        <v>36364</v>
      </c>
      <c r="R78" s="663"/>
      <c r="S78" s="662">
        <v>509088</v>
      </c>
      <c r="T78" s="663">
        <v>36363</v>
      </c>
      <c r="U78" s="663">
        <v>36363</v>
      </c>
      <c r="V78" s="663">
        <v>36363</v>
      </c>
      <c r="W78" s="663">
        <v>36363</v>
      </c>
      <c r="X78" s="663">
        <v>36363</v>
      </c>
      <c r="Y78" s="663">
        <v>36363</v>
      </c>
      <c r="Z78" s="663">
        <v>36363</v>
      </c>
      <c r="AA78" s="663">
        <v>36363</v>
      </c>
      <c r="AB78" s="663">
        <v>36364</v>
      </c>
      <c r="AC78" s="663">
        <v>36364</v>
      </c>
      <c r="AD78" s="663">
        <v>36364</v>
      </c>
      <c r="AE78" s="663">
        <v>36364</v>
      </c>
      <c r="AF78" s="663">
        <v>36364</v>
      </c>
      <c r="AG78" s="663">
        <v>36364</v>
      </c>
      <c r="AH78" s="663"/>
      <c r="AI78" s="662">
        <v>72728</v>
      </c>
      <c r="AJ78" s="663">
        <v>36364</v>
      </c>
      <c r="AK78" s="663">
        <v>36364</v>
      </c>
      <c r="AL78" s="387">
        <f t="shared" si="27"/>
        <v>0</v>
      </c>
      <c r="AM78" s="605">
        <f t="shared" si="24"/>
        <v>0</v>
      </c>
      <c r="AN78" s="605">
        <f t="shared" si="25"/>
        <v>0</v>
      </c>
      <c r="AO78" s="606">
        <f t="shared" si="26"/>
        <v>0</v>
      </c>
    </row>
    <row r="79" spans="1:41" s="654" customFormat="1" ht="28.5">
      <c r="A79" s="65" t="s">
        <v>923</v>
      </c>
      <c r="B79" s="627" t="s">
        <v>79</v>
      </c>
      <c r="C79" s="660">
        <v>3</v>
      </c>
      <c r="D79" s="724" t="s">
        <v>1505</v>
      </c>
      <c r="E79" s="725" t="s">
        <v>1506</v>
      </c>
      <c r="F79" s="101">
        <v>1</v>
      </c>
      <c r="G79" s="629">
        <v>4</v>
      </c>
      <c r="H79" s="662">
        <v>237000</v>
      </c>
      <c r="I79" s="638"/>
      <c r="J79" s="638">
        <v>237000</v>
      </c>
      <c r="K79" s="637">
        <v>237000</v>
      </c>
      <c r="L79" s="638"/>
      <c r="M79" s="638"/>
      <c r="N79" s="638"/>
      <c r="O79" s="638"/>
      <c r="P79" s="638">
        <v>237000</v>
      </c>
      <c r="Q79" s="638"/>
      <c r="R79" s="638"/>
      <c r="S79" s="637">
        <v>0</v>
      </c>
      <c r="T79" s="638"/>
      <c r="U79" s="638"/>
      <c r="V79" s="638"/>
      <c r="W79" s="638"/>
      <c r="X79" s="638"/>
      <c r="Y79" s="638"/>
      <c r="Z79" s="638"/>
      <c r="AA79" s="638"/>
      <c r="AB79" s="638"/>
      <c r="AC79" s="638"/>
      <c r="AD79" s="638"/>
      <c r="AE79" s="638"/>
      <c r="AF79" s="638"/>
      <c r="AG79" s="638"/>
      <c r="AH79" s="638"/>
      <c r="AI79" s="637">
        <v>0</v>
      </c>
      <c r="AJ79" s="638"/>
      <c r="AK79" s="638"/>
      <c r="AL79" s="387">
        <f t="shared" si="27"/>
        <v>0</v>
      </c>
      <c r="AM79" s="605">
        <f t="shared" si="24"/>
        <v>0</v>
      </c>
      <c r="AN79" s="605">
        <f t="shared" si="25"/>
        <v>0</v>
      </c>
      <c r="AO79" s="606">
        <f t="shared" si="26"/>
        <v>0</v>
      </c>
    </row>
    <row r="80" spans="1:41" s="633" customFormat="1" ht="14.25">
      <c r="A80" s="65" t="s">
        <v>923</v>
      </c>
      <c r="B80" s="126" t="s">
        <v>79</v>
      </c>
      <c r="C80" s="660">
        <v>5</v>
      </c>
      <c r="D80" s="722" t="s">
        <v>1507</v>
      </c>
      <c r="E80" s="726" t="s">
        <v>1508</v>
      </c>
      <c r="F80" s="101">
        <v>1</v>
      </c>
      <c r="G80" s="664">
        <v>4</v>
      </c>
      <c r="H80" s="688">
        <f>SUM(I80:J80)</f>
        <v>2523000</v>
      </c>
      <c r="I80" s="727"/>
      <c r="J80" s="689">
        <f>SUM(K80,S80)</f>
        <v>2523000</v>
      </c>
      <c r="K80" s="688">
        <f>SUBTOTAL(9,L80:R80)</f>
        <v>756900</v>
      </c>
      <c r="L80" s="727"/>
      <c r="M80" s="727"/>
      <c r="N80" s="727"/>
      <c r="O80" s="727"/>
      <c r="P80" s="727"/>
      <c r="Q80" s="727"/>
      <c r="R80" s="689">
        <v>756900</v>
      </c>
      <c r="S80" s="688">
        <f>SUBTOTAL(9,T80:AH80)</f>
        <v>1766100</v>
      </c>
      <c r="T80" s="727"/>
      <c r="U80" s="727"/>
      <c r="V80" s="727"/>
      <c r="W80" s="727"/>
      <c r="X80" s="727"/>
      <c r="Y80" s="727"/>
      <c r="Z80" s="727"/>
      <c r="AA80" s="727"/>
      <c r="AB80" s="727"/>
      <c r="AC80" s="727"/>
      <c r="AD80" s="727"/>
      <c r="AE80" s="727"/>
      <c r="AF80" s="727"/>
      <c r="AG80" s="727"/>
      <c r="AH80" s="689">
        <v>1766100</v>
      </c>
      <c r="AI80" s="728">
        <v>0</v>
      </c>
      <c r="AJ80" s="727"/>
      <c r="AK80" s="727"/>
      <c r="AL80" s="387">
        <f t="shared" si="27"/>
        <v>0</v>
      </c>
      <c r="AM80" s="605">
        <f t="shared" si="24"/>
        <v>0</v>
      </c>
      <c r="AN80" s="605">
        <f t="shared" si="25"/>
        <v>0</v>
      </c>
      <c r="AO80" s="606">
        <f t="shared" si="26"/>
        <v>0</v>
      </c>
    </row>
    <row r="81" spans="1:41" s="731" customFormat="1" ht="15.75">
      <c r="A81" s="1037" t="s">
        <v>1509</v>
      </c>
      <c r="B81" s="1038"/>
      <c r="C81" s="1038"/>
      <c r="D81" s="1040"/>
      <c r="E81" s="1039"/>
      <c r="F81" s="101">
        <v>1</v>
      </c>
      <c r="G81" s="729"/>
      <c r="H81" s="730">
        <f>H82</f>
        <v>696000</v>
      </c>
      <c r="I81" s="730">
        <f t="shared" ref="I81:AK81" si="29">I82</f>
        <v>0</v>
      </c>
      <c r="J81" s="730">
        <f t="shared" si="29"/>
        <v>696000</v>
      </c>
      <c r="K81" s="730">
        <f t="shared" si="29"/>
        <v>346000</v>
      </c>
      <c r="L81" s="730">
        <f t="shared" si="29"/>
        <v>0</v>
      </c>
      <c r="M81" s="730">
        <f t="shared" si="29"/>
        <v>0</v>
      </c>
      <c r="N81" s="730">
        <f t="shared" si="29"/>
        <v>0</v>
      </c>
      <c r="O81" s="730">
        <f t="shared" si="29"/>
        <v>0</v>
      </c>
      <c r="P81" s="730">
        <f t="shared" si="29"/>
        <v>0</v>
      </c>
      <c r="Q81" s="730">
        <f t="shared" si="29"/>
        <v>0</v>
      </c>
      <c r="R81" s="730">
        <f t="shared" si="29"/>
        <v>346000</v>
      </c>
      <c r="S81" s="730">
        <f t="shared" si="29"/>
        <v>300000</v>
      </c>
      <c r="T81" s="730">
        <f t="shared" si="29"/>
        <v>0</v>
      </c>
      <c r="U81" s="730">
        <f t="shared" si="29"/>
        <v>0</v>
      </c>
      <c r="V81" s="730">
        <f t="shared" si="29"/>
        <v>0</v>
      </c>
      <c r="W81" s="730">
        <f t="shared" si="29"/>
        <v>0</v>
      </c>
      <c r="X81" s="730">
        <f t="shared" si="29"/>
        <v>0</v>
      </c>
      <c r="Y81" s="730">
        <f t="shared" si="29"/>
        <v>0</v>
      </c>
      <c r="Z81" s="730">
        <f t="shared" si="29"/>
        <v>0</v>
      </c>
      <c r="AA81" s="730">
        <f t="shared" si="29"/>
        <v>0</v>
      </c>
      <c r="AB81" s="730">
        <f t="shared" si="29"/>
        <v>0</v>
      </c>
      <c r="AC81" s="730">
        <f t="shared" si="29"/>
        <v>0</v>
      </c>
      <c r="AD81" s="730">
        <f t="shared" si="29"/>
        <v>0</v>
      </c>
      <c r="AE81" s="730">
        <f t="shared" si="29"/>
        <v>0</v>
      </c>
      <c r="AF81" s="730">
        <f t="shared" si="29"/>
        <v>0</v>
      </c>
      <c r="AG81" s="730">
        <f t="shared" si="29"/>
        <v>0</v>
      </c>
      <c r="AH81" s="730">
        <f t="shared" si="29"/>
        <v>300000</v>
      </c>
      <c r="AI81" s="730">
        <f t="shared" si="29"/>
        <v>50000</v>
      </c>
      <c r="AJ81" s="730">
        <f t="shared" si="29"/>
        <v>25000</v>
      </c>
      <c r="AK81" s="730">
        <f t="shared" si="29"/>
        <v>25000</v>
      </c>
      <c r="AL81" s="387">
        <f t="shared" si="27"/>
        <v>0</v>
      </c>
      <c r="AM81" s="605">
        <f t="shared" si="24"/>
        <v>0</v>
      </c>
      <c r="AN81" s="605">
        <f t="shared" si="25"/>
        <v>0</v>
      </c>
      <c r="AO81" s="606">
        <f t="shared" si="26"/>
        <v>0</v>
      </c>
    </row>
    <row r="82" spans="1:41" s="699" customFormat="1" ht="28.5">
      <c r="A82" s="126" t="s">
        <v>1510</v>
      </c>
      <c r="B82" s="126" t="s">
        <v>1511</v>
      </c>
      <c r="C82" s="625">
        <v>2</v>
      </c>
      <c r="D82" s="732" t="s">
        <v>1512</v>
      </c>
      <c r="E82" s="126" t="s">
        <v>1412</v>
      </c>
      <c r="F82" s="101"/>
      <c r="G82" s="664">
        <v>4</v>
      </c>
      <c r="H82" s="708">
        <v>696000</v>
      </c>
      <c r="I82" s="638"/>
      <c r="J82" s="632">
        <v>696000</v>
      </c>
      <c r="K82" s="708">
        <v>346000</v>
      </c>
      <c r="L82" s="638"/>
      <c r="M82" s="638"/>
      <c r="N82" s="638"/>
      <c r="O82" s="638"/>
      <c r="P82" s="638"/>
      <c r="Q82" s="638"/>
      <c r="R82" s="632">
        <v>346000</v>
      </c>
      <c r="S82" s="637">
        <v>300000</v>
      </c>
      <c r="T82" s="638"/>
      <c r="U82" s="638"/>
      <c r="V82" s="638"/>
      <c r="W82" s="638"/>
      <c r="X82" s="638"/>
      <c r="Y82" s="638"/>
      <c r="Z82" s="638"/>
      <c r="AA82" s="638"/>
      <c r="AB82" s="638"/>
      <c r="AC82" s="638"/>
      <c r="AD82" s="638"/>
      <c r="AE82" s="638"/>
      <c r="AF82" s="638"/>
      <c r="AG82" s="638"/>
      <c r="AH82" s="638">
        <v>300000</v>
      </c>
      <c r="AI82" s="637">
        <v>50000</v>
      </c>
      <c r="AJ82" s="638">
        <v>25000</v>
      </c>
      <c r="AK82" s="638">
        <v>25000</v>
      </c>
      <c r="AL82" s="387">
        <f t="shared" si="27"/>
        <v>0</v>
      </c>
      <c r="AM82" s="605">
        <f t="shared" si="24"/>
        <v>0</v>
      </c>
      <c r="AN82" s="605">
        <f t="shared" si="25"/>
        <v>0</v>
      </c>
      <c r="AO82" s="606">
        <f t="shared" si="26"/>
        <v>0</v>
      </c>
    </row>
    <row r="83" spans="1:41" s="733" customFormat="1" ht="15.75">
      <c r="A83" s="1037" t="s">
        <v>1513</v>
      </c>
      <c r="B83" s="1038"/>
      <c r="C83" s="1038"/>
      <c r="D83" s="1008"/>
      <c r="E83" s="1039"/>
      <c r="F83" s="692"/>
      <c r="G83" s="729"/>
      <c r="H83" s="610">
        <f>H84+H89+H90+H93</f>
        <v>2632895</v>
      </c>
      <c r="I83" s="610">
        <f t="shared" ref="I83:AK83" si="30">I84+I89+I90+I93</f>
        <v>148500</v>
      </c>
      <c r="J83" s="610">
        <f t="shared" si="30"/>
        <v>2484395</v>
      </c>
      <c r="K83" s="610">
        <f t="shared" si="30"/>
        <v>844907</v>
      </c>
      <c r="L83" s="610">
        <f t="shared" si="30"/>
        <v>73568</v>
      </c>
      <c r="M83" s="610">
        <f t="shared" si="30"/>
        <v>2730</v>
      </c>
      <c r="N83" s="610">
        <f t="shared" si="30"/>
        <v>123164</v>
      </c>
      <c r="O83" s="610">
        <f t="shared" si="30"/>
        <v>122836</v>
      </c>
      <c r="P83" s="610">
        <f t="shared" si="30"/>
        <v>77366</v>
      </c>
      <c r="Q83" s="610">
        <f t="shared" si="30"/>
        <v>113189</v>
      </c>
      <c r="R83" s="610">
        <f t="shared" si="30"/>
        <v>332054</v>
      </c>
      <c r="S83" s="610">
        <f t="shared" si="30"/>
        <v>1737462</v>
      </c>
      <c r="T83" s="610">
        <f t="shared" si="30"/>
        <v>132808</v>
      </c>
      <c r="U83" s="610">
        <f t="shared" si="30"/>
        <v>55660</v>
      </c>
      <c r="V83" s="610">
        <f t="shared" si="30"/>
        <v>115788</v>
      </c>
      <c r="W83" s="610">
        <f t="shared" si="30"/>
        <v>135319</v>
      </c>
      <c r="X83" s="610">
        <f t="shared" si="30"/>
        <v>58860</v>
      </c>
      <c r="Y83" s="610">
        <f t="shared" si="30"/>
        <v>234044</v>
      </c>
      <c r="Z83" s="610">
        <f t="shared" si="30"/>
        <v>91723</v>
      </c>
      <c r="AA83" s="610">
        <f t="shared" si="30"/>
        <v>86327</v>
      </c>
      <c r="AB83" s="610">
        <f t="shared" si="30"/>
        <v>52736</v>
      </c>
      <c r="AC83" s="610">
        <f t="shared" si="30"/>
        <v>31463</v>
      </c>
      <c r="AD83" s="610">
        <f t="shared" si="30"/>
        <v>12810</v>
      </c>
      <c r="AE83" s="610">
        <f t="shared" si="30"/>
        <v>78844</v>
      </c>
      <c r="AF83" s="610">
        <f t="shared" si="30"/>
        <v>24440</v>
      </c>
      <c r="AG83" s="610">
        <f t="shared" si="30"/>
        <v>6072</v>
      </c>
      <c r="AH83" s="610">
        <f t="shared" si="30"/>
        <v>620568</v>
      </c>
      <c r="AI83" s="610">
        <f t="shared" si="30"/>
        <v>50526</v>
      </c>
      <c r="AJ83" s="610">
        <f t="shared" si="30"/>
        <v>20205</v>
      </c>
      <c r="AK83" s="610">
        <f t="shared" si="30"/>
        <v>30321</v>
      </c>
      <c r="AL83" s="387">
        <f t="shared" si="27"/>
        <v>0</v>
      </c>
      <c r="AM83" s="605">
        <f t="shared" si="24"/>
        <v>0</v>
      </c>
      <c r="AN83" s="605">
        <f t="shared" si="25"/>
        <v>0</v>
      </c>
      <c r="AO83" s="606">
        <f t="shared" si="26"/>
        <v>0</v>
      </c>
    </row>
    <row r="84" spans="1:41" s="624" customFormat="1" ht="14.25">
      <c r="A84" s="1045" t="s">
        <v>1514</v>
      </c>
      <c r="B84" s="1046"/>
      <c r="C84" s="1046"/>
      <c r="D84" s="1047"/>
      <c r="E84" s="1048"/>
      <c r="F84" s="623"/>
      <c r="G84" s="616"/>
      <c r="H84" s="619">
        <f>SUM(H85:H88)</f>
        <v>698502</v>
      </c>
      <c r="I84" s="620">
        <f t="shared" ref="I84:AK84" si="31">SUM(I85:I88)</f>
        <v>0</v>
      </c>
      <c r="J84" s="620">
        <f t="shared" si="31"/>
        <v>698502</v>
      </c>
      <c r="K84" s="619">
        <f t="shared" si="31"/>
        <v>220248</v>
      </c>
      <c r="L84" s="620">
        <f t="shared" si="31"/>
        <v>6975</v>
      </c>
      <c r="M84" s="620">
        <f t="shared" si="31"/>
        <v>0</v>
      </c>
      <c r="N84" s="620">
        <f t="shared" si="31"/>
        <v>57925</v>
      </c>
      <c r="O84" s="620">
        <f t="shared" si="31"/>
        <v>59550</v>
      </c>
      <c r="P84" s="620">
        <f t="shared" si="31"/>
        <v>22270</v>
      </c>
      <c r="Q84" s="620">
        <f t="shared" si="31"/>
        <v>73528</v>
      </c>
      <c r="R84" s="620">
        <f t="shared" si="31"/>
        <v>0</v>
      </c>
      <c r="S84" s="619">
        <f t="shared" si="31"/>
        <v>464029</v>
      </c>
      <c r="T84" s="620">
        <f t="shared" si="31"/>
        <v>84031</v>
      </c>
      <c r="U84" s="620">
        <f t="shared" si="31"/>
        <v>21500</v>
      </c>
      <c r="V84" s="620">
        <f t="shared" si="31"/>
        <v>51650</v>
      </c>
      <c r="W84" s="620">
        <f t="shared" si="31"/>
        <v>33965</v>
      </c>
      <c r="X84" s="620">
        <f t="shared" si="31"/>
        <v>22710</v>
      </c>
      <c r="Y84" s="620">
        <f t="shared" si="31"/>
        <v>42175</v>
      </c>
      <c r="Z84" s="620">
        <f t="shared" si="31"/>
        <v>29125</v>
      </c>
      <c r="AA84" s="620">
        <f t="shared" si="31"/>
        <v>22865</v>
      </c>
      <c r="AB84" s="620">
        <f t="shared" si="31"/>
        <v>11900</v>
      </c>
      <c r="AC84" s="620">
        <f t="shared" si="31"/>
        <v>14043</v>
      </c>
      <c r="AD84" s="620">
        <f t="shared" si="31"/>
        <v>7140</v>
      </c>
      <c r="AE84" s="620">
        <f t="shared" si="31"/>
        <v>1500</v>
      </c>
      <c r="AF84" s="620">
        <f t="shared" si="31"/>
        <v>22040</v>
      </c>
      <c r="AG84" s="620">
        <f t="shared" si="31"/>
        <v>0</v>
      </c>
      <c r="AH84" s="620">
        <f t="shared" si="31"/>
        <v>99385</v>
      </c>
      <c r="AI84" s="619">
        <f t="shared" si="31"/>
        <v>14225</v>
      </c>
      <c r="AJ84" s="620">
        <f t="shared" si="31"/>
        <v>10225</v>
      </c>
      <c r="AK84" s="620">
        <f t="shared" si="31"/>
        <v>4000</v>
      </c>
      <c r="AL84" s="387">
        <f t="shared" si="27"/>
        <v>0</v>
      </c>
      <c r="AM84" s="605">
        <f t="shared" si="24"/>
        <v>0</v>
      </c>
      <c r="AN84" s="605">
        <f t="shared" si="25"/>
        <v>0</v>
      </c>
      <c r="AO84" s="606">
        <f t="shared" si="26"/>
        <v>0</v>
      </c>
    </row>
    <row r="85" spans="1:41" s="654" customFormat="1" ht="42.75">
      <c r="A85" s="660" t="s">
        <v>1296</v>
      </c>
      <c r="B85" s="735" t="s">
        <v>1515</v>
      </c>
      <c r="C85" s="660">
        <v>4</v>
      </c>
      <c r="D85" s="736" t="s">
        <v>1516</v>
      </c>
      <c r="E85" s="126" t="s">
        <v>1517</v>
      </c>
      <c r="F85" s="601">
        <v>3</v>
      </c>
      <c r="G85" s="629">
        <v>5</v>
      </c>
      <c r="H85" s="737">
        <v>20000</v>
      </c>
      <c r="I85" s="738"/>
      <c r="J85" s="738">
        <v>20000</v>
      </c>
      <c r="K85" s="737">
        <v>4375</v>
      </c>
      <c r="L85" s="738">
        <v>625</v>
      </c>
      <c r="M85" s="738"/>
      <c r="N85" s="738">
        <v>625</v>
      </c>
      <c r="O85" s="738">
        <v>1250</v>
      </c>
      <c r="P85" s="738"/>
      <c r="Q85" s="738">
        <v>1875</v>
      </c>
      <c r="R85" s="738"/>
      <c r="S85" s="737">
        <v>10000</v>
      </c>
      <c r="T85" s="738">
        <v>1250</v>
      </c>
      <c r="U85" s="738"/>
      <c r="V85" s="738">
        <v>1250</v>
      </c>
      <c r="W85" s="738"/>
      <c r="X85" s="738">
        <v>1250</v>
      </c>
      <c r="Y85" s="738"/>
      <c r="Z85" s="738">
        <v>625</v>
      </c>
      <c r="AA85" s="738">
        <v>5625</v>
      </c>
      <c r="AB85" s="738"/>
      <c r="AC85" s="738"/>
      <c r="AD85" s="738"/>
      <c r="AE85" s="738"/>
      <c r="AF85" s="738"/>
      <c r="AG85" s="738"/>
      <c r="AH85" s="738"/>
      <c r="AI85" s="737">
        <v>5625</v>
      </c>
      <c r="AJ85" s="738">
        <v>3125</v>
      </c>
      <c r="AK85" s="738">
        <v>2500</v>
      </c>
      <c r="AL85" s="387">
        <f t="shared" si="27"/>
        <v>0</v>
      </c>
      <c r="AM85" s="605">
        <f t="shared" si="24"/>
        <v>0</v>
      </c>
      <c r="AN85" s="605">
        <f t="shared" si="25"/>
        <v>0</v>
      </c>
      <c r="AO85" s="606">
        <f t="shared" si="26"/>
        <v>0</v>
      </c>
    </row>
    <row r="86" spans="1:41" s="654" customFormat="1" ht="42.75">
      <c r="A86" s="660" t="s">
        <v>1296</v>
      </c>
      <c r="B86" s="739" t="s">
        <v>1518</v>
      </c>
      <c r="C86" s="660">
        <v>5</v>
      </c>
      <c r="D86" s="736" t="s">
        <v>1519</v>
      </c>
      <c r="E86" s="740" t="s">
        <v>1520</v>
      </c>
      <c r="F86" s="741">
        <v>1</v>
      </c>
      <c r="G86" s="629">
        <v>5</v>
      </c>
      <c r="H86" s="708">
        <v>511532</v>
      </c>
      <c r="I86" s="742"/>
      <c r="J86" s="632">
        <f>K86+S86+AI86</f>
        <v>511532</v>
      </c>
      <c r="K86" s="708">
        <v>128553</v>
      </c>
      <c r="L86" s="632">
        <v>4850</v>
      </c>
      <c r="M86" s="742">
        <v>0</v>
      </c>
      <c r="N86" s="632">
        <v>55800</v>
      </c>
      <c r="O86" s="632">
        <v>36440</v>
      </c>
      <c r="P86" s="632">
        <v>19270</v>
      </c>
      <c r="Q86" s="632">
        <v>12193</v>
      </c>
      <c r="R86" s="742">
        <v>0</v>
      </c>
      <c r="S86" s="708">
        <f>SUBTOTAL(9,T86:AH86)</f>
        <v>380379</v>
      </c>
      <c r="T86" s="632">
        <v>69131</v>
      </c>
      <c r="U86" s="632">
        <v>20000</v>
      </c>
      <c r="V86" s="632">
        <v>47400</v>
      </c>
      <c r="W86" s="632">
        <v>30965</v>
      </c>
      <c r="X86" s="632">
        <v>16960</v>
      </c>
      <c r="Y86" s="632">
        <v>34375</v>
      </c>
      <c r="Z86" s="632">
        <v>25500</v>
      </c>
      <c r="AA86" s="632">
        <v>9040</v>
      </c>
      <c r="AB86" s="742">
        <v>0</v>
      </c>
      <c r="AC86" s="632">
        <v>1443</v>
      </c>
      <c r="AD86" s="632">
        <v>4140</v>
      </c>
      <c r="AE86" s="742">
        <v>0</v>
      </c>
      <c r="AF86" s="632">
        <v>22040</v>
      </c>
      <c r="AG86" s="742">
        <v>0</v>
      </c>
      <c r="AH86" s="632">
        <v>99385</v>
      </c>
      <c r="AI86" s="743">
        <v>2600</v>
      </c>
      <c r="AJ86" s="742">
        <v>2600</v>
      </c>
      <c r="AK86" s="742">
        <v>0</v>
      </c>
      <c r="AL86" s="387">
        <f t="shared" si="27"/>
        <v>0</v>
      </c>
      <c r="AM86" s="605">
        <f t="shared" si="24"/>
        <v>0</v>
      </c>
      <c r="AN86" s="605">
        <f t="shared" si="25"/>
        <v>0</v>
      </c>
      <c r="AO86" s="606">
        <f t="shared" si="26"/>
        <v>0</v>
      </c>
    </row>
    <row r="87" spans="1:41" s="654" customFormat="1" ht="42.75">
      <c r="A87" s="660" t="s">
        <v>1296</v>
      </c>
      <c r="B87" s="744" t="s">
        <v>1521</v>
      </c>
      <c r="C87" s="660">
        <v>5</v>
      </c>
      <c r="D87" s="736" t="s">
        <v>1522</v>
      </c>
      <c r="E87" s="740" t="s">
        <v>1523</v>
      </c>
      <c r="F87" s="741">
        <v>1</v>
      </c>
      <c r="G87" s="629">
        <v>5</v>
      </c>
      <c r="H87" s="708">
        <v>90832</v>
      </c>
      <c r="I87" s="738"/>
      <c r="J87" s="632">
        <f>K87+S87+AI87</f>
        <v>90832</v>
      </c>
      <c r="K87" s="708">
        <v>72682</v>
      </c>
      <c r="L87" s="738"/>
      <c r="M87" s="738"/>
      <c r="N87" s="738"/>
      <c r="O87" s="738">
        <v>18860</v>
      </c>
      <c r="P87" s="738"/>
      <c r="Q87" s="632">
        <v>53822</v>
      </c>
      <c r="R87" s="738"/>
      <c r="S87" s="637">
        <v>18150</v>
      </c>
      <c r="T87" s="738">
        <v>12150</v>
      </c>
      <c r="U87" s="738"/>
      <c r="V87" s="738"/>
      <c r="W87" s="738"/>
      <c r="X87" s="738"/>
      <c r="Y87" s="738"/>
      <c r="Z87" s="738"/>
      <c r="AA87" s="738">
        <v>2800</v>
      </c>
      <c r="AB87" s="738">
        <v>3200</v>
      </c>
      <c r="AC87" s="738"/>
      <c r="AD87" s="738"/>
      <c r="AE87" s="738"/>
      <c r="AF87" s="738"/>
      <c r="AG87" s="738"/>
      <c r="AH87" s="738"/>
      <c r="AI87" s="637">
        <v>0</v>
      </c>
      <c r="AJ87" s="738"/>
      <c r="AK87" s="738"/>
      <c r="AL87" s="387">
        <f t="shared" si="27"/>
        <v>0</v>
      </c>
      <c r="AM87" s="605">
        <f t="shared" si="24"/>
        <v>0</v>
      </c>
      <c r="AN87" s="605">
        <f t="shared" si="25"/>
        <v>0</v>
      </c>
      <c r="AO87" s="606">
        <f t="shared" si="26"/>
        <v>0</v>
      </c>
    </row>
    <row r="88" spans="1:41" s="654" customFormat="1" ht="42.75">
      <c r="A88" s="625" t="s">
        <v>1296</v>
      </c>
      <c r="B88" s="735" t="s">
        <v>1524</v>
      </c>
      <c r="C88" s="625">
        <v>5</v>
      </c>
      <c r="D88" s="745" t="s">
        <v>1525</v>
      </c>
      <c r="E88" s="627" t="s">
        <v>1526</v>
      </c>
      <c r="F88" s="746">
        <v>1</v>
      </c>
      <c r="G88" s="629">
        <v>5</v>
      </c>
      <c r="H88" s="708">
        <v>76138</v>
      </c>
      <c r="I88" s="638">
        <v>0</v>
      </c>
      <c r="J88" s="632">
        <v>76138</v>
      </c>
      <c r="K88" s="708">
        <v>14638</v>
      </c>
      <c r="L88" s="638">
        <v>1500</v>
      </c>
      <c r="M88" s="638">
        <v>0</v>
      </c>
      <c r="N88" s="638">
        <v>1500</v>
      </c>
      <c r="O88" s="638">
        <v>3000</v>
      </c>
      <c r="P88" s="638">
        <v>3000</v>
      </c>
      <c r="Q88" s="632">
        <v>5638</v>
      </c>
      <c r="R88" s="638">
        <v>0</v>
      </c>
      <c r="S88" s="637">
        <v>55500</v>
      </c>
      <c r="T88" s="638">
        <v>1500</v>
      </c>
      <c r="U88" s="638">
        <v>1500</v>
      </c>
      <c r="V88" s="638">
        <v>3000</v>
      </c>
      <c r="W88" s="638">
        <v>3000</v>
      </c>
      <c r="X88" s="638">
        <v>4500</v>
      </c>
      <c r="Y88" s="638">
        <v>7800</v>
      </c>
      <c r="Z88" s="638">
        <v>3000</v>
      </c>
      <c r="AA88" s="638">
        <v>5400</v>
      </c>
      <c r="AB88" s="638">
        <v>8700</v>
      </c>
      <c r="AC88" s="638">
        <v>12600</v>
      </c>
      <c r="AD88" s="638">
        <v>3000</v>
      </c>
      <c r="AE88" s="638">
        <v>1500</v>
      </c>
      <c r="AF88" s="638">
        <v>0</v>
      </c>
      <c r="AG88" s="638">
        <v>0</v>
      </c>
      <c r="AH88" s="638"/>
      <c r="AI88" s="637">
        <v>6000</v>
      </c>
      <c r="AJ88" s="638">
        <v>4500</v>
      </c>
      <c r="AK88" s="638">
        <v>1500</v>
      </c>
      <c r="AL88" s="387">
        <f t="shared" si="27"/>
        <v>0</v>
      </c>
      <c r="AM88" s="605">
        <f t="shared" si="24"/>
        <v>0</v>
      </c>
      <c r="AN88" s="605">
        <f t="shared" si="25"/>
        <v>0</v>
      </c>
      <c r="AO88" s="606">
        <f t="shared" si="26"/>
        <v>0</v>
      </c>
    </row>
    <row r="89" spans="1:41" s="624" customFormat="1" ht="28.5">
      <c r="A89" s="639" t="s">
        <v>1296</v>
      </c>
      <c r="B89" s="615" t="s">
        <v>196</v>
      </c>
      <c r="C89" s="639">
        <v>7</v>
      </c>
      <c r="D89" s="745"/>
      <c r="E89" s="747" t="s">
        <v>1527</v>
      </c>
      <c r="F89" s="746"/>
      <c r="G89" s="616">
        <v>5</v>
      </c>
      <c r="H89" s="619">
        <v>120080</v>
      </c>
      <c r="I89" s="620">
        <v>40000</v>
      </c>
      <c r="J89" s="620">
        <v>80080</v>
      </c>
      <c r="K89" s="619">
        <v>35989</v>
      </c>
      <c r="L89" s="632">
        <v>5708</v>
      </c>
      <c r="M89" s="632">
        <v>2730</v>
      </c>
      <c r="N89" s="632">
        <v>6007</v>
      </c>
      <c r="O89" s="632">
        <v>7561</v>
      </c>
      <c r="P89" s="632">
        <v>6528</v>
      </c>
      <c r="Q89" s="632">
        <v>6512</v>
      </c>
      <c r="R89" s="632">
        <v>943</v>
      </c>
      <c r="S89" s="619">
        <v>76500</v>
      </c>
      <c r="T89" s="632">
        <v>6401</v>
      </c>
      <c r="U89" s="632">
        <v>2400</v>
      </c>
      <c r="V89" s="632">
        <v>7595</v>
      </c>
      <c r="W89" s="632">
        <v>5100</v>
      </c>
      <c r="X89" s="632">
        <v>5270</v>
      </c>
      <c r="Y89" s="632">
        <v>5585</v>
      </c>
      <c r="Z89" s="632">
        <v>6138</v>
      </c>
      <c r="AA89" s="632">
        <v>6462</v>
      </c>
      <c r="AB89" s="632">
        <v>5796</v>
      </c>
      <c r="AC89" s="632">
        <v>6120</v>
      </c>
      <c r="AD89" s="632">
        <v>5670</v>
      </c>
      <c r="AE89" s="632">
        <v>5456</v>
      </c>
      <c r="AF89" s="632">
        <v>2400</v>
      </c>
      <c r="AG89" s="632">
        <v>5456</v>
      </c>
      <c r="AH89" s="632">
        <v>651</v>
      </c>
      <c r="AI89" s="619">
        <v>7591</v>
      </c>
      <c r="AJ89" s="632">
        <v>3220</v>
      </c>
      <c r="AK89" s="632">
        <v>4371</v>
      </c>
      <c r="AL89" s="387">
        <f t="shared" si="27"/>
        <v>0</v>
      </c>
      <c r="AM89" s="605">
        <f t="shared" si="24"/>
        <v>0</v>
      </c>
      <c r="AN89" s="605">
        <f t="shared" si="25"/>
        <v>0</v>
      </c>
      <c r="AO89" s="606">
        <f t="shared" si="26"/>
        <v>0</v>
      </c>
    </row>
    <row r="90" spans="1:41" s="624" customFormat="1" ht="14.25">
      <c r="A90" s="1045" t="s">
        <v>1528</v>
      </c>
      <c r="B90" s="1046"/>
      <c r="C90" s="1046"/>
      <c r="D90" s="1047"/>
      <c r="E90" s="1048"/>
      <c r="F90" s="748"/>
      <c r="G90" s="616"/>
      <c r="H90" s="619">
        <f t="shared" ref="H90:AK90" si="32">SUM(H91:H92)</f>
        <v>500000</v>
      </c>
      <c r="I90" s="620">
        <f t="shared" si="32"/>
        <v>0</v>
      </c>
      <c r="J90" s="620">
        <f t="shared" si="32"/>
        <v>500000</v>
      </c>
      <c r="K90" s="619">
        <f t="shared" si="32"/>
        <v>116700</v>
      </c>
      <c r="L90" s="620">
        <f t="shared" si="32"/>
        <v>30885</v>
      </c>
      <c r="M90" s="620">
        <f t="shared" si="32"/>
        <v>0</v>
      </c>
      <c r="N90" s="620">
        <f t="shared" si="32"/>
        <v>29232</v>
      </c>
      <c r="O90" s="620">
        <f t="shared" si="32"/>
        <v>23055</v>
      </c>
      <c r="P90" s="620">
        <f t="shared" si="32"/>
        <v>18568</v>
      </c>
      <c r="Q90" s="620">
        <f t="shared" si="32"/>
        <v>3149</v>
      </c>
      <c r="R90" s="620">
        <f t="shared" si="32"/>
        <v>11811</v>
      </c>
      <c r="S90" s="619">
        <f t="shared" si="32"/>
        <v>378390</v>
      </c>
      <c r="T90" s="620">
        <f t="shared" si="32"/>
        <v>12376</v>
      </c>
      <c r="U90" s="620">
        <f t="shared" si="32"/>
        <v>1760</v>
      </c>
      <c r="V90" s="620">
        <f t="shared" si="32"/>
        <v>26543</v>
      </c>
      <c r="W90" s="620">
        <f t="shared" si="32"/>
        <v>42631</v>
      </c>
      <c r="X90" s="620">
        <f t="shared" si="32"/>
        <v>0</v>
      </c>
      <c r="Y90" s="620">
        <f t="shared" si="32"/>
        <v>156284</v>
      </c>
      <c r="Z90" s="620">
        <f t="shared" si="32"/>
        <v>26460</v>
      </c>
      <c r="AA90" s="620">
        <f t="shared" si="32"/>
        <v>27000</v>
      </c>
      <c r="AB90" s="620">
        <f t="shared" si="32"/>
        <v>5040</v>
      </c>
      <c r="AC90" s="620">
        <f t="shared" si="32"/>
        <v>11300</v>
      </c>
      <c r="AD90" s="620">
        <f t="shared" si="32"/>
        <v>0</v>
      </c>
      <c r="AE90" s="620">
        <f t="shared" si="32"/>
        <v>28248</v>
      </c>
      <c r="AF90" s="620">
        <f t="shared" si="32"/>
        <v>0</v>
      </c>
      <c r="AG90" s="620">
        <f t="shared" si="32"/>
        <v>616</v>
      </c>
      <c r="AH90" s="620">
        <f t="shared" si="32"/>
        <v>40132</v>
      </c>
      <c r="AI90" s="619">
        <f t="shared" si="32"/>
        <v>4910</v>
      </c>
      <c r="AJ90" s="620">
        <f t="shared" si="32"/>
        <v>1760</v>
      </c>
      <c r="AK90" s="620">
        <f t="shared" si="32"/>
        <v>3150</v>
      </c>
      <c r="AL90" s="387">
        <f t="shared" si="27"/>
        <v>0</v>
      </c>
      <c r="AM90" s="605">
        <f t="shared" si="24"/>
        <v>0</v>
      </c>
      <c r="AN90" s="605">
        <f t="shared" si="25"/>
        <v>0</v>
      </c>
      <c r="AO90" s="606">
        <f t="shared" si="26"/>
        <v>0</v>
      </c>
    </row>
    <row r="91" spans="1:41" s="654" customFormat="1" ht="28.5">
      <c r="A91" s="110" t="s">
        <v>1296</v>
      </c>
      <c r="B91" s="749" t="s">
        <v>1529</v>
      </c>
      <c r="C91" s="660">
        <v>5</v>
      </c>
      <c r="D91" s="736" t="s">
        <v>1525</v>
      </c>
      <c r="E91" s="749" t="s">
        <v>1530</v>
      </c>
      <c r="F91" s="741">
        <v>1</v>
      </c>
      <c r="G91" s="629">
        <v>5</v>
      </c>
      <c r="H91" s="637">
        <v>262000</v>
      </c>
      <c r="I91" s="738"/>
      <c r="J91" s="738">
        <v>262000</v>
      </c>
      <c r="K91" s="737">
        <v>51100</v>
      </c>
      <c r="L91" s="738">
        <v>0</v>
      </c>
      <c r="M91" s="738">
        <v>0</v>
      </c>
      <c r="N91" s="738">
        <v>8787</v>
      </c>
      <c r="O91" s="738">
        <v>17313</v>
      </c>
      <c r="P91" s="738">
        <v>18568</v>
      </c>
      <c r="Q91" s="738">
        <v>3149</v>
      </c>
      <c r="R91" s="738">
        <v>3283</v>
      </c>
      <c r="S91" s="637">
        <v>205990</v>
      </c>
      <c r="T91" s="738">
        <v>7031</v>
      </c>
      <c r="U91" s="738">
        <v>1760</v>
      </c>
      <c r="V91" s="738">
        <v>2430</v>
      </c>
      <c r="W91" s="738">
        <v>2670</v>
      </c>
      <c r="X91" s="738">
        <v>0</v>
      </c>
      <c r="Y91" s="738">
        <v>104130</v>
      </c>
      <c r="Z91" s="738">
        <v>21960</v>
      </c>
      <c r="AA91" s="738">
        <v>4590</v>
      </c>
      <c r="AB91" s="738">
        <v>5040</v>
      </c>
      <c r="AC91" s="738">
        <v>4410</v>
      </c>
      <c r="AD91" s="738">
        <v>0</v>
      </c>
      <c r="AE91" s="738">
        <v>28248</v>
      </c>
      <c r="AF91" s="738">
        <v>0</v>
      </c>
      <c r="AG91" s="738">
        <v>616</v>
      </c>
      <c r="AH91" s="738">
        <v>23105</v>
      </c>
      <c r="AI91" s="637">
        <v>4910</v>
      </c>
      <c r="AJ91" s="738">
        <v>1760</v>
      </c>
      <c r="AK91" s="738">
        <v>3150</v>
      </c>
      <c r="AL91" s="387">
        <f t="shared" si="27"/>
        <v>0</v>
      </c>
      <c r="AM91" s="605">
        <f t="shared" si="24"/>
        <v>0</v>
      </c>
      <c r="AN91" s="605">
        <f t="shared" si="25"/>
        <v>0</v>
      </c>
      <c r="AO91" s="606">
        <f t="shared" si="26"/>
        <v>0</v>
      </c>
    </row>
    <row r="92" spans="1:41" s="633" customFormat="1" ht="28.5">
      <c r="A92" s="660" t="s">
        <v>1296</v>
      </c>
      <c r="B92" s="739" t="s">
        <v>1531</v>
      </c>
      <c r="C92" s="660">
        <v>5</v>
      </c>
      <c r="D92" s="736" t="s">
        <v>1525</v>
      </c>
      <c r="E92" s="749" t="s">
        <v>1532</v>
      </c>
      <c r="F92" s="741">
        <v>1</v>
      </c>
      <c r="G92" s="750">
        <v>5</v>
      </c>
      <c r="H92" s="708">
        <v>238000</v>
      </c>
      <c r="I92" s="738"/>
      <c r="J92" s="632">
        <f>K92+S92+AI92</f>
        <v>238000</v>
      </c>
      <c r="K92" s="737">
        <v>65600</v>
      </c>
      <c r="L92" s="738">
        <v>30885</v>
      </c>
      <c r="M92" s="738">
        <v>0</v>
      </c>
      <c r="N92" s="738">
        <v>20445</v>
      </c>
      <c r="O92" s="738">
        <v>5742</v>
      </c>
      <c r="P92" s="738">
        <v>0</v>
      </c>
      <c r="Q92" s="738">
        <v>0</v>
      </c>
      <c r="R92" s="738">
        <v>8528</v>
      </c>
      <c r="S92" s="708">
        <v>172400</v>
      </c>
      <c r="T92" s="632">
        <v>5345</v>
      </c>
      <c r="U92" s="738">
        <v>0</v>
      </c>
      <c r="V92" s="738">
        <v>24113</v>
      </c>
      <c r="W92" s="738">
        <v>39961</v>
      </c>
      <c r="X92" s="738">
        <v>0</v>
      </c>
      <c r="Y92" s="738">
        <v>52154</v>
      </c>
      <c r="Z92" s="738">
        <v>4500</v>
      </c>
      <c r="AA92" s="738">
        <v>22410</v>
      </c>
      <c r="AB92" s="738">
        <v>0</v>
      </c>
      <c r="AC92" s="632">
        <v>6890</v>
      </c>
      <c r="AD92" s="738">
        <v>0</v>
      </c>
      <c r="AE92" s="738">
        <v>0</v>
      </c>
      <c r="AF92" s="738">
        <v>0</v>
      </c>
      <c r="AG92" s="738">
        <v>0</v>
      </c>
      <c r="AH92" s="738">
        <v>17027</v>
      </c>
      <c r="AI92" s="637">
        <v>0</v>
      </c>
      <c r="AJ92" s="738">
        <v>0</v>
      </c>
      <c r="AK92" s="738">
        <v>0</v>
      </c>
      <c r="AL92" s="387">
        <f t="shared" si="27"/>
        <v>0</v>
      </c>
      <c r="AM92" s="605">
        <f t="shared" si="24"/>
        <v>0</v>
      </c>
      <c r="AN92" s="605">
        <f t="shared" si="25"/>
        <v>0</v>
      </c>
      <c r="AO92" s="606">
        <f t="shared" si="26"/>
        <v>0</v>
      </c>
    </row>
    <row r="93" spans="1:41" s="654" customFormat="1" ht="71.25">
      <c r="A93" s="751" t="s">
        <v>1296</v>
      </c>
      <c r="B93" s="752" t="s">
        <v>1533</v>
      </c>
      <c r="C93" s="639">
        <v>5</v>
      </c>
      <c r="D93" s="753" t="s">
        <v>1534</v>
      </c>
      <c r="E93" s="615" t="s">
        <v>1535</v>
      </c>
      <c r="F93" s="754">
        <v>1</v>
      </c>
      <c r="G93" s="616">
        <v>5</v>
      </c>
      <c r="H93" s="708">
        <v>1314313</v>
      </c>
      <c r="I93" s="620">
        <v>108500</v>
      </c>
      <c r="J93" s="632">
        <v>1205813</v>
      </c>
      <c r="K93" s="708">
        <v>471970</v>
      </c>
      <c r="L93" s="620">
        <v>30000</v>
      </c>
      <c r="M93" s="620">
        <v>0</v>
      </c>
      <c r="N93" s="620">
        <v>30000</v>
      </c>
      <c r="O93" s="620">
        <v>32670</v>
      </c>
      <c r="P93" s="620">
        <v>30000</v>
      </c>
      <c r="Q93" s="620">
        <v>30000</v>
      </c>
      <c r="R93" s="632">
        <v>319300</v>
      </c>
      <c r="S93" s="708">
        <v>818543</v>
      </c>
      <c r="T93" s="620">
        <v>30000</v>
      </c>
      <c r="U93" s="620">
        <v>30000</v>
      </c>
      <c r="V93" s="620">
        <v>30000</v>
      </c>
      <c r="W93" s="620">
        <v>53623</v>
      </c>
      <c r="X93" s="620">
        <v>30880</v>
      </c>
      <c r="Y93" s="620">
        <v>30000</v>
      </c>
      <c r="Z93" s="620">
        <v>30000</v>
      </c>
      <c r="AA93" s="620">
        <v>30000</v>
      </c>
      <c r="AB93" s="620">
        <v>30000</v>
      </c>
      <c r="AC93" s="620">
        <v>0</v>
      </c>
      <c r="AD93" s="620">
        <v>0</v>
      </c>
      <c r="AE93" s="620">
        <v>43640</v>
      </c>
      <c r="AF93" s="620">
        <v>0</v>
      </c>
      <c r="AG93" s="620">
        <v>0</v>
      </c>
      <c r="AH93" s="632">
        <v>480400</v>
      </c>
      <c r="AI93" s="619">
        <v>23800</v>
      </c>
      <c r="AJ93" s="620">
        <v>5000</v>
      </c>
      <c r="AK93" s="620">
        <v>18800</v>
      </c>
      <c r="AL93" s="387">
        <f t="shared" si="27"/>
        <v>0</v>
      </c>
      <c r="AM93" s="605">
        <f t="shared" si="24"/>
        <v>0</v>
      </c>
      <c r="AN93" s="605">
        <f t="shared" si="25"/>
        <v>0</v>
      </c>
      <c r="AO93" s="606">
        <f t="shared" si="26"/>
        <v>0</v>
      </c>
    </row>
    <row r="94" spans="1:41" s="731" customFormat="1" ht="15.75">
      <c r="A94" s="1041" t="s">
        <v>1536</v>
      </c>
      <c r="B94" s="1042"/>
      <c r="C94" s="1042"/>
      <c r="D94" s="1049"/>
      <c r="E94" s="1044"/>
      <c r="F94" s="755"/>
      <c r="G94" s="609"/>
      <c r="H94" s="730">
        <f t="shared" ref="H94:AK94" si="33">H95+H96</f>
        <v>2020000</v>
      </c>
      <c r="I94" s="730">
        <f t="shared" si="33"/>
        <v>260000</v>
      </c>
      <c r="J94" s="730">
        <f t="shared" si="33"/>
        <v>1760000</v>
      </c>
      <c r="K94" s="730">
        <f t="shared" si="33"/>
        <v>926000</v>
      </c>
      <c r="L94" s="730">
        <f t="shared" si="33"/>
        <v>0</v>
      </c>
      <c r="M94" s="730">
        <f t="shared" si="33"/>
        <v>0</v>
      </c>
      <c r="N94" s="730">
        <f t="shared" si="33"/>
        <v>0</v>
      </c>
      <c r="O94" s="730">
        <f t="shared" si="33"/>
        <v>0</v>
      </c>
      <c r="P94" s="730">
        <f t="shared" si="33"/>
        <v>0</v>
      </c>
      <c r="Q94" s="730">
        <f t="shared" si="33"/>
        <v>0</v>
      </c>
      <c r="R94" s="730">
        <f t="shared" si="33"/>
        <v>926000</v>
      </c>
      <c r="S94" s="730">
        <f t="shared" si="33"/>
        <v>1094000</v>
      </c>
      <c r="T94" s="730">
        <f t="shared" si="33"/>
        <v>0</v>
      </c>
      <c r="U94" s="730">
        <f t="shared" si="33"/>
        <v>0</v>
      </c>
      <c r="V94" s="730">
        <f t="shared" si="33"/>
        <v>0</v>
      </c>
      <c r="W94" s="730">
        <f t="shared" si="33"/>
        <v>0</v>
      </c>
      <c r="X94" s="730">
        <f t="shared" si="33"/>
        <v>0</v>
      </c>
      <c r="Y94" s="730">
        <f t="shared" si="33"/>
        <v>0</v>
      </c>
      <c r="Z94" s="730">
        <f t="shared" si="33"/>
        <v>0</v>
      </c>
      <c r="AA94" s="730">
        <f t="shared" si="33"/>
        <v>0</v>
      </c>
      <c r="AB94" s="730">
        <f t="shared" si="33"/>
        <v>0</v>
      </c>
      <c r="AC94" s="730">
        <f t="shared" si="33"/>
        <v>0</v>
      </c>
      <c r="AD94" s="730">
        <f t="shared" si="33"/>
        <v>0</v>
      </c>
      <c r="AE94" s="730">
        <f t="shared" si="33"/>
        <v>0</v>
      </c>
      <c r="AF94" s="730">
        <f t="shared" si="33"/>
        <v>0</v>
      </c>
      <c r="AG94" s="730">
        <f t="shared" si="33"/>
        <v>0</v>
      </c>
      <c r="AH94" s="730">
        <f t="shared" si="33"/>
        <v>1094000</v>
      </c>
      <c r="AI94" s="730">
        <f t="shared" si="33"/>
        <v>0</v>
      </c>
      <c r="AJ94" s="730">
        <f t="shared" si="33"/>
        <v>0</v>
      </c>
      <c r="AK94" s="730">
        <f t="shared" si="33"/>
        <v>0</v>
      </c>
      <c r="AL94" s="387">
        <f t="shared" si="27"/>
        <v>0</v>
      </c>
      <c r="AM94" s="605">
        <f t="shared" si="24"/>
        <v>0</v>
      </c>
      <c r="AN94" s="605">
        <f t="shared" si="25"/>
        <v>0</v>
      </c>
      <c r="AO94" s="606">
        <f t="shared" si="26"/>
        <v>0</v>
      </c>
    </row>
    <row r="95" spans="1:41" s="759" customFormat="1" ht="28.5">
      <c r="A95" s="756" t="s">
        <v>1317</v>
      </c>
      <c r="B95" s="740" t="s">
        <v>1537</v>
      </c>
      <c r="C95" s="660">
        <v>2</v>
      </c>
      <c r="D95" s="757">
        <v>1</v>
      </c>
      <c r="E95" s="740" t="s">
        <v>1538</v>
      </c>
      <c r="F95" s="732">
        <v>1</v>
      </c>
      <c r="G95" s="758">
        <v>6</v>
      </c>
      <c r="H95" s="637">
        <v>125000</v>
      </c>
      <c r="I95" s="738">
        <v>20000</v>
      </c>
      <c r="J95" s="738">
        <v>105000</v>
      </c>
      <c r="K95" s="737">
        <v>85000</v>
      </c>
      <c r="L95" s="738"/>
      <c r="M95" s="738"/>
      <c r="N95" s="738"/>
      <c r="O95" s="738"/>
      <c r="P95" s="738"/>
      <c r="Q95" s="738"/>
      <c r="R95" s="738">
        <v>85000</v>
      </c>
      <c r="S95" s="637">
        <v>40000</v>
      </c>
      <c r="T95" s="738"/>
      <c r="U95" s="738"/>
      <c r="V95" s="738"/>
      <c r="W95" s="738"/>
      <c r="X95" s="738"/>
      <c r="Y95" s="738"/>
      <c r="Z95" s="738"/>
      <c r="AA95" s="738"/>
      <c r="AB95" s="738"/>
      <c r="AC95" s="738"/>
      <c r="AD95" s="738"/>
      <c r="AE95" s="738"/>
      <c r="AF95" s="738"/>
      <c r="AG95" s="738"/>
      <c r="AH95" s="738">
        <v>40000</v>
      </c>
      <c r="AI95" s="637">
        <v>0</v>
      </c>
      <c r="AJ95" s="738">
        <v>0</v>
      </c>
      <c r="AK95" s="738">
        <v>0</v>
      </c>
      <c r="AL95" s="387">
        <f t="shared" si="27"/>
        <v>0</v>
      </c>
      <c r="AM95" s="605">
        <f t="shared" si="24"/>
        <v>0</v>
      </c>
      <c r="AN95" s="605">
        <f t="shared" si="25"/>
        <v>0</v>
      </c>
      <c r="AO95" s="606">
        <f t="shared" si="26"/>
        <v>0</v>
      </c>
    </row>
    <row r="96" spans="1:41" s="760" customFormat="1" ht="28.5">
      <c r="A96" s="756" t="s">
        <v>1317</v>
      </c>
      <c r="B96" s="740" t="s">
        <v>1537</v>
      </c>
      <c r="C96" s="660">
        <v>2</v>
      </c>
      <c r="D96" s="757">
        <v>2</v>
      </c>
      <c r="E96" s="740" t="s">
        <v>1412</v>
      </c>
      <c r="F96" s="732">
        <v>1</v>
      </c>
      <c r="G96" s="758">
        <v>6</v>
      </c>
      <c r="H96" s="617">
        <v>1895000</v>
      </c>
      <c r="I96" s="738">
        <v>240000</v>
      </c>
      <c r="J96" s="618">
        <v>1655000</v>
      </c>
      <c r="K96" s="617">
        <v>841000</v>
      </c>
      <c r="L96" s="738"/>
      <c r="M96" s="738"/>
      <c r="N96" s="738"/>
      <c r="O96" s="738"/>
      <c r="P96" s="738"/>
      <c r="Q96" s="738"/>
      <c r="R96" s="618">
        <v>841000</v>
      </c>
      <c r="S96" s="617">
        <v>1054000</v>
      </c>
      <c r="T96" s="738"/>
      <c r="U96" s="738"/>
      <c r="V96" s="738"/>
      <c r="W96" s="738"/>
      <c r="X96" s="738"/>
      <c r="Y96" s="738"/>
      <c r="Z96" s="738"/>
      <c r="AA96" s="738"/>
      <c r="AB96" s="738"/>
      <c r="AC96" s="738"/>
      <c r="AD96" s="738"/>
      <c r="AE96" s="738"/>
      <c r="AF96" s="738"/>
      <c r="AG96" s="738"/>
      <c r="AH96" s="618">
        <v>1054000</v>
      </c>
      <c r="AI96" s="637">
        <v>0</v>
      </c>
      <c r="AJ96" s="738"/>
      <c r="AK96" s="738"/>
      <c r="AL96" s="387">
        <f t="shared" si="27"/>
        <v>0</v>
      </c>
      <c r="AM96" s="605">
        <f t="shared" si="24"/>
        <v>0</v>
      </c>
      <c r="AN96" s="605">
        <f t="shared" si="25"/>
        <v>0</v>
      </c>
      <c r="AO96" s="606">
        <f t="shared" si="26"/>
        <v>0</v>
      </c>
    </row>
    <row r="97" spans="1:41" s="733" customFormat="1" ht="15.75">
      <c r="A97" s="1041" t="s">
        <v>1539</v>
      </c>
      <c r="B97" s="1042"/>
      <c r="C97" s="1042"/>
      <c r="D97" s="1043"/>
      <c r="E97" s="1044"/>
      <c r="F97" s="761"/>
      <c r="G97" s="609"/>
      <c r="H97" s="610">
        <f>H98+H103</f>
        <v>2117820</v>
      </c>
      <c r="I97" s="610">
        <f t="shared" ref="I97:AK97" si="34">I98+I103</f>
        <v>882720</v>
      </c>
      <c r="J97" s="610">
        <f t="shared" si="34"/>
        <v>1235100</v>
      </c>
      <c r="K97" s="610">
        <f t="shared" si="34"/>
        <v>703750</v>
      </c>
      <c r="L97" s="610">
        <f t="shared" si="34"/>
        <v>17300</v>
      </c>
      <c r="M97" s="610">
        <f t="shared" si="34"/>
        <v>31107</v>
      </c>
      <c r="N97" s="610">
        <f t="shared" si="34"/>
        <v>20300</v>
      </c>
      <c r="O97" s="610">
        <f t="shared" si="34"/>
        <v>98300</v>
      </c>
      <c r="P97" s="610">
        <f t="shared" si="34"/>
        <v>87980</v>
      </c>
      <c r="Q97" s="610">
        <f t="shared" si="34"/>
        <v>130320</v>
      </c>
      <c r="R97" s="610">
        <f t="shared" si="34"/>
        <v>318443</v>
      </c>
      <c r="S97" s="610">
        <f t="shared" si="34"/>
        <v>1305580</v>
      </c>
      <c r="T97" s="610">
        <f t="shared" si="34"/>
        <v>30500</v>
      </c>
      <c r="U97" s="610">
        <f t="shared" si="34"/>
        <v>17500</v>
      </c>
      <c r="V97" s="610">
        <f t="shared" si="34"/>
        <v>16600</v>
      </c>
      <c r="W97" s="610">
        <f t="shared" si="34"/>
        <v>103600</v>
      </c>
      <c r="X97" s="610">
        <f t="shared" si="34"/>
        <v>15500</v>
      </c>
      <c r="Y97" s="610">
        <f t="shared" si="34"/>
        <v>62400</v>
      </c>
      <c r="Z97" s="610">
        <f t="shared" si="34"/>
        <v>85050</v>
      </c>
      <c r="AA97" s="610">
        <f t="shared" si="34"/>
        <v>22608</v>
      </c>
      <c r="AB97" s="610">
        <f t="shared" si="34"/>
        <v>40600</v>
      </c>
      <c r="AC97" s="610">
        <f t="shared" si="34"/>
        <v>24860</v>
      </c>
      <c r="AD97" s="610">
        <f t="shared" si="34"/>
        <v>14600</v>
      </c>
      <c r="AE97" s="610">
        <f t="shared" si="34"/>
        <v>10480</v>
      </c>
      <c r="AF97" s="610">
        <f t="shared" si="34"/>
        <v>11600</v>
      </c>
      <c r="AG97" s="610">
        <f t="shared" si="34"/>
        <v>29600</v>
      </c>
      <c r="AH97" s="610">
        <f t="shared" si="34"/>
        <v>820082</v>
      </c>
      <c r="AI97" s="610">
        <f t="shared" si="34"/>
        <v>108490</v>
      </c>
      <c r="AJ97" s="610">
        <f t="shared" si="34"/>
        <v>26740</v>
      </c>
      <c r="AK97" s="610">
        <f t="shared" si="34"/>
        <v>81750</v>
      </c>
      <c r="AL97" s="387">
        <f t="shared" si="27"/>
        <v>0</v>
      </c>
      <c r="AM97" s="605">
        <f t="shared" si="24"/>
        <v>0</v>
      </c>
      <c r="AN97" s="605">
        <f t="shared" si="25"/>
        <v>0</v>
      </c>
      <c r="AO97" s="606">
        <f t="shared" si="26"/>
        <v>0</v>
      </c>
    </row>
    <row r="98" spans="1:41" s="695" customFormat="1" ht="14.25">
      <c r="A98" s="1023" t="s">
        <v>1540</v>
      </c>
      <c r="B98" s="1024"/>
      <c r="C98" s="1024"/>
      <c r="D98" s="1025"/>
      <c r="E98" s="1026"/>
      <c r="F98" s="717"/>
      <c r="G98" s="616"/>
      <c r="H98" s="619">
        <f>H99+H100+H101+H102</f>
        <v>1162320</v>
      </c>
      <c r="I98" s="620">
        <f t="shared" ref="I98:AK98" si="35">I99+I100+I101+I102</f>
        <v>605620</v>
      </c>
      <c r="J98" s="620">
        <f t="shared" si="35"/>
        <v>556700</v>
      </c>
      <c r="K98" s="619">
        <f t="shared" si="35"/>
        <v>318750</v>
      </c>
      <c r="L98" s="620">
        <f t="shared" si="35"/>
        <v>15300</v>
      </c>
      <c r="M98" s="620">
        <f t="shared" si="35"/>
        <v>16300</v>
      </c>
      <c r="N98" s="620">
        <f t="shared" si="35"/>
        <v>20300</v>
      </c>
      <c r="O98" s="620">
        <f t="shared" si="35"/>
        <v>28300</v>
      </c>
      <c r="P98" s="620">
        <f t="shared" si="35"/>
        <v>16300</v>
      </c>
      <c r="Q98" s="620">
        <f t="shared" si="35"/>
        <v>24300</v>
      </c>
      <c r="R98" s="620">
        <f t="shared" si="35"/>
        <v>197950</v>
      </c>
      <c r="S98" s="619">
        <f t="shared" si="35"/>
        <v>805080</v>
      </c>
      <c r="T98" s="620">
        <f t="shared" si="35"/>
        <v>29500</v>
      </c>
      <c r="U98" s="620">
        <f t="shared" si="35"/>
        <v>17500</v>
      </c>
      <c r="V98" s="620">
        <f t="shared" si="35"/>
        <v>14600</v>
      </c>
      <c r="W98" s="620">
        <f t="shared" si="35"/>
        <v>13600</v>
      </c>
      <c r="X98" s="620">
        <f t="shared" si="35"/>
        <v>15500</v>
      </c>
      <c r="Y98" s="620">
        <f t="shared" si="35"/>
        <v>13600</v>
      </c>
      <c r="Z98" s="620">
        <f t="shared" si="35"/>
        <v>17550</v>
      </c>
      <c r="AA98" s="620">
        <f t="shared" si="35"/>
        <v>14600</v>
      </c>
      <c r="AB98" s="620">
        <f t="shared" si="35"/>
        <v>29600</v>
      </c>
      <c r="AC98" s="620">
        <f t="shared" si="35"/>
        <v>14600</v>
      </c>
      <c r="AD98" s="620">
        <f t="shared" si="35"/>
        <v>14600</v>
      </c>
      <c r="AE98" s="620">
        <f t="shared" si="35"/>
        <v>7880</v>
      </c>
      <c r="AF98" s="620">
        <f t="shared" si="35"/>
        <v>11600</v>
      </c>
      <c r="AG98" s="620">
        <f t="shared" si="35"/>
        <v>29600</v>
      </c>
      <c r="AH98" s="620">
        <f t="shared" si="35"/>
        <v>560750</v>
      </c>
      <c r="AI98" s="619">
        <f t="shared" si="35"/>
        <v>38490</v>
      </c>
      <c r="AJ98" s="620">
        <f t="shared" si="35"/>
        <v>16740</v>
      </c>
      <c r="AK98" s="620">
        <f t="shared" si="35"/>
        <v>21750</v>
      </c>
      <c r="AL98" s="387">
        <f t="shared" si="27"/>
        <v>0</v>
      </c>
      <c r="AM98" s="605">
        <f t="shared" si="24"/>
        <v>0</v>
      </c>
      <c r="AN98" s="605">
        <f t="shared" si="25"/>
        <v>0</v>
      </c>
      <c r="AO98" s="606">
        <f t="shared" si="26"/>
        <v>0</v>
      </c>
    </row>
    <row r="99" spans="1:41" s="633" customFormat="1" ht="28.5">
      <c r="A99" s="735" t="s">
        <v>1297</v>
      </c>
      <c r="B99" s="735" t="s">
        <v>1541</v>
      </c>
      <c r="C99" s="660">
        <v>4</v>
      </c>
      <c r="D99" s="762" t="s">
        <v>1542</v>
      </c>
      <c r="E99" s="763" t="s">
        <v>1543</v>
      </c>
      <c r="F99" s="764">
        <v>2</v>
      </c>
      <c r="G99" s="758">
        <v>3</v>
      </c>
      <c r="H99" s="637">
        <f>SUM(I99:J99)</f>
        <v>64500</v>
      </c>
      <c r="I99" s="638">
        <v>47700</v>
      </c>
      <c r="J99" s="638">
        <v>16800</v>
      </c>
      <c r="K99" s="637">
        <f>SUM(L99:R99)</f>
        <v>14000</v>
      </c>
      <c r="L99" s="638">
        <v>2300</v>
      </c>
      <c r="M99" s="638">
        <v>2300</v>
      </c>
      <c r="N99" s="638">
        <v>2300</v>
      </c>
      <c r="O99" s="638">
        <v>2300</v>
      </c>
      <c r="P99" s="638">
        <v>2300</v>
      </c>
      <c r="Q99" s="638">
        <v>2300</v>
      </c>
      <c r="R99" s="638">
        <v>200</v>
      </c>
      <c r="S99" s="637">
        <f>SUM(T99:AH99)</f>
        <v>42500</v>
      </c>
      <c r="T99" s="638">
        <v>3000</v>
      </c>
      <c r="U99" s="638">
        <v>3000</v>
      </c>
      <c r="V99" s="638">
        <v>3000</v>
      </c>
      <c r="W99" s="638">
        <v>3000</v>
      </c>
      <c r="X99" s="638">
        <v>3000</v>
      </c>
      <c r="Y99" s="638">
        <v>3000</v>
      </c>
      <c r="Z99" s="638">
        <v>3000</v>
      </c>
      <c r="AA99" s="638">
        <v>3000</v>
      </c>
      <c r="AB99" s="638">
        <v>3000</v>
      </c>
      <c r="AC99" s="638">
        <v>3000</v>
      </c>
      <c r="AD99" s="638">
        <v>3000</v>
      </c>
      <c r="AE99" s="638">
        <v>3000</v>
      </c>
      <c r="AF99" s="638">
        <v>3000</v>
      </c>
      <c r="AG99" s="638">
        <v>3000</v>
      </c>
      <c r="AH99" s="638">
        <v>500</v>
      </c>
      <c r="AI99" s="637">
        <f>SUM(AJ99:AK99)</f>
        <v>8000</v>
      </c>
      <c r="AJ99" s="638">
        <v>4000</v>
      </c>
      <c r="AK99" s="638">
        <v>4000</v>
      </c>
      <c r="AL99" s="387">
        <f t="shared" si="27"/>
        <v>0</v>
      </c>
      <c r="AM99" s="605">
        <f t="shared" si="24"/>
        <v>0</v>
      </c>
      <c r="AN99" s="605">
        <f t="shared" si="25"/>
        <v>0</v>
      </c>
      <c r="AO99" s="606">
        <f t="shared" si="26"/>
        <v>0</v>
      </c>
    </row>
    <row r="100" spans="1:41" s="633" customFormat="1" ht="42.75">
      <c r="A100" s="735" t="s">
        <v>1541</v>
      </c>
      <c r="B100" s="735" t="s">
        <v>1541</v>
      </c>
      <c r="C100" s="660">
        <v>4</v>
      </c>
      <c r="D100" s="764" t="s">
        <v>1544</v>
      </c>
      <c r="E100" s="763" t="s">
        <v>1545</v>
      </c>
      <c r="F100" s="660">
        <v>2</v>
      </c>
      <c r="G100" s="629">
        <v>3</v>
      </c>
      <c r="H100" s="637"/>
      <c r="I100" s="638"/>
      <c r="J100" s="638"/>
      <c r="K100" s="637"/>
      <c r="L100" s="638"/>
      <c r="M100" s="638"/>
      <c r="N100" s="638"/>
      <c r="O100" s="638"/>
      <c r="P100" s="638"/>
      <c r="Q100" s="638"/>
      <c r="R100" s="638"/>
      <c r="S100" s="637"/>
      <c r="T100" s="638"/>
      <c r="U100" s="638"/>
      <c r="V100" s="638"/>
      <c r="W100" s="638"/>
      <c r="X100" s="638"/>
      <c r="Y100" s="638"/>
      <c r="Z100" s="638"/>
      <c r="AA100" s="638"/>
      <c r="AB100" s="638"/>
      <c r="AC100" s="638"/>
      <c r="AD100" s="638"/>
      <c r="AE100" s="638"/>
      <c r="AF100" s="638"/>
      <c r="AG100" s="638"/>
      <c r="AH100" s="638"/>
      <c r="AI100" s="637"/>
      <c r="AJ100" s="638"/>
      <c r="AK100" s="638"/>
      <c r="AL100" s="765">
        <f>H100-K100-S100-AI100</f>
        <v>0</v>
      </c>
      <c r="AM100" s="606">
        <f>AI100-AJ100-AK100</f>
        <v>0</v>
      </c>
      <c r="AN100" s="606">
        <f>S100-T100-U100-V100-W100-X100-Y100-Z100-AA100-AB100-AC100-AD100-AE100-AF100-AG100-AH100</f>
        <v>0</v>
      </c>
      <c r="AO100" s="606">
        <f>K100-L100-M100-N100-O100-P100-Q100-R100</f>
        <v>0</v>
      </c>
    </row>
    <row r="101" spans="1:41" s="633" customFormat="1" ht="57">
      <c r="A101" s="735" t="s">
        <v>1297</v>
      </c>
      <c r="B101" s="735" t="s">
        <v>1541</v>
      </c>
      <c r="C101" s="660">
        <v>5</v>
      </c>
      <c r="D101" s="766">
        <v>5.5</v>
      </c>
      <c r="E101" s="763" t="s">
        <v>1546</v>
      </c>
      <c r="F101" s="764">
        <v>1</v>
      </c>
      <c r="G101" s="758">
        <v>3</v>
      </c>
      <c r="H101" s="708">
        <v>577920</v>
      </c>
      <c r="I101" s="632">
        <v>377920</v>
      </c>
      <c r="J101" s="632">
        <v>200000</v>
      </c>
      <c r="K101" s="637">
        <v>177750</v>
      </c>
      <c r="L101" s="632">
        <v>13000</v>
      </c>
      <c r="M101" s="632">
        <v>14000</v>
      </c>
      <c r="N101" s="632">
        <v>18000</v>
      </c>
      <c r="O101" s="632">
        <v>26000</v>
      </c>
      <c r="P101" s="632">
        <v>14000</v>
      </c>
      <c r="Q101" s="632">
        <v>22000</v>
      </c>
      <c r="R101" s="632">
        <v>70750</v>
      </c>
      <c r="S101" s="708">
        <v>369680</v>
      </c>
      <c r="T101" s="632">
        <v>26500</v>
      </c>
      <c r="U101" s="632">
        <v>14500</v>
      </c>
      <c r="V101" s="632">
        <v>11600</v>
      </c>
      <c r="W101" s="632">
        <v>10600</v>
      </c>
      <c r="X101" s="632">
        <v>12500</v>
      </c>
      <c r="Y101" s="632">
        <v>10600</v>
      </c>
      <c r="Z101" s="632">
        <v>14550</v>
      </c>
      <c r="AA101" s="632">
        <v>11600</v>
      </c>
      <c r="AB101" s="632">
        <v>26600</v>
      </c>
      <c r="AC101" s="632">
        <v>11600</v>
      </c>
      <c r="AD101" s="632">
        <v>11600</v>
      </c>
      <c r="AE101" s="632">
        <v>4880</v>
      </c>
      <c r="AF101" s="632">
        <v>8600</v>
      </c>
      <c r="AG101" s="632">
        <v>26600</v>
      </c>
      <c r="AH101" s="632">
        <v>167350</v>
      </c>
      <c r="AI101" s="637">
        <v>30490</v>
      </c>
      <c r="AJ101" s="638">
        <v>12740</v>
      </c>
      <c r="AK101" s="638">
        <v>17750</v>
      </c>
      <c r="AL101" s="387">
        <f t="shared" si="27"/>
        <v>0</v>
      </c>
      <c r="AM101" s="605">
        <f>AI101-AJ101-AK101</f>
        <v>0</v>
      </c>
      <c r="AN101" s="605">
        <f>S101-T101-U101-V101-W101-X101-Y101-Z101-AA101-AB101-AC101-AD101-AE101-AF101-AG101-AH101</f>
        <v>0</v>
      </c>
      <c r="AO101" s="606">
        <f>K101-L101-M101-N101-O101-P101-Q101-R101</f>
        <v>0</v>
      </c>
    </row>
    <row r="102" spans="1:41" s="769" customFormat="1" ht="57">
      <c r="A102" s="767" t="s">
        <v>1297</v>
      </c>
      <c r="B102" s="767" t="s">
        <v>1547</v>
      </c>
      <c r="C102" s="625">
        <v>5</v>
      </c>
      <c r="D102" s="766">
        <v>5.5</v>
      </c>
      <c r="E102" s="763" t="s">
        <v>1548</v>
      </c>
      <c r="F102" s="768">
        <v>1</v>
      </c>
      <c r="G102" s="629">
        <v>3</v>
      </c>
      <c r="H102" s="708">
        <v>519900</v>
      </c>
      <c r="I102" s="638">
        <v>180000</v>
      </c>
      <c r="J102" s="632">
        <v>339900</v>
      </c>
      <c r="K102" s="708">
        <v>127000</v>
      </c>
      <c r="L102" s="638">
        <v>0</v>
      </c>
      <c r="M102" s="638">
        <v>0</v>
      </c>
      <c r="N102" s="638">
        <v>0</v>
      </c>
      <c r="O102" s="638">
        <v>0</v>
      </c>
      <c r="P102" s="638">
        <v>0</v>
      </c>
      <c r="Q102" s="638">
        <v>0</v>
      </c>
      <c r="R102" s="632">
        <v>127000</v>
      </c>
      <c r="S102" s="637">
        <v>392900</v>
      </c>
      <c r="T102" s="638">
        <v>0</v>
      </c>
      <c r="U102" s="638">
        <v>0</v>
      </c>
      <c r="V102" s="638">
        <v>0</v>
      </c>
      <c r="W102" s="638">
        <v>0</v>
      </c>
      <c r="X102" s="638">
        <v>0</v>
      </c>
      <c r="Y102" s="638">
        <v>0</v>
      </c>
      <c r="Z102" s="638">
        <v>0</v>
      </c>
      <c r="AA102" s="638">
        <v>0</v>
      </c>
      <c r="AB102" s="638">
        <v>0</v>
      </c>
      <c r="AC102" s="638">
        <v>0</v>
      </c>
      <c r="AD102" s="638">
        <v>0</v>
      </c>
      <c r="AE102" s="638">
        <v>0</v>
      </c>
      <c r="AF102" s="638">
        <v>0</v>
      </c>
      <c r="AG102" s="638">
        <v>0</v>
      </c>
      <c r="AH102" s="638">
        <v>392900</v>
      </c>
      <c r="AI102" s="637">
        <v>0</v>
      </c>
      <c r="AJ102" s="638">
        <v>0</v>
      </c>
      <c r="AK102" s="638">
        <v>0</v>
      </c>
      <c r="AL102" s="387">
        <f t="shared" si="27"/>
        <v>0</v>
      </c>
      <c r="AM102" s="605">
        <f>AI102-AJ102-AK102</f>
        <v>0</v>
      </c>
      <c r="AN102" s="605">
        <f>S102-T102-U102-V102-W102-X102-Y102-Z102-AA102-AB102-AC102-AD102-AE102-AF102-AG102-AH102</f>
        <v>0</v>
      </c>
      <c r="AO102" s="606">
        <f>K102-L102-M102-N102-O102-P102-Q102-R102</f>
        <v>0</v>
      </c>
    </row>
    <row r="103" spans="1:41" s="695" customFormat="1" ht="28.5">
      <c r="A103" s="770" t="s">
        <v>1297</v>
      </c>
      <c r="B103" s="770" t="s">
        <v>1549</v>
      </c>
      <c r="C103" s="639">
        <v>5</v>
      </c>
      <c r="D103" s="771">
        <v>5.5</v>
      </c>
      <c r="E103" s="772" t="s">
        <v>1550</v>
      </c>
      <c r="F103" s="640">
        <v>1</v>
      </c>
      <c r="G103" s="616">
        <v>3</v>
      </c>
      <c r="H103" s="708">
        <v>955500</v>
      </c>
      <c r="I103" s="620">
        <v>277100</v>
      </c>
      <c r="J103" s="632">
        <v>678400</v>
      </c>
      <c r="K103" s="619">
        <v>385000</v>
      </c>
      <c r="L103" s="620">
        <v>2000</v>
      </c>
      <c r="M103" s="620">
        <v>14807</v>
      </c>
      <c r="N103" s="620">
        <v>0</v>
      </c>
      <c r="O103" s="620">
        <v>70000</v>
      </c>
      <c r="P103" s="620">
        <v>71680</v>
      </c>
      <c r="Q103" s="620">
        <v>106020</v>
      </c>
      <c r="R103" s="620">
        <v>120493</v>
      </c>
      <c r="S103" s="708">
        <v>500500</v>
      </c>
      <c r="T103" s="620">
        <v>1000</v>
      </c>
      <c r="U103" s="620">
        <v>0</v>
      </c>
      <c r="V103" s="620">
        <v>2000</v>
      </c>
      <c r="W103" s="620">
        <v>90000</v>
      </c>
      <c r="X103" s="620">
        <v>0</v>
      </c>
      <c r="Y103" s="620">
        <v>48800</v>
      </c>
      <c r="Z103" s="620">
        <v>67500</v>
      </c>
      <c r="AA103" s="620">
        <v>8008</v>
      </c>
      <c r="AB103" s="620">
        <v>11000</v>
      </c>
      <c r="AC103" s="620">
        <v>10260</v>
      </c>
      <c r="AD103" s="620">
        <v>0</v>
      </c>
      <c r="AE103" s="620">
        <v>2600</v>
      </c>
      <c r="AF103" s="620">
        <v>0</v>
      </c>
      <c r="AG103" s="620">
        <v>0</v>
      </c>
      <c r="AH103" s="632">
        <v>259332</v>
      </c>
      <c r="AI103" s="619">
        <v>70000</v>
      </c>
      <c r="AJ103" s="620">
        <v>10000</v>
      </c>
      <c r="AK103" s="620">
        <v>60000</v>
      </c>
      <c r="AL103" s="387">
        <f t="shared" si="27"/>
        <v>0</v>
      </c>
      <c r="AM103" s="605">
        <f>AI103-AJ103-AK103</f>
        <v>0</v>
      </c>
      <c r="AN103" s="605">
        <f>S103-T103-U103-V103-W103-X103-Y103-Z103-AA103-AB103-AC103-AD103-AE103-AF103-AG103-AH103</f>
        <v>0</v>
      </c>
      <c r="AO103" s="606">
        <f>K103-L103-M103-N103-O103-P103-Q103-R103</f>
        <v>0</v>
      </c>
    </row>
    <row r="104" spans="1:41" ht="16.5">
      <c r="A104" s="773" t="s">
        <v>1551</v>
      </c>
      <c r="B104" s="774"/>
      <c r="C104" s="775"/>
      <c r="D104" s="776"/>
      <c r="E104" s="777"/>
      <c r="F104" s="776"/>
      <c r="G104" s="778"/>
      <c r="H104" s="779"/>
      <c r="I104" s="776"/>
      <c r="J104" s="776"/>
      <c r="K104" s="780"/>
      <c r="L104" s="776"/>
      <c r="M104" s="776"/>
      <c r="N104" s="776"/>
      <c r="O104" s="776"/>
      <c r="P104" s="776"/>
      <c r="Q104" s="776"/>
      <c r="R104" s="776"/>
      <c r="S104" s="780"/>
      <c r="T104" s="776"/>
      <c r="U104" s="776"/>
      <c r="V104" s="776"/>
      <c r="W104" s="776"/>
      <c r="X104" s="776"/>
      <c r="Y104" s="776"/>
      <c r="Z104" s="776"/>
      <c r="AA104" s="776"/>
      <c r="AB104" s="776"/>
      <c r="AC104" s="776"/>
      <c r="AD104" s="776"/>
      <c r="AE104" s="776"/>
      <c r="AF104" s="776"/>
      <c r="AG104" s="776"/>
      <c r="AH104" s="776"/>
      <c r="AI104" s="780"/>
      <c r="AJ104" s="776"/>
      <c r="AK104" s="776"/>
    </row>
    <row r="105" spans="1:41" ht="34.5" customHeight="1">
      <c r="B105" s="781"/>
      <c r="C105" s="782"/>
      <c r="D105" s="783"/>
      <c r="E105" s="784"/>
      <c r="F105" s="783"/>
      <c r="G105" s="785"/>
      <c r="H105" s="786"/>
      <c r="I105" s="783"/>
      <c r="J105" s="783"/>
      <c r="K105" s="787"/>
      <c r="L105" s="783"/>
      <c r="M105" s="783"/>
      <c r="N105" s="783"/>
      <c r="O105" s="783"/>
      <c r="P105" s="783"/>
      <c r="Q105" s="783"/>
      <c r="R105" s="783"/>
      <c r="S105" s="787"/>
      <c r="T105" s="783"/>
      <c r="U105" s="783"/>
      <c r="V105" s="783"/>
      <c r="W105" s="783"/>
      <c r="X105" s="783"/>
      <c r="Y105" s="783"/>
      <c r="Z105" s="783"/>
      <c r="AA105" s="783"/>
      <c r="AB105" s="783"/>
      <c r="AC105" s="783"/>
      <c r="AD105" s="783"/>
      <c r="AE105" s="783"/>
      <c r="AF105" s="783"/>
      <c r="AG105" s="783"/>
      <c r="AH105" s="783"/>
      <c r="AI105" s="787"/>
      <c r="AJ105" s="783"/>
      <c r="AK105" s="783"/>
    </row>
    <row r="106" spans="1:41" ht="16.5">
      <c r="A106" s="155" t="s">
        <v>1552</v>
      </c>
      <c r="B106" s="781"/>
      <c r="C106" s="782"/>
      <c r="D106" s="783"/>
      <c r="E106" s="784"/>
      <c r="F106" s="783"/>
      <c r="G106" s="785"/>
      <c r="H106" s="786"/>
      <c r="I106" s="783"/>
      <c r="J106" s="783"/>
      <c r="K106" s="787"/>
      <c r="L106" s="783"/>
      <c r="M106" s="783"/>
      <c r="N106" s="783"/>
      <c r="O106" s="783"/>
      <c r="P106" s="783"/>
      <c r="Q106" s="783"/>
      <c r="R106" s="783"/>
      <c r="S106" s="787"/>
      <c r="T106" s="783"/>
      <c r="U106" s="783"/>
      <c r="V106" s="783"/>
      <c r="W106" s="783"/>
      <c r="X106" s="783"/>
      <c r="Y106" s="783"/>
      <c r="Z106" s="783"/>
      <c r="AA106" s="783"/>
      <c r="AB106" s="783"/>
      <c r="AC106" s="783"/>
      <c r="AD106" s="783"/>
      <c r="AE106" s="783"/>
      <c r="AF106" s="783"/>
      <c r="AG106" s="783"/>
      <c r="AH106" s="783"/>
      <c r="AI106" s="787"/>
      <c r="AJ106" s="783"/>
      <c r="AK106" s="783"/>
    </row>
    <row r="107" spans="1:41" ht="14.25">
      <c r="A107" s="773" t="s">
        <v>1553</v>
      </c>
    </row>
    <row r="108" spans="1:41" ht="14.25">
      <c r="A108" s="773" t="s">
        <v>1554</v>
      </c>
    </row>
    <row r="109" spans="1:41" ht="14.25">
      <c r="A109" s="773" t="s">
        <v>1554</v>
      </c>
    </row>
    <row r="111" spans="1:41">
      <c r="G111" s="788">
        <v>1</v>
      </c>
      <c r="H111" s="789">
        <f>SUMIF($G$5:$G$103,G111,$H$5:$H$103)</f>
        <v>2692907</v>
      </c>
      <c r="K111" s="789">
        <f t="shared" ref="K111:K116" si="36">SUMIF($G$5:$G$103,$G111,$K$5:$K$103)</f>
        <v>1134820</v>
      </c>
      <c r="R111" s="789">
        <f>SUMIF($G$5:$G$103,$G111,$R$5:$R$103)</f>
        <v>522723</v>
      </c>
      <c r="S111" s="789">
        <f t="shared" ref="S111:S117" si="37">SUMIF($G$5:$G$103,$G111,$S$5:$S$103)</f>
        <v>1534676</v>
      </c>
      <c r="AH111" s="789">
        <f>SUMIF($G$5:$G$103,$G111,$AH$5:$AH$103)</f>
        <v>193035</v>
      </c>
      <c r="AI111" s="789">
        <f t="shared" ref="AI111:AI117" si="38">SUMIF($G$5:$G$103,$G111,$AI$5:$AI$103)</f>
        <v>23411</v>
      </c>
      <c r="AL111" s="789">
        <f>SUBTOTAL(9,S111:AI111)</f>
        <v>1751122</v>
      </c>
    </row>
    <row r="112" spans="1:41">
      <c r="G112" s="788">
        <v>2</v>
      </c>
      <c r="H112" s="789">
        <f t="shared" ref="H112:H118" si="39">SUMIF($G$5:$G$103,G112,$H$5:$H$103)</f>
        <v>0</v>
      </c>
      <c r="K112" s="789">
        <f t="shared" si="36"/>
        <v>0</v>
      </c>
      <c r="R112" s="789">
        <f t="shared" ref="R112:R117" si="40">SUMIF($G$5:$G$103,$G112,$R$5:$R$103)</f>
        <v>0</v>
      </c>
      <c r="S112" s="789">
        <f t="shared" si="37"/>
        <v>0</v>
      </c>
      <c r="AH112" s="789">
        <f t="shared" ref="AH112:AH117" si="41">SUMIF($G$5:$G$103,$G112,$AH$5:$AH$103)</f>
        <v>0</v>
      </c>
      <c r="AI112" s="789">
        <f t="shared" si="38"/>
        <v>0</v>
      </c>
      <c r="AL112" s="789">
        <f t="shared" ref="AL112:AL117" si="42">SUBTOTAL(9,S112:AI112)</f>
        <v>0</v>
      </c>
    </row>
    <row r="113" spans="1:38">
      <c r="G113" s="788">
        <v>3</v>
      </c>
      <c r="H113" s="789">
        <f t="shared" si="39"/>
        <v>11072974</v>
      </c>
      <c r="K113" s="789">
        <f t="shared" si="36"/>
        <v>5630011</v>
      </c>
      <c r="R113" s="789">
        <f t="shared" si="40"/>
        <v>623050</v>
      </c>
      <c r="S113" s="789">
        <f t="shared" si="37"/>
        <v>5122035</v>
      </c>
      <c r="AH113" s="789">
        <f t="shared" si="41"/>
        <v>1002096</v>
      </c>
      <c r="AI113" s="789">
        <f t="shared" si="38"/>
        <v>320928</v>
      </c>
      <c r="AL113" s="789">
        <f t="shared" si="42"/>
        <v>6445059</v>
      </c>
    </row>
    <row r="114" spans="1:38">
      <c r="G114" s="788">
        <v>4</v>
      </c>
      <c r="H114" s="789">
        <f t="shared" si="39"/>
        <v>29550759</v>
      </c>
      <c r="K114" s="789">
        <f t="shared" si="36"/>
        <v>16179443</v>
      </c>
      <c r="R114" s="789">
        <f t="shared" si="40"/>
        <v>6794680</v>
      </c>
      <c r="S114" s="789">
        <f t="shared" si="37"/>
        <v>12837036</v>
      </c>
      <c r="AH114" s="789">
        <f t="shared" si="41"/>
        <v>9194623</v>
      </c>
      <c r="AI114" s="789">
        <f t="shared" si="38"/>
        <v>534280</v>
      </c>
      <c r="AL114" s="789">
        <f t="shared" si="42"/>
        <v>22565939</v>
      </c>
    </row>
    <row r="115" spans="1:38">
      <c r="G115" s="788">
        <v>5</v>
      </c>
      <c r="H115" s="789">
        <f t="shared" si="39"/>
        <v>2632895</v>
      </c>
      <c r="K115" s="789">
        <f t="shared" si="36"/>
        <v>844907</v>
      </c>
      <c r="R115" s="789">
        <f t="shared" si="40"/>
        <v>332054</v>
      </c>
      <c r="S115" s="789">
        <f t="shared" si="37"/>
        <v>1737462</v>
      </c>
      <c r="AH115" s="789">
        <f t="shared" si="41"/>
        <v>620568</v>
      </c>
      <c r="AI115" s="789">
        <f t="shared" si="38"/>
        <v>50526</v>
      </c>
      <c r="AL115" s="789">
        <f t="shared" si="42"/>
        <v>2408556</v>
      </c>
    </row>
    <row r="116" spans="1:38">
      <c r="G116" s="788">
        <v>6</v>
      </c>
      <c r="H116" s="789">
        <f t="shared" si="39"/>
        <v>6004000</v>
      </c>
      <c r="K116" s="789">
        <f t="shared" si="36"/>
        <v>3438000</v>
      </c>
      <c r="R116" s="789">
        <f t="shared" si="40"/>
        <v>926000</v>
      </c>
      <c r="S116" s="789">
        <f t="shared" si="37"/>
        <v>2544000</v>
      </c>
      <c r="AH116" s="789">
        <f t="shared" si="41"/>
        <v>1144000</v>
      </c>
      <c r="AI116" s="789">
        <f t="shared" si="38"/>
        <v>22000</v>
      </c>
      <c r="AL116" s="789">
        <f t="shared" si="42"/>
        <v>3710000</v>
      </c>
    </row>
    <row r="117" spans="1:38">
      <c r="G117" s="788">
        <v>7</v>
      </c>
      <c r="H117" s="789">
        <f t="shared" si="39"/>
        <v>0</v>
      </c>
      <c r="K117" s="789">
        <f>SUMIF($G$5:$G$103,J117,$H$5:$H$103)</f>
        <v>0</v>
      </c>
      <c r="R117" s="789">
        <f t="shared" si="40"/>
        <v>0</v>
      </c>
      <c r="S117" s="789">
        <f t="shared" si="37"/>
        <v>0</v>
      </c>
      <c r="AH117" s="789">
        <f t="shared" si="41"/>
        <v>0</v>
      </c>
      <c r="AI117" s="789">
        <f t="shared" si="38"/>
        <v>0</v>
      </c>
      <c r="AL117" s="789">
        <f t="shared" si="42"/>
        <v>0</v>
      </c>
    </row>
    <row r="118" spans="1:38">
      <c r="G118" s="788"/>
      <c r="H118" s="789">
        <f t="shared" si="39"/>
        <v>0</v>
      </c>
    </row>
    <row r="120" spans="1:38" ht="14.25">
      <c r="A120" s="345" t="s">
        <v>69</v>
      </c>
      <c r="H120" s="789">
        <f>SUMIF($A$5:$A$103,A120,$H$5:$H$103)</f>
        <v>1698123</v>
      </c>
      <c r="K120" s="789">
        <f>SUMIF($A$5:$A$103,$A120,$K$5:$K$103)</f>
        <v>662705</v>
      </c>
      <c r="S120" s="789">
        <f>SUMIF($A$5:$A$103,$A120,$S$5:$S$103)</f>
        <v>1035418</v>
      </c>
      <c r="AI120" s="789">
        <f>SUMIF($A$5:$A$103,$A120,$AI$5:$AI$103)</f>
        <v>0</v>
      </c>
      <c r="AL120" s="790">
        <f>IF((AI120+S120+K120=H120),0,FALSE)</f>
        <v>0</v>
      </c>
    </row>
    <row r="121" spans="1:38" ht="14.25">
      <c r="A121" s="345" t="s">
        <v>116</v>
      </c>
      <c r="H121" s="789">
        <f t="shared" ref="H121:H131" si="43">SUMIF($A$5:$A$103,A121,$H$5:$H$103)</f>
        <v>15088542</v>
      </c>
      <c r="K121" s="789">
        <f t="shared" ref="K121:K131" si="44">SUMIF($A$5:$A$103,$A121,$K$5:$K$103)</f>
        <v>6747121</v>
      </c>
      <c r="S121" s="789">
        <f t="shared" ref="S121:S131" si="45">SUMIF($A$5:$A$103,$A121,$S$5:$S$103)</f>
        <v>7932967</v>
      </c>
      <c r="AI121" s="789">
        <f t="shared" ref="AI121:AI131" si="46">SUMIF($A$5:$A$103,$A121,$AI$5:$AI$103)</f>
        <v>408454</v>
      </c>
      <c r="AL121" s="790">
        <f t="shared" ref="AL121:AL132" si="47">IF((AI121+S121+K121=H121),0,FALSE)</f>
        <v>0</v>
      </c>
    </row>
    <row r="122" spans="1:38" ht="14.25">
      <c r="A122" s="345" t="s">
        <v>1291</v>
      </c>
      <c r="H122" s="789">
        <f t="shared" si="43"/>
        <v>79442</v>
      </c>
      <c r="K122" s="789">
        <f t="shared" si="44"/>
        <v>45094</v>
      </c>
      <c r="S122" s="789">
        <f t="shared" si="45"/>
        <v>33391</v>
      </c>
      <c r="AI122" s="789">
        <f t="shared" si="46"/>
        <v>957</v>
      </c>
      <c r="AL122" s="790">
        <f t="shared" si="47"/>
        <v>0</v>
      </c>
    </row>
    <row r="123" spans="1:38" ht="14.25">
      <c r="A123" s="345" t="s">
        <v>1292</v>
      </c>
      <c r="H123" s="789">
        <f t="shared" si="43"/>
        <v>7993954</v>
      </c>
      <c r="K123" s="789">
        <f t="shared" si="44"/>
        <v>4608161</v>
      </c>
      <c r="S123" s="789">
        <f t="shared" si="45"/>
        <v>3173355</v>
      </c>
      <c r="AI123" s="789">
        <f t="shared" si="46"/>
        <v>212438</v>
      </c>
      <c r="AL123" s="790">
        <f t="shared" si="47"/>
        <v>0</v>
      </c>
    </row>
    <row r="124" spans="1:38" ht="14.25">
      <c r="A124" s="345" t="s">
        <v>237</v>
      </c>
      <c r="H124" s="789">
        <f t="shared" si="43"/>
        <v>0</v>
      </c>
      <c r="K124" s="789">
        <f t="shared" si="44"/>
        <v>0</v>
      </c>
      <c r="S124" s="789">
        <f t="shared" si="45"/>
        <v>0</v>
      </c>
      <c r="AI124" s="789">
        <f t="shared" si="46"/>
        <v>0</v>
      </c>
      <c r="AL124" s="790">
        <f t="shared" si="47"/>
        <v>0</v>
      </c>
    </row>
    <row r="125" spans="1:38" ht="14.25">
      <c r="A125" s="345" t="s">
        <v>916</v>
      </c>
      <c r="H125" s="789">
        <f t="shared" si="43"/>
        <v>8694300</v>
      </c>
      <c r="K125" s="789">
        <f t="shared" si="44"/>
        <v>3895900</v>
      </c>
      <c r="S125" s="789">
        <f t="shared" si="45"/>
        <v>4750848</v>
      </c>
      <c r="AI125" s="789">
        <f t="shared" si="46"/>
        <v>47552</v>
      </c>
      <c r="AL125" s="790">
        <f t="shared" si="47"/>
        <v>0</v>
      </c>
    </row>
    <row r="126" spans="1:38" ht="14.25">
      <c r="A126" s="345" t="s">
        <v>923</v>
      </c>
      <c r="H126" s="789">
        <f t="shared" si="43"/>
        <v>10932459</v>
      </c>
      <c r="K126" s="789">
        <f t="shared" si="44"/>
        <v>8447543</v>
      </c>
      <c r="S126" s="789">
        <f t="shared" si="45"/>
        <v>2412188</v>
      </c>
      <c r="AI126" s="789">
        <f t="shared" si="46"/>
        <v>72728</v>
      </c>
      <c r="AL126" s="790">
        <f t="shared" si="47"/>
        <v>0</v>
      </c>
    </row>
    <row r="127" spans="1:38" ht="14.25">
      <c r="A127" s="345" t="s">
        <v>1295</v>
      </c>
      <c r="H127" s="789">
        <f t="shared" si="43"/>
        <v>0</v>
      </c>
      <c r="K127" s="789">
        <f t="shared" si="44"/>
        <v>0</v>
      </c>
      <c r="S127" s="789">
        <f t="shared" si="45"/>
        <v>0</v>
      </c>
      <c r="AI127" s="789">
        <f t="shared" si="46"/>
        <v>0</v>
      </c>
      <c r="AL127" s="790">
        <f t="shared" si="47"/>
        <v>0</v>
      </c>
    </row>
    <row r="128" spans="1:38" ht="14.25">
      <c r="A128" s="345" t="s">
        <v>1288</v>
      </c>
      <c r="H128" s="789">
        <f t="shared" si="43"/>
        <v>696000</v>
      </c>
      <c r="K128" s="789">
        <f t="shared" si="44"/>
        <v>346000</v>
      </c>
      <c r="S128" s="789">
        <f t="shared" si="45"/>
        <v>300000</v>
      </c>
      <c r="AI128" s="789">
        <f t="shared" si="46"/>
        <v>50000</v>
      </c>
      <c r="AL128" s="790">
        <f t="shared" si="47"/>
        <v>0</v>
      </c>
    </row>
    <row r="129" spans="1:38" ht="14.25">
      <c r="A129" s="345" t="s">
        <v>1296</v>
      </c>
      <c r="H129" s="789">
        <f t="shared" si="43"/>
        <v>2632895</v>
      </c>
      <c r="K129" s="789">
        <f t="shared" si="44"/>
        <v>844907</v>
      </c>
      <c r="S129" s="789">
        <f t="shared" si="45"/>
        <v>1737462</v>
      </c>
      <c r="AI129" s="789">
        <f t="shared" si="46"/>
        <v>50526</v>
      </c>
      <c r="AL129" s="790">
        <f t="shared" si="47"/>
        <v>0</v>
      </c>
    </row>
    <row r="130" spans="1:38" ht="14.25">
      <c r="A130" s="345" t="s">
        <v>1293</v>
      </c>
      <c r="H130" s="789">
        <f t="shared" si="43"/>
        <v>2020000</v>
      </c>
      <c r="K130" s="789">
        <f t="shared" si="44"/>
        <v>926000</v>
      </c>
      <c r="S130" s="789">
        <f t="shared" si="45"/>
        <v>1094000</v>
      </c>
      <c r="AI130" s="789">
        <f t="shared" si="46"/>
        <v>0</v>
      </c>
      <c r="AL130" s="790">
        <f t="shared" si="47"/>
        <v>0</v>
      </c>
    </row>
    <row r="131" spans="1:38" ht="14.25">
      <c r="A131" s="345" t="s">
        <v>1297</v>
      </c>
      <c r="H131" s="789">
        <f t="shared" si="43"/>
        <v>2117820</v>
      </c>
      <c r="K131" s="789">
        <f t="shared" si="44"/>
        <v>703750</v>
      </c>
      <c r="S131" s="789">
        <f t="shared" si="45"/>
        <v>1305580</v>
      </c>
      <c r="AI131" s="789">
        <f t="shared" si="46"/>
        <v>108490</v>
      </c>
      <c r="AL131" s="790">
        <f t="shared" si="47"/>
        <v>0</v>
      </c>
    </row>
    <row r="132" spans="1:38" ht="14.25">
      <c r="H132" s="791">
        <f>SUBTOTAL(9,H120:H131)-H5</f>
        <v>0</v>
      </c>
      <c r="K132" s="791">
        <f>SUBTOTAL(9,K120:K131)-K5</f>
        <v>0</v>
      </c>
      <c r="S132" s="791">
        <f>SUBTOTAL(9,S120:S131)-S5</f>
        <v>0</v>
      </c>
      <c r="AI132" s="791">
        <f>SUBTOTAL(9,AI120:AI131)-AI5</f>
        <v>0</v>
      </c>
      <c r="AL132" s="790">
        <f t="shared" si="47"/>
        <v>0</v>
      </c>
    </row>
  </sheetData>
  <autoFilter ref="A4:AM104" xr:uid="{00000000-0009-0000-0000-00000E000000}">
    <filterColumn colId="7">
      <customFilters and="1">
        <customFilter operator="notEqual" val=" "/>
      </customFilters>
    </filterColumn>
  </autoFilter>
  <mergeCells count="34">
    <mergeCell ref="A90:E90"/>
    <mergeCell ref="A94:E94"/>
    <mergeCell ref="A97:E97"/>
    <mergeCell ref="A98:E98"/>
    <mergeCell ref="A62:E62"/>
    <mergeCell ref="A63:E63"/>
    <mergeCell ref="A77:E77"/>
    <mergeCell ref="A81:E81"/>
    <mergeCell ref="A83:E83"/>
    <mergeCell ref="A84:E84"/>
    <mergeCell ref="A55:E55"/>
    <mergeCell ref="A8:E8"/>
    <mergeCell ref="A14:E14"/>
    <mergeCell ref="A15:E15"/>
    <mergeCell ref="A18:E18"/>
    <mergeCell ref="A27:E27"/>
    <mergeCell ref="A29:E29"/>
    <mergeCell ref="A30:E30"/>
    <mergeCell ref="A38:E38"/>
    <mergeCell ref="A45:E45"/>
    <mergeCell ref="A50:E50"/>
    <mergeCell ref="A52:E52"/>
    <mergeCell ref="A6:E6"/>
    <mergeCell ref="A3:A4"/>
    <mergeCell ref="B3:B4"/>
    <mergeCell ref="C3:C4"/>
    <mergeCell ref="D3:D4"/>
    <mergeCell ref="E3:E4"/>
    <mergeCell ref="A5:E5"/>
    <mergeCell ref="F3:F4"/>
    <mergeCell ref="G3:G4"/>
    <mergeCell ref="K3:R3"/>
    <mergeCell ref="S3:U3"/>
    <mergeCell ref="AI3:AK3"/>
  </mergeCells>
  <phoneticPr fontId="3" type="noConversion"/>
  <printOptions horizontalCentered="1"/>
  <pageMargins left="0.26" right="0.24" top="0.43307086614173229" bottom="0.6692913385826772" header="0.19685039370078741" footer="0.23622047244094491"/>
  <pageSetup paperSize="9" scale="83" fitToHeight="24" orientation="landscape" r:id="rId1"/>
  <headerFooter alignWithMargins="0">
    <oddFooter>&amp;C&amp;8&amp;N--&amp;P&amp;R&amp;"Times New Roman,標準"&amp;8&amp;F</oddFooter>
  </headerFooter>
  <rowBreaks count="5" manualBreakCount="5">
    <brk id="22" max="36" man="1"/>
    <brk id="41" max="36" man="1"/>
    <brk id="57" max="36" man="1"/>
    <brk id="76" max="36" man="1"/>
    <brk id="92" max="36" man="1"/>
  </rowBreaks>
  <colBreaks count="1" manualBreakCount="1">
    <brk id="21" max="10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AJ18"/>
  <sheetViews>
    <sheetView view="pageBreakPreview" zoomScaleNormal="75" zoomScaleSheetLayoutView="100" workbookViewId="0">
      <pane xSplit="3" ySplit="5" topLeftCell="M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cols>
    <col min="1" max="1" width="12.625" style="345" customWidth="1"/>
    <col min="2" max="2" width="11.5" style="345" customWidth="1"/>
    <col min="3" max="3" width="23" style="345" customWidth="1"/>
    <col min="4" max="4" width="7.875" style="345" customWidth="1"/>
    <col min="5" max="5" width="10.5" style="345" customWidth="1"/>
    <col min="6" max="6" width="11.5" style="345" customWidth="1"/>
    <col min="7" max="8" width="10.625" style="345" customWidth="1"/>
    <col min="9" max="15" width="8.25" style="345" customWidth="1"/>
    <col min="16" max="16" width="9.875" style="345" customWidth="1"/>
    <col min="17" max="20" width="8.25" style="345" customWidth="1"/>
    <col min="21" max="21" width="8.875" style="345" customWidth="1"/>
    <col min="22" max="22" width="10.375" style="383" customWidth="1"/>
    <col min="23" max="23" width="8.25" style="349" customWidth="1"/>
    <col min="24" max="31" width="8.25" style="345" customWidth="1"/>
    <col min="32" max="32" width="8.125" style="345" customWidth="1"/>
    <col min="33" max="34" width="8.25" style="345" customWidth="1"/>
    <col min="35" max="35" width="9.875" style="345" customWidth="1"/>
    <col min="36" max="16384" width="14.75" style="345"/>
  </cols>
  <sheetData>
    <row r="1" spans="1:36" s="342" customFormat="1" ht="42.6" customHeight="1">
      <c r="B1" s="343"/>
      <c r="C1" s="343"/>
      <c r="D1" s="1051" t="s">
        <v>1285</v>
      </c>
      <c r="E1" s="1051"/>
      <c r="F1" s="1051"/>
      <c r="G1" s="1051"/>
      <c r="H1" s="1051"/>
      <c r="I1" s="1051"/>
      <c r="J1" s="1051"/>
      <c r="K1" s="1051"/>
      <c r="L1" s="1051"/>
      <c r="M1" s="1051"/>
      <c r="N1" s="1051"/>
      <c r="O1" s="1051"/>
      <c r="P1" s="1051"/>
      <c r="Q1" s="1051"/>
      <c r="R1" s="1051"/>
      <c r="S1" s="1050" t="s">
        <v>1284</v>
      </c>
      <c r="T1" s="1050"/>
      <c r="U1" s="1050"/>
      <c r="V1" s="1050"/>
      <c r="W1" s="1050"/>
      <c r="X1" s="1050"/>
      <c r="Y1" s="1050"/>
      <c r="Z1" s="1050"/>
      <c r="AA1" s="1050"/>
      <c r="AB1" s="1050"/>
      <c r="AC1" s="1050"/>
      <c r="AD1" s="1050"/>
      <c r="AE1" s="1050"/>
      <c r="AF1" s="1050"/>
      <c r="AG1" s="1050"/>
      <c r="AH1" s="1050"/>
    </row>
    <row r="2" spans="1:36" ht="28.9" customHeight="1">
      <c r="A2" s="344"/>
      <c r="R2" s="346" t="s">
        <v>157</v>
      </c>
      <c r="U2" s="347"/>
      <c r="V2" s="348"/>
      <c r="AH2" s="346" t="s">
        <v>157</v>
      </c>
    </row>
    <row r="3" spans="1:36" s="354" customFormat="1" ht="35.1" customHeight="1">
      <c r="A3" s="994" t="s">
        <v>158</v>
      </c>
      <c r="B3" s="994" t="s">
        <v>159</v>
      </c>
      <c r="C3" s="994" t="s">
        <v>160</v>
      </c>
      <c r="D3" s="996" t="s">
        <v>161</v>
      </c>
      <c r="E3" s="351" t="s">
        <v>162</v>
      </c>
      <c r="F3" s="352"/>
      <c r="G3" s="353"/>
      <c r="H3" s="991" t="s">
        <v>163</v>
      </c>
      <c r="I3" s="992"/>
      <c r="J3" s="992"/>
      <c r="K3" s="992"/>
      <c r="L3" s="992"/>
      <c r="M3" s="992"/>
      <c r="N3" s="992"/>
      <c r="O3" s="993"/>
      <c r="P3" s="991" t="s">
        <v>851</v>
      </c>
      <c r="Q3" s="992"/>
      <c r="R3" s="993"/>
      <c r="S3" s="988" t="s">
        <v>852</v>
      </c>
      <c r="T3" s="989"/>
      <c r="U3" s="989"/>
      <c r="V3" s="989"/>
      <c r="W3" s="989"/>
      <c r="X3" s="989"/>
      <c r="Y3" s="989"/>
      <c r="Z3" s="989"/>
      <c r="AA3" s="989"/>
      <c r="AB3" s="989"/>
      <c r="AC3" s="989"/>
      <c r="AD3" s="989"/>
      <c r="AE3" s="990"/>
      <c r="AF3" s="991" t="s">
        <v>165</v>
      </c>
      <c r="AG3" s="992"/>
      <c r="AH3" s="993"/>
      <c r="AI3" s="354" t="s">
        <v>378</v>
      </c>
    </row>
    <row r="4" spans="1:36" s="354" customFormat="1" ht="35.1" customHeight="1">
      <c r="A4" s="995"/>
      <c r="B4" s="995"/>
      <c r="C4" s="995"/>
      <c r="D4" s="997"/>
      <c r="E4" s="355"/>
      <c r="F4" s="356" t="s">
        <v>166</v>
      </c>
      <c r="G4" s="356" t="s">
        <v>167</v>
      </c>
      <c r="H4" s="357"/>
      <c r="I4" s="481" t="s">
        <v>169</v>
      </c>
      <c r="J4" s="481" t="s">
        <v>463</v>
      </c>
      <c r="K4" s="482" t="s">
        <v>491</v>
      </c>
      <c r="L4" s="350" t="s">
        <v>170</v>
      </c>
      <c r="M4" s="350" t="s">
        <v>464</v>
      </c>
      <c r="N4" s="350" t="s">
        <v>172</v>
      </c>
      <c r="O4" s="356" t="s">
        <v>173</v>
      </c>
      <c r="P4" s="355"/>
      <c r="Q4" s="358" t="s">
        <v>174</v>
      </c>
      <c r="R4" s="350" t="s">
        <v>56</v>
      </c>
      <c r="S4" s="359" t="s">
        <v>57</v>
      </c>
      <c r="T4" s="359" t="s">
        <v>58</v>
      </c>
      <c r="U4" s="359" t="s">
        <v>59</v>
      </c>
      <c r="V4" s="359" t="s">
        <v>60</v>
      </c>
      <c r="W4" s="359" t="s">
        <v>61</v>
      </c>
      <c r="X4" s="359" t="s">
        <v>62</v>
      </c>
      <c r="Y4" s="359" t="s">
        <v>465</v>
      </c>
      <c r="Z4" s="359" t="s">
        <v>64</v>
      </c>
      <c r="AA4" s="359" t="s">
        <v>65</v>
      </c>
      <c r="AB4" s="359" t="s">
        <v>66</v>
      </c>
      <c r="AC4" s="359" t="s">
        <v>67</v>
      </c>
      <c r="AD4" s="359" t="s">
        <v>68</v>
      </c>
      <c r="AE4" s="357" t="s">
        <v>173</v>
      </c>
      <c r="AF4" s="360"/>
      <c r="AG4" s="350" t="s">
        <v>175</v>
      </c>
      <c r="AH4" s="350" t="s">
        <v>176</v>
      </c>
    </row>
    <row r="5" spans="1:36" s="404" customFormat="1" ht="26.1" customHeight="1">
      <c r="A5" s="419" t="s">
        <v>863</v>
      </c>
      <c r="B5" s="420"/>
      <c r="C5" s="421"/>
      <c r="D5" s="422"/>
      <c r="E5" s="402">
        <f t="shared" ref="E5:AH5" si="0">E6+E7+E8</f>
        <v>3962300</v>
      </c>
      <c r="F5" s="402">
        <f t="shared" si="0"/>
        <v>48000</v>
      </c>
      <c r="G5" s="402">
        <f t="shared" si="0"/>
        <v>3914300</v>
      </c>
      <c r="H5" s="402">
        <f t="shared" si="0"/>
        <v>1824250</v>
      </c>
      <c r="I5" s="402">
        <f t="shared" si="0"/>
        <v>30000</v>
      </c>
      <c r="J5" s="402">
        <f t="shared" si="0"/>
        <v>23100</v>
      </c>
      <c r="K5" s="402">
        <f t="shared" si="0"/>
        <v>260620</v>
      </c>
      <c r="L5" s="402">
        <f t="shared" si="0"/>
        <v>356200</v>
      </c>
      <c r="M5" s="402">
        <f t="shared" si="0"/>
        <v>603950</v>
      </c>
      <c r="N5" s="402">
        <f t="shared" si="0"/>
        <v>542070</v>
      </c>
      <c r="O5" s="402">
        <f t="shared" si="0"/>
        <v>8310</v>
      </c>
      <c r="P5" s="402">
        <f t="shared" si="0"/>
        <v>2115730</v>
      </c>
      <c r="Q5" s="402">
        <f t="shared" si="0"/>
        <v>320850</v>
      </c>
      <c r="R5" s="402">
        <f t="shared" si="0"/>
        <v>33000</v>
      </c>
      <c r="S5" s="402">
        <f t="shared" si="0"/>
        <v>80450</v>
      </c>
      <c r="T5" s="402">
        <f t="shared" si="0"/>
        <v>336260</v>
      </c>
      <c r="U5" s="402">
        <f t="shared" si="0"/>
        <v>120100</v>
      </c>
      <c r="V5" s="402">
        <f t="shared" si="0"/>
        <v>333600</v>
      </c>
      <c r="W5" s="402">
        <f t="shared" si="0"/>
        <v>324200</v>
      </c>
      <c r="X5" s="402">
        <f t="shared" si="0"/>
        <v>258500</v>
      </c>
      <c r="Y5" s="402">
        <f t="shared" si="0"/>
        <v>124500</v>
      </c>
      <c r="Z5" s="402">
        <f t="shared" si="0"/>
        <v>36100</v>
      </c>
      <c r="AA5" s="402">
        <f t="shared" si="0"/>
        <v>5200</v>
      </c>
      <c r="AB5" s="402">
        <f t="shared" si="0"/>
        <v>55900</v>
      </c>
      <c r="AC5" s="402">
        <f t="shared" si="0"/>
        <v>20450</v>
      </c>
      <c r="AD5" s="402">
        <f t="shared" si="0"/>
        <v>19230</v>
      </c>
      <c r="AE5" s="402">
        <f t="shared" si="0"/>
        <v>47390</v>
      </c>
      <c r="AF5" s="402">
        <f t="shared" si="0"/>
        <v>22320</v>
      </c>
      <c r="AG5" s="402">
        <f t="shared" si="0"/>
        <v>13420</v>
      </c>
      <c r="AH5" s="402">
        <f t="shared" si="0"/>
        <v>8900</v>
      </c>
      <c r="AI5" s="362">
        <f>IF(AND(+F5+G5=E5,AF5+P5+H5=E5),0,FALSE)</f>
        <v>0</v>
      </c>
    </row>
    <row r="6" spans="1:36" s="410" customFormat="1" ht="21.6" customHeight="1">
      <c r="A6" s="405" t="s">
        <v>1246</v>
      </c>
      <c r="B6" s="406" t="s">
        <v>1279</v>
      </c>
      <c r="C6" s="407" t="s">
        <v>1280</v>
      </c>
      <c r="D6" s="408">
        <v>6</v>
      </c>
      <c r="E6" s="409">
        <v>1293000</v>
      </c>
      <c r="F6" s="409">
        <v>0</v>
      </c>
      <c r="G6" s="409">
        <v>1293000</v>
      </c>
      <c r="H6" s="409">
        <v>724640</v>
      </c>
      <c r="I6" s="409">
        <v>10000</v>
      </c>
      <c r="J6" s="409">
        <v>23100</v>
      </c>
      <c r="K6" s="409">
        <v>133620</v>
      </c>
      <c r="L6" s="409">
        <v>69200</v>
      </c>
      <c r="M6" s="409">
        <v>281950</v>
      </c>
      <c r="N6" s="409">
        <v>206770</v>
      </c>
      <c r="O6" s="409">
        <v>0</v>
      </c>
      <c r="P6" s="409">
        <v>556040</v>
      </c>
      <c r="Q6" s="409">
        <v>147350</v>
      </c>
      <c r="R6" s="409">
        <v>15000</v>
      </c>
      <c r="S6" s="409">
        <v>19450</v>
      </c>
      <c r="T6" s="409">
        <v>30260</v>
      </c>
      <c r="U6" s="409">
        <v>90100</v>
      </c>
      <c r="V6" s="409">
        <v>22300</v>
      </c>
      <c r="W6" s="409">
        <v>77200</v>
      </c>
      <c r="X6" s="409">
        <v>54000</v>
      </c>
      <c r="Y6" s="409">
        <v>2500</v>
      </c>
      <c r="Z6" s="409">
        <v>24100</v>
      </c>
      <c r="AA6" s="409">
        <v>1200</v>
      </c>
      <c r="AB6" s="409">
        <v>45900</v>
      </c>
      <c r="AC6" s="409">
        <v>12450</v>
      </c>
      <c r="AD6" s="409">
        <v>14230</v>
      </c>
      <c r="AE6" s="409">
        <v>0</v>
      </c>
      <c r="AF6" s="409">
        <v>12320</v>
      </c>
      <c r="AG6" s="409">
        <v>3420</v>
      </c>
      <c r="AH6" s="409">
        <v>8900</v>
      </c>
      <c r="AI6" s="387">
        <f t="shared" ref="AI6:AI15" si="1">IF(AND(+F6+G6=E6,AF6+P6+H6=E6),0,FALSE)</f>
        <v>0</v>
      </c>
      <c r="AJ6" s="496"/>
    </row>
    <row r="7" spans="1:36" s="410" customFormat="1" ht="21.6" customHeight="1">
      <c r="A7" s="405" t="s">
        <v>2</v>
      </c>
      <c r="B7" s="406" t="s">
        <v>202</v>
      </c>
      <c r="C7" s="407" t="s">
        <v>1281</v>
      </c>
      <c r="D7" s="408">
        <v>4</v>
      </c>
      <c r="E7" s="409">
        <v>2440000</v>
      </c>
      <c r="F7" s="409">
        <v>24000</v>
      </c>
      <c r="G7" s="409">
        <v>2416000</v>
      </c>
      <c r="H7" s="409">
        <v>1032000</v>
      </c>
      <c r="I7" s="409">
        <v>20000</v>
      </c>
      <c r="J7" s="409">
        <v>0</v>
      </c>
      <c r="K7" s="409">
        <v>121000</v>
      </c>
      <c r="L7" s="409">
        <v>287000</v>
      </c>
      <c r="M7" s="409">
        <v>319000</v>
      </c>
      <c r="N7" s="409">
        <v>285000</v>
      </c>
      <c r="O7" s="409">
        <v>0</v>
      </c>
      <c r="P7" s="409">
        <v>1398000</v>
      </c>
      <c r="Q7" s="409">
        <v>160000</v>
      </c>
      <c r="R7" s="409">
        <v>18000</v>
      </c>
      <c r="S7" s="409">
        <v>61000</v>
      </c>
      <c r="T7" s="409">
        <v>277000</v>
      </c>
      <c r="U7" s="409">
        <v>30000</v>
      </c>
      <c r="V7" s="409">
        <v>277000</v>
      </c>
      <c r="W7" s="409">
        <v>235000</v>
      </c>
      <c r="X7" s="409">
        <v>179000</v>
      </c>
      <c r="Y7" s="409">
        <v>122000</v>
      </c>
      <c r="Z7" s="409">
        <v>12000</v>
      </c>
      <c r="AA7" s="409">
        <v>4000</v>
      </c>
      <c r="AB7" s="409">
        <v>10000</v>
      </c>
      <c r="AC7" s="409">
        <v>8000</v>
      </c>
      <c r="AD7" s="409">
        <v>5000</v>
      </c>
      <c r="AE7" s="409">
        <v>0</v>
      </c>
      <c r="AF7" s="409">
        <v>10000</v>
      </c>
      <c r="AG7" s="409">
        <v>10000</v>
      </c>
      <c r="AH7" s="409">
        <v>0</v>
      </c>
      <c r="AI7" s="387">
        <f t="shared" si="1"/>
        <v>0</v>
      </c>
      <c r="AJ7" s="496"/>
    </row>
    <row r="8" spans="1:36" s="515" customFormat="1" ht="24" customHeight="1">
      <c r="A8" s="510" t="s">
        <v>941</v>
      </c>
      <c r="B8" s="511"/>
      <c r="C8" s="512"/>
      <c r="D8" s="513"/>
      <c r="E8" s="514">
        <f t="shared" ref="E8:AH8" si="2">SUM(E9:E10)</f>
        <v>229300</v>
      </c>
      <c r="F8" s="514">
        <f t="shared" si="2"/>
        <v>24000</v>
      </c>
      <c r="G8" s="514">
        <f t="shared" si="2"/>
        <v>205300</v>
      </c>
      <c r="H8" s="514">
        <f t="shared" si="2"/>
        <v>67610</v>
      </c>
      <c r="I8" s="514">
        <f t="shared" si="2"/>
        <v>0</v>
      </c>
      <c r="J8" s="514">
        <f t="shared" si="2"/>
        <v>0</v>
      </c>
      <c r="K8" s="514">
        <f t="shared" si="2"/>
        <v>6000</v>
      </c>
      <c r="L8" s="514">
        <f t="shared" si="2"/>
        <v>0</v>
      </c>
      <c r="M8" s="514">
        <f t="shared" si="2"/>
        <v>3000</v>
      </c>
      <c r="N8" s="514">
        <f t="shared" si="2"/>
        <v>50300</v>
      </c>
      <c r="O8" s="514">
        <f t="shared" si="2"/>
        <v>8310</v>
      </c>
      <c r="P8" s="514">
        <f t="shared" si="2"/>
        <v>161690</v>
      </c>
      <c r="Q8" s="514">
        <f t="shared" si="2"/>
        <v>13500</v>
      </c>
      <c r="R8" s="514">
        <f t="shared" si="2"/>
        <v>0</v>
      </c>
      <c r="S8" s="514">
        <f t="shared" si="2"/>
        <v>0</v>
      </c>
      <c r="T8" s="514">
        <f t="shared" si="2"/>
        <v>29000</v>
      </c>
      <c r="U8" s="514">
        <f t="shared" si="2"/>
        <v>0</v>
      </c>
      <c r="V8" s="514">
        <f t="shared" si="2"/>
        <v>34300</v>
      </c>
      <c r="W8" s="514">
        <f t="shared" si="2"/>
        <v>12000</v>
      </c>
      <c r="X8" s="514">
        <f t="shared" si="2"/>
        <v>25500</v>
      </c>
      <c r="Y8" s="514">
        <f t="shared" si="2"/>
        <v>0</v>
      </c>
      <c r="Z8" s="514">
        <f t="shared" si="2"/>
        <v>0</v>
      </c>
      <c r="AA8" s="514">
        <f t="shared" si="2"/>
        <v>0</v>
      </c>
      <c r="AB8" s="514">
        <f t="shared" si="2"/>
        <v>0</v>
      </c>
      <c r="AC8" s="514">
        <f t="shared" si="2"/>
        <v>0</v>
      </c>
      <c r="AD8" s="514">
        <f t="shared" si="2"/>
        <v>0</v>
      </c>
      <c r="AE8" s="514">
        <f t="shared" si="2"/>
        <v>47390</v>
      </c>
      <c r="AF8" s="514">
        <f t="shared" si="2"/>
        <v>0</v>
      </c>
      <c r="AG8" s="514">
        <f t="shared" si="2"/>
        <v>0</v>
      </c>
      <c r="AH8" s="514">
        <f t="shared" si="2"/>
        <v>0</v>
      </c>
      <c r="AI8" s="362">
        <f t="shared" si="1"/>
        <v>0</v>
      </c>
    </row>
    <row r="9" spans="1:36" s="393" customFormat="1" ht="14.25">
      <c r="A9" s="397" t="s">
        <v>1282</v>
      </c>
      <c r="B9" s="397" t="s">
        <v>1247</v>
      </c>
      <c r="C9" s="397" t="s">
        <v>1283</v>
      </c>
      <c r="D9" s="396">
        <v>4</v>
      </c>
      <c r="E9" s="385">
        <v>137700</v>
      </c>
      <c r="F9" s="368"/>
      <c r="G9" s="368">
        <v>137700</v>
      </c>
      <c r="H9" s="385">
        <v>41310</v>
      </c>
      <c r="I9" s="371">
        <v>0</v>
      </c>
      <c r="J9" s="371">
        <v>0</v>
      </c>
      <c r="K9" s="371"/>
      <c r="L9" s="371"/>
      <c r="M9" s="371">
        <v>3000</v>
      </c>
      <c r="N9" s="371">
        <v>30000</v>
      </c>
      <c r="O9" s="370">
        <v>8310</v>
      </c>
      <c r="P9" s="386">
        <v>96390</v>
      </c>
      <c r="Q9" s="371">
        <v>7000</v>
      </c>
      <c r="R9" s="371">
        <v>0</v>
      </c>
      <c r="S9" s="371">
        <v>0</v>
      </c>
      <c r="T9" s="371">
        <v>2000</v>
      </c>
      <c r="U9" s="371"/>
      <c r="V9" s="371">
        <v>30000</v>
      </c>
      <c r="W9" s="371">
        <v>2000</v>
      </c>
      <c r="X9" s="371">
        <v>8000</v>
      </c>
      <c r="Y9" s="371"/>
      <c r="Z9" s="371"/>
      <c r="AA9" s="371"/>
      <c r="AB9" s="371">
        <v>0</v>
      </c>
      <c r="AC9" s="371">
        <v>0</v>
      </c>
      <c r="AD9" s="371">
        <v>0</v>
      </c>
      <c r="AE9" s="371">
        <v>47390</v>
      </c>
      <c r="AF9" s="385">
        <v>0</v>
      </c>
      <c r="AG9" s="371">
        <v>0</v>
      </c>
      <c r="AH9" s="371">
        <v>0</v>
      </c>
      <c r="AI9" s="387">
        <f t="shared" si="1"/>
        <v>0</v>
      </c>
      <c r="AJ9" s="496"/>
    </row>
    <row r="10" spans="1:36" s="393" customFormat="1" ht="28.5">
      <c r="A10" s="397" t="s">
        <v>1282</v>
      </c>
      <c r="B10" s="397" t="s">
        <v>1248</v>
      </c>
      <c r="C10" s="497" t="s">
        <v>1244</v>
      </c>
      <c r="D10" s="396">
        <v>4</v>
      </c>
      <c r="E10" s="385">
        <v>91600</v>
      </c>
      <c r="F10" s="368">
        <v>24000</v>
      </c>
      <c r="G10" s="368">
        <v>67600</v>
      </c>
      <c r="H10" s="385">
        <v>26300</v>
      </c>
      <c r="I10" s="371">
        <v>0</v>
      </c>
      <c r="J10" s="371">
        <v>0</v>
      </c>
      <c r="K10" s="371">
        <v>6000</v>
      </c>
      <c r="L10" s="371"/>
      <c r="M10" s="371"/>
      <c r="N10" s="371">
        <v>20300</v>
      </c>
      <c r="O10" s="370">
        <v>0</v>
      </c>
      <c r="P10" s="386">
        <v>65300</v>
      </c>
      <c r="Q10" s="371">
        <v>6500</v>
      </c>
      <c r="R10" s="371">
        <v>0</v>
      </c>
      <c r="S10" s="371">
        <v>0</v>
      </c>
      <c r="T10" s="371">
        <v>27000</v>
      </c>
      <c r="U10" s="371"/>
      <c r="V10" s="371">
        <v>4300</v>
      </c>
      <c r="W10" s="371">
        <v>10000</v>
      </c>
      <c r="X10" s="371">
        <v>17500</v>
      </c>
      <c r="Y10" s="371"/>
      <c r="Z10" s="371"/>
      <c r="AA10" s="371"/>
      <c r="AB10" s="371">
        <v>0</v>
      </c>
      <c r="AC10" s="371">
        <v>0</v>
      </c>
      <c r="AD10" s="371">
        <v>0</v>
      </c>
      <c r="AE10" s="371">
        <v>0</v>
      </c>
      <c r="AF10" s="385">
        <v>0</v>
      </c>
      <c r="AG10" s="371">
        <v>0</v>
      </c>
      <c r="AH10" s="371">
        <v>0</v>
      </c>
      <c r="AI10" s="387">
        <f t="shared" si="1"/>
        <v>0</v>
      </c>
      <c r="AJ10" s="496"/>
    </row>
    <row r="11" spans="1:36" s="363" customFormat="1" ht="24" hidden="1" customHeight="1">
      <c r="A11" s="364"/>
      <c r="B11" s="365"/>
      <c r="C11" s="366"/>
      <c r="D11" s="367"/>
      <c r="E11" s="385">
        <f>SUM(H11,P11,AF11)</f>
        <v>0</v>
      </c>
      <c r="F11" s="368"/>
      <c r="G11" s="368"/>
      <c r="H11" s="384">
        <f>SUM(I11:O11)</f>
        <v>0</v>
      </c>
      <c r="I11" s="368"/>
      <c r="J11" s="368"/>
      <c r="K11" s="368"/>
      <c r="L11" s="368"/>
      <c r="M11" s="368"/>
      <c r="N11" s="368"/>
      <c r="O11" s="369"/>
      <c r="P11" s="386">
        <f>SUM(Q11:AE11)</f>
        <v>0</v>
      </c>
      <c r="Q11" s="368"/>
      <c r="R11" s="368"/>
      <c r="S11" s="368"/>
      <c r="T11" s="368"/>
      <c r="U11" s="368"/>
      <c r="V11" s="368"/>
      <c r="W11" s="368"/>
      <c r="X11" s="368"/>
      <c r="Y11" s="368"/>
      <c r="Z11" s="368"/>
      <c r="AA11" s="368"/>
      <c r="AB11" s="368"/>
      <c r="AC11" s="368"/>
      <c r="AD11" s="368"/>
      <c r="AE11" s="368"/>
      <c r="AF11" s="385">
        <f>SUM(AG11:AH11)</f>
        <v>0</v>
      </c>
      <c r="AG11" s="368"/>
      <c r="AH11" s="368"/>
      <c r="AI11" s="362">
        <f t="shared" si="1"/>
        <v>0</v>
      </c>
    </row>
    <row r="12" spans="1:36" s="363" customFormat="1" ht="24" hidden="1" customHeight="1">
      <c r="A12" s="364"/>
      <c r="B12" s="365"/>
      <c r="C12" s="366"/>
      <c r="D12" s="367"/>
      <c r="E12" s="385">
        <f>SUM(H12,P12,AF12)</f>
        <v>0</v>
      </c>
      <c r="F12" s="368"/>
      <c r="G12" s="368"/>
      <c r="H12" s="384">
        <f>SUM(I12:O12)</f>
        <v>0</v>
      </c>
      <c r="I12" s="368"/>
      <c r="J12" s="368"/>
      <c r="K12" s="368"/>
      <c r="L12" s="368"/>
      <c r="M12" s="368"/>
      <c r="N12" s="368"/>
      <c r="O12" s="369"/>
      <c r="P12" s="386">
        <f>SUM(Q12:AE12)</f>
        <v>0</v>
      </c>
      <c r="Q12" s="368"/>
      <c r="R12" s="368"/>
      <c r="S12" s="368"/>
      <c r="T12" s="368"/>
      <c r="U12" s="368"/>
      <c r="V12" s="368"/>
      <c r="W12" s="368"/>
      <c r="X12" s="368"/>
      <c r="Y12" s="368"/>
      <c r="Z12" s="368"/>
      <c r="AA12" s="368"/>
      <c r="AB12" s="368"/>
      <c r="AC12" s="368"/>
      <c r="AD12" s="368"/>
      <c r="AE12" s="368"/>
      <c r="AF12" s="385">
        <f>SUM(AG12:AH12)</f>
        <v>0</v>
      </c>
      <c r="AG12" s="368"/>
      <c r="AH12" s="368"/>
      <c r="AI12" s="362">
        <f t="shared" si="1"/>
        <v>0</v>
      </c>
    </row>
    <row r="13" spans="1:36" s="363" customFormat="1" ht="24" hidden="1" customHeight="1">
      <c r="A13" s="364"/>
      <c r="B13" s="365"/>
      <c r="C13" s="365"/>
      <c r="D13" s="372"/>
      <c r="E13" s="385">
        <f>SUM(H13,P13,AF13)</f>
        <v>0</v>
      </c>
      <c r="F13" s="368"/>
      <c r="G13" s="368"/>
      <c r="H13" s="384">
        <f>SUM(I13:O13)</f>
        <v>0</v>
      </c>
      <c r="I13" s="361"/>
      <c r="J13" s="361"/>
      <c r="K13" s="361"/>
      <c r="L13" s="361"/>
      <c r="M13" s="361"/>
      <c r="N13" s="361"/>
      <c r="O13" s="373"/>
      <c r="P13" s="386">
        <f>SUM(Q13:AE13)</f>
        <v>0</v>
      </c>
      <c r="Q13" s="361"/>
      <c r="R13" s="361"/>
      <c r="S13" s="361"/>
      <c r="T13" s="361"/>
      <c r="U13" s="361"/>
      <c r="V13" s="361"/>
      <c r="W13" s="361"/>
      <c r="X13" s="361"/>
      <c r="Y13" s="361"/>
      <c r="Z13" s="361"/>
      <c r="AA13" s="361"/>
      <c r="AB13" s="361"/>
      <c r="AC13" s="361"/>
      <c r="AD13" s="361"/>
      <c r="AE13" s="361"/>
      <c r="AF13" s="385">
        <f>SUM(AG13:AH13)</f>
        <v>0</v>
      </c>
      <c r="AG13" s="361"/>
      <c r="AH13" s="361"/>
      <c r="AI13" s="362">
        <f t="shared" si="1"/>
        <v>0</v>
      </c>
    </row>
    <row r="14" spans="1:36" s="363" customFormat="1" ht="24" hidden="1" customHeight="1">
      <c r="A14" s="364"/>
      <c r="B14" s="365"/>
      <c r="C14" s="366"/>
      <c r="D14" s="367"/>
      <c r="E14" s="385">
        <f>SUM(H14,P14,AF14)</f>
        <v>0</v>
      </c>
      <c r="F14" s="368"/>
      <c r="G14" s="368"/>
      <c r="H14" s="384">
        <f>SUM(I14:O14)</f>
        <v>0</v>
      </c>
      <c r="I14" s="368"/>
      <c r="J14" s="368"/>
      <c r="K14" s="368"/>
      <c r="L14" s="368"/>
      <c r="M14" s="368"/>
      <c r="N14" s="368"/>
      <c r="O14" s="369"/>
      <c r="P14" s="386">
        <f>SUM(Q14:AE14)</f>
        <v>0</v>
      </c>
      <c r="Q14" s="368"/>
      <c r="R14" s="368"/>
      <c r="S14" s="368"/>
      <c r="T14" s="368"/>
      <c r="U14" s="368"/>
      <c r="V14" s="368"/>
      <c r="W14" s="368"/>
      <c r="X14" s="368"/>
      <c r="Y14" s="368"/>
      <c r="Z14" s="368"/>
      <c r="AA14" s="368"/>
      <c r="AB14" s="368"/>
      <c r="AC14" s="368"/>
      <c r="AD14" s="368"/>
      <c r="AE14" s="368"/>
      <c r="AF14" s="385">
        <f>SUM(AG14:AH14)</f>
        <v>0</v>
      </c>
      <c r="AG14" s="368"/>
      <c r="AH14" s="368"/>
      <c r="AI14" s="362">
        <f t="shared" si="1"/>
        <v>0</v>
      </c>
    </row>
    <row r="15" spans="1:36" ht="26.1" hidden="1" customHeight="1">
      <c r="A15" s="364"/>
      <c r="B15" s="364"/>
      <c r="C15" s="365"/>
      <c r="D15" s="372"/>
      <c r="E15" s="385"/>
      <c r="F15" s="368"/>
      <c r="G15" s="368"/>
      <c r="H15" s="385"/>
      <c r="I15" s="368"/>
      <c r="J15" s="368"/>
      <c r="K15" s="368"/>
      <c r="L15" s="368"/>
      <c r="M15" s="368"/>
      <c r="N15" s="368"/>
      <c r="O15" s="369"/>
      <c r="P15" s="386"/>
      <c r="Q15" s="368"/>
      <c r="R15" s="368"/>
      <c r="S15" s="368"/>
      <c r="T15" s="368"/>
      <c r="U15" s="368"/>
      <c r="V15" s="368"/>
      <c r="W15" s="368"/>
      <c r="X15" s="368"/>
      <c r="Y15" s="368"/>
      <c r="Z15" s="368"/>
      <c r="AA15" s="368"/>
      <c r="AB15" s="368"/>
      <c r="AC15" s="368"/>
      <c r="AD15" s="368"/>
      <c r="AE15" s="368"/>
      <c r="AF15" s="385"/>
      <c r="AG15" s="368"/>
      <c r="AH15" s="368"/>
      <c r="AI15" s="362">
        <f t="shared" si="1"/>
        <v>0</v>
      </c>
    </row>
    <row r="16" spans="1:36" s="382" customFormat="1" ht="26.1" customHeight="1">
      <c r="A16" s="374" t="s">
        <v>490</v>
      </c>
      <c r="B16" s="375"/>
      <c r="C16" s="376"/>
      <c r="D16" s="376"/>
      <c r="E16" s="377"/>
      <c r="F16" s="377"/>
      <c r="G16" s="377"/>
      <c r="H16" s="377"/>
      <c r="I16" s="377"/>
      <c r="J16" s="377"/>
      <c r="K16" s="377"/>
      <c r="L16" s="377"/>
      <c r="M16" s="377"/>
      <c r="N16" s="377"/>
      <c r="O16" s="378"/>
      <c r="P16" s="379"/>
      <c r="Q16" s="377"/>
      <c r="R16" s="377"/>
      <c r="S16" s="377"/>
      <c r="T16" s="377"/>
      <c r="U16" s="377"/>
      <c r="V16" s="377"/>
      <c r="W16" s="377"/>
      <c r="X16" s="377"/>
      <c r="Y16" s="377"/>
      <c r="Z16" s="377"/>
      <c r="AA16" s="377"/>
      <c r="AB16" s="377"/>
      <c r="AC16" s="377"/>
      <c r="AD16" s="377"/>
      <c r="AE16" s="377"/>
      <c r="AF16" s="380"/>
      <c r="AG16" s="377"/>
      <c r="AH16" s="377"/>
      <c r="AI16" s="381"/>
    </row>
    <row r="18" spans="1:1" ht="21">
      <c r="A18" s="440"/>
    </row>
  </sheetData>
  <mergeCells count="10">
    <mergeCell ref="A3:A4"/>
    <mergeCell ref="B3:B4"/>
    <mergeCell ref="C3:C4"/>
    <mergeCell ref="D3:D4"/>
    <mergeCell ref="D1:R1"/>
    <mergeCell ref="S1:AH1"/>
    <mergeCell ref="S3:AE3"/>
    <mergeCell ref="P3:R3"/>
    <mergeCell ref="H3:O3"/>
    <mergeCell ref="AF3:AH3"/>
  </mergeCells>
  <phoneticPr fontId="19" type="noConversion"/>
  <pageMargins left="0.39370078740157483" right="0.39370078740157483" top="0.39370078740157483" bottom="0.39370078740157483" header="0.19685039370078741" footer="0.43307086614173229"/>
  <pageSetup paperSize="9" scale="70" orientation="landscape" r:id="rId1"/>
  <headerFooter alignWithMargins="0"/>
  <colBreaks count="1" manualBreakCount="1">
    <brk id="18" max="10"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R57"/>
  <sheetViews>
    <sheetView view="pageBreakPreview" zoomScaleNormal="75" zoomScaleSheetLayoutView="100" workbookViewId="0">
      <pane xSplit="1" ySplit="3" topLeftCell="B4" activePane="bottomRight" state="frozen"/>
      <selection activeCell="I132" sqref="I132"/>
      <selection pane="topRight" activeCell="I132" sqref="I132"/>
      <selection pane="bottomLeft" activeCell="I132" sqref="I132"/>
      <selection pane="bottomRight" activeCell="I132" sqref="I132"/>
    </sheetView>
  </sheetViews>
  <sheetFormatPr defaultColWidth="9.75" defaultRowHeight="32.1" customHeight="1"/>
  <cols>
    <col min="1" max="1" width="30.375" style="4" customWidth="1"/>
    <col min="2" max="2" width="12.25" style="4" customWidth="1"/>
    <col min="3" max="3" width="12.25" style="45" customWidth="1"/>
    <col min="4" max="5" width="10.75" style="44" customWidth="1"/>
    <col min="6" max="6" width="12.125" style="44" customWidth="1"/>
    <col min="7" max="7" width="13.25" style="44" hidden="1" customWidth="1"/>
    <col min="8" max="8" width="9.75" style="44" customWidth="1"/>
    <col min="9" max="9" width="10.125" style="44" hidden="1" customWidth="1"/>
    <col min="10" max="11" width="13" style="44" customWidth="1"/>
    <col min="12" max="12" width="13.25" style="4" customWidth="1"/>
    <col min="13" max="13" width="12.125" style="4" bestFit="1" customWidth="1"/>
    <col min="14" max="14" width="11.75" style="4" customWidth="1"/>
    <col min="15" max="15" width="11.625" style="4" customWidth="1"/>
    <col min="16" max="16" width="12.75" style="4" customWidth="1"/>
    <col min="17" max="17" width="10.5" style="970" customWidth="1"/>
    <col min="18" max="18" width="18.25" style="970" bestFit="1" customWidth="1"/>
    <col min="19" max="16384" width="9.75" style="4"/>
  </cols>
  <sheetData>
    <row r="1" spans="1:18" ht="32.1" customHeight="1">
      <c r="A1" s="1052" t="s">
        <v>2057</v>
      </c>
      <c r="B1" s="1052"/>
      <c r="C1" s="1052"/>
      <c r="D1" s="1052"/>
      <c r="E1" s="1052"/>
      <c r="F1" s="1052"/>
      <c r="G1" s="1052"/>
      <c r="H1" s="444"/>
      <c r="I1" s="443"/>
      <c r="J1" s="454"/>
      <c r="K1" s="454" t="s">
        <v>2056</v>
      </c>
      <c r="L1" s="462" t="s">
        <v>2055</v>
      </c>
    </row>
    <row r="2" spans="1:18" ht="16.5">
      <c r="A2" s="445"/>
      <c r="B2" s="445"/>
      <c r="C2" s="446"/>
      <c r="D2" s="446"/>
      <c r="E2" s="446"/>
      <c r="F2" s="443"/>
      <c r="G2" s="443"/>
      <c r="H2" s="446"/>
      <c r="I2" s="443"/>
      <c r="J2" s="443"/>
      <c r="K2" s="443"/>
    </row>
    <row r="3" spans="1:18" ht="69.75" customHeight="1">
      <c r="A3" s="7" t="s">
        <v>2054</v>
      </c>
      <c r="B3" s="193" t="s">
        <v>2053</v>
      </c>
      <c r="C3" s="468" t="s">
        <v>2052</v>
      </c>
      <c r="D3" s="468" t="s">
        <v>2051</v>
      </c>
      <c r="E3" s="521" t="s">
        <v>2050</v>
      </c>
      <c r="F3" s="193" t="s">
        <v>2049</v>
      </c>
      <c r="G3" s="193" t="s">
        <v>2048</v>
      </c>
      <c r="H3" s="193" t="s">
        <v>2047</v>
      </c>
      <c r="I3" s="193" t="s">
        <v>2046</v>
      </c>
      <c r="J3" s="478" t="s">
        <v>2045</v>
      </c>
      <c r="K3" s="522" t="s">
        <v>2044</v>
      </c>
      <c r="L3" s="475" t="s">
        <v>2043</v>
      </c>
      <c r="M3" s="487" t="s">
        <v>2041</v>
      </c>
      <c r="N3" s="475" t="s">
        <v>2042</v>
      </c>
      <c r="O3" s="193" t="s">
        <v>2041</v>
      </c>
      <c r="P3" s="4" t="s">
        <v>2040</v>
      </c>
      <c r="Q3" s="4" t="s">
        <v>2039</v>
      </c>
    </row>
    <row r="4" spans="1:18" ht="22.9" customHeight="1">
      <c r="A4" s="457" t="s">
        <v>2038</v>
      </c>
      <c r="B4" s="458">
        <f t="shared" ref="B4:O4" si="0">SUM(B5:B9)</f>
        <v>1857175</v>
      </c>
      <c r="C4" s="458">
        <f t="shared" si="0"/>
        <v>1841451</v>
      </c>
      <c r="D4" s="458">
        <f t="shared" si="0"/>
        <v>15724</v>
      </c>
      <c r="E4" s="458">
        <f t="shared" si="0"/>
        <v>0</v>
      </c>
      <c r="F4" s="458">
        <f t="shared" si="0"/>
        <v>0</v>
      </c>
      <c r="G4" s="458">
        <f t="shared" si="0"/>
        <v>0</v>
      </c>
      <c r="H4" s="458">
        <f t="shared" si="0"/>
        <v>0</v>
      </c>
      <c r="I4" s="458">
        <f t="shared" si="0"/>
        <v>0</v>
      </c>
      <c r="J4" s="479">
        <f t="shared" si="0"/>
        <v>0</v>
      </c>
      <c r="K4" s="479">
        <f t="shared" si="0"/>
        <v>0</v>
      </c>
      <c r="L4" s="476">
        <f t="shared" si="0"/>
        <v>1826506.5420000001</v>
      </c>
      <c r="M4" s="488">
        <f t="shared" si="0"/>
        <v>30668.458000000006</v>
      </c>
      <c r="N4" s="476">
        <f t="shared" si="0"/>
        <v>1822377.5420000001</v>
      </c>
      <c r="O4" s="458">
        <f t="shared" si="0"/>
        <v>19073.458000000006</v>
      </c>
      <c r="P4" s="970">
        <f>ROUND('[13]總說明(舊)-千元版'!D5/1000,0)-C4</f>
        <v>0</v>
      </c>
      <c r="Q4" s="971">
        <f>ROUND(VLOOKUP(R4,[14]Sheet1!$D$6:$F$44,3,0)/1000,0)-C4</f>
        <v>265577</v>
      </c>
      <c r="R4" s="970" t="s">
        <v>1290</v>
      </c>
    </row>
    <row r="5" spans="1:18" ht="22.9" customHeight="1">
      <c r="A5" s="10" t="s">
        <v>2037</v>
      </c>
      <c r="B5" s="455">
        <f>SUM(C5:K5)</f>
        <v>1485034</v>
      </c>
      <c r="C5" s="456">
        <v>1469310</v>
      </c>
      <c r="D5" s="451">
        <v>15724</v>
      </c>
      <c r="E5" s="451"/>
      <c r="F5" s="451"/>
      <c r="G5" s="451"/>
      <c r="H5" s="451"/>
      <c r="I5" s="451"/>
      <c r="J5" s="480"/>
      <c r="K5" s="480"/>
      <c r="L5" s="477">
        <f>'中央105(法)'!B5</f>
        <v>1444138</v>
      </c>
      <c r="M5" s="489">
        <f>B5-L5</f>
        <v>40896</v>
      </c>
      <c r="N5" s="477">
        <f>'中央105(法)'!C5</f>
        <v>1440009</v>
      </c>
      <c r="O5" s="451">
        <f>C5-N5</f>
        <v>29301</v>
      </c>
      <c r="P5" s="970">
        <f>ROUND('[13]總說明(舊)-千元版'!D6/1000,0)-C5</f>
        <v>0</v>
      </c>
      <c r="Q5" s="971">
        <f>ROUND(VLOOKUP(R5,[14]Sheet1!$D$6:$F$44,3,0)/1000,0)-C5</f>
        <v>210282</v>
      </c>
      <c r="R5" s="970" t="s">
        <v>1301</v>
      </c>
    </row>
    <row r="6" spans="1:18" ht="22.9" customHeight="1">
      <c r="A6" s="9" t="s">
        <v>2036</v>
      </c>
      <c r="B6" s="455">
        <f>SUM(C6:K6)</f>
        <v>224407</v>
      </c>
      <c r="C6" s="909">
        <v>224407</v>
      </c>
      <c r="D6" s="451"/>
      <c r="E6" s="451"/>
      <c r="F6" s="451"/>
      <c r="G6" s="451"/>
      <c r="H6" s="451"/>
      <c r="I6" s="451"/>
      <c r="J6" s="480"/>
      <c r="K6" s="480"/>
      <c r="L6" s="477">
        <f>'中央105(法)'!B6</f>
        <v>238245.00899999999</v>
      </c>
      <c r="M6" s="489">
        <f>B6-L6</f>
        <v>-13838.008999999991</v>
      </c>
      <c r="N6" s="477">
        <f>'中央105(法)'!C6</f>
        <v>238245.00899999999</v>
      </c>
      <c r="O6" s="451">
        <f>C6-N6</f>
        <v>-13838.008999999991</v>
      </c>
      <c r="P6" s="970">
        <f>ROUND('[13]總說明(舊)-千元版'!D13/1000,0)-C6</f>
        <v>0</v>
      </c>
      <c r="Q6" s="971">
        <f>ROUND(VLOOKUP(R6,[14]Sheet1!$D$6:$F$44,3,0)/1000,0)-C6</f>
        <v>19846</v>
      </c>
      <c r="R6" s="970" t="s">
        <v>1304</v>
      </c>
    </row>
    <row r="7" spans="1:18" ht="22.9" customHeight="1">
      <c r="A7" s="10" t="s">
        <v>2035</v>
      </c>
      <c r="B7" s="455">
        <f>SUM(C7:K7)</f>
        <v>98979</v>
      </c>
      <c r="C7" s="456">
        <v>98979</v>
      </c>
      <c r="D7" s="451"/>
      <c r="E7" s="451"/>
      <c r="F7" s="451"/>
      <c r="G7" s="451"/>
      <c r="H7" s="451"/>
      <c r="I7" s="451"/>
      <c r="J7" s="480"/>
      <c r="K7" s="480"/>
      <c r="L7" s="477">
        <f>'中央105(法)'!B7</f>
        <v>79066</v>
      </c>
      <c r="M7" s="489">
        <f>B7-L7</f>
        <v>19913</v>
      </c>
      <c r="N7" s="477">
        <f>'中央105(法)'!C7</f>
        <v>79066</v>
      </c>
      <c r="O7" s="451">
        <f>C7-N7</f>
        <v>19913</v>
      </c>
      <c r="P7" s="970">
        <f>ROUND('[13]總說明(舊)-千元版'!D14/1000,0)-C7</f>
        <v>0</v>
      </c>
      <c r="Q7" s="971">
        <f>ROUND(VLOOKUP(R7,[14]Sheet1!$D$6:$F$44,3,0)/1000,0)-C7</f>
        <v>24230</v>
      </c>
      <c r="R7" s="970" t="s">
        <v>1302</v>
      </c>
    </row>
    <row r="8" spans="1:18" ht="22.9" customHeight="1">
      <c r="A8" s="10" t="s">
        <v>2034</v>
      </c>
      <c r="B8" s="455">
        <f>SUM(C8:K8)</f>
        <v>37340</v>
      </c>
      <c r="C8" s="456">
        <v>37340</v>
      </c>
      <c r="D8" s="451"/>
      <c r="E8" s="451"/>
      <c r="G8" s="451"/>
      <c r="H8" s="451"/>
      <c r="I8" s="451"/>
      <c r="J8" s="480"/>
      <c r="K8" s="480"/>
      <c r="L8" s="477">
        <f>'中央105(法)'!B8</f>
        <v>51880.533000000003</v>
      </c>
      <c r="M8" s="489">
        <f>B8-L8</f>
        <v>-14540.533000000003</v>
      </c>
      <c r="N8" s="477">
        <f>'中央105(法)'!C8</f>
        <v>51880.533000000003</v>
      </c>
      <c r="O8" s="451">
        <f>C8-N8</f>
        <v>-14540.533000000003</v>
      </c>
      <c r="P8" s="970">
        <f>ROUND('[13]總說明(舊)-千元版'!D17/1000,0)-C8</f>
        <v>0</v>
      </c>
      <c r="Q8" s="971">
        <f>ROUND(VLOOKUP(R8,[14]Sheet1!$D$6:$F$44,3,0)/1000,0)-C8</f>
        <v>10678</v>
      </c>
      <c r="R8" s="970" t="s">
        <v>1303</v>
      </c>
    </row>
    <row r="9" spans="1:18" ht="22.9" customHeight="1">
      <c r="A9" s="9" t="s">
        <v>2033</v>
      </c>
      <c r="B9" s="455">
        <f>SUM(C9:K9)</f>
        <v>11415</v>
      </c>
      <c r="C9" s="456">
        <v>11415</v>
      </c>
      <c r="D9" s="451"/>
      <c r="E9" s="451"/>
      <c r="F9" s="451"/>
      <c r="G9" s="451"/>
      <c r="H9" s="451"/>
      <c r="I9" s="451"/>
      <c r="J9" s="480"/>
      <c r="K9" s="480"/>
      <c r="L9" s="477">
        <f>'中央105(法)'!B9</f>
        <v>13177</v>
      </c>
      <c r="M9" s="489">
        <f>B9-L9</f>
        <v>-1762</v>
      </c>
      <c r="N9" s="477">
        <f>'中央105(法)'!C9</f>
        <v>13177</v>
      </c>
      <c r="O9" s="451">
        <f>C9-N9</f>
        <v>-1762</v>
      </c>
      <c r="P9" s="970">
        <f>ROUND('[13]總說明(舊)-千元版'!D18/1000,0)-C9</f>
        <v>0</v>
      </c>
      <c r="Q9" s="971">
        <f>ROUND(VLOOKUP(R9,[14]Sheet1!$D$6:$F$44,3,0)/1000,0)-C9</f>
        <v>541</v>
      </c>
      <c r="R9" s="970" t="s">
        <v>1305</v>
      </c>
    </row>
    <row r="10" spans="1:18" ht="22.9" customHeight="1">
      <c r="A10" s="457" t="s">
        <v>2032</v>
      </c>
      <c r="B10" s="458">
        <f t="shared" ref="B10:O10" si="1">SUM(B11:B19)</f>
        <v>1690740</v>
      </c>
      <c r="C10" s="458">
        <f t="shared" si="1"/>
        <v>1973996</v>
      </c>
      <c r="D10" s="458">
        <f t="shared" si="1"/>
        <v>15724</v>
      </c>
      <c r="E10" s="458">
        <f t="shared" si="1"/>
        <v>16079</v>
      </c>
      <c r="F10" s="458">
        <f t="shared" si="1"/>
        <v>-162261</v>
      </c>
      <c r="G10" s="458">
        <f t="shared" si="1"/>
        <v>0</v>
      </c>
      <c r="H10" s="458">
        <f t="shared" si="1"/>
        <v>-143468</v>
      </c>
      <c r="I10" s="458">
        <f t="shared" si="1"/>
        <v>0</v>
      </c>
      <c r="J10" s="479">
        <f t="shared" si="1"/>
        <v>-4949</v>
      </c>
      <c r="K10" s="479">
        <f t="shared" si="1"/>
        <v>-4381</v>
      </c>
      <c r="L10" s="476">
        <f t="shared" si="1"/>
        <v>1684497</v>
      </c>
      <c r="M10" s="488">
        <f t="shared" si="1"/>
        <v>6243</v>
      </c>
      <c r="N10" s="476">
        <f t="shared" si="1"/>
        <v>1975866</v>
      </c>
      <c r="O10" s="458">
        <f t="shared" si="1"/>
        <v>-1870</v>
      </c>
      <c r="P10" s="970">
        <f>ROUND('[15]106及107政事別'!$B$5/1000,0)-C10</f>
        <v>0</v>
      </c>
      <c r="Q10" s="970">
        <f>ROUND(VLOOKUP(R10,[16]Sheet1!$B$6:$D$48,3,0)/1000,0)-C10</f>
        <v>0</v>
      </c>
      <c r="R10" s="970" t="s">
        <v>1315</v>
      </c>
    </row>
    <row r="11" spans="1:18" ht="22.9" customHeight="1">
      <c r="A11" s="11" t="s">
        <v>2031</v>
      </c>
      <c r="B11" s="455">
        <f t="shared" ref="B11:B19" si="2">SUM(C11:K11)</f>
        <v>176788</v>
      </c>
      <c r="C11" s="456">
        <v>179704</v>
      </c>
      <c r="D11" s="451"/>
      <c r="E11" s="451">
        <v>242</v>
      </c>
      <c r="F11" s="451"/>
      <c r="G11" s="451"/>
      <c r="H11" s="451">
        <v>-2958</v>
      </c>
      <c r="I11" s="451"/>
      <c r="J11" s="480"/>
      <c r="K11" s="480">
        <f>-ROUND('[17]106前瞻計畫別(法)'!H113/1000,0)</f>
        <v>-200</v>
      </c>
      <c r="L11" s="477">
        <f>'中央105(法)'!B11</f>
        <v>183667</v>
      </c>
      <c r="M11" s="489">
        <f t="shared" ref="M11:M19" si="3">B11-L11</f>
        <v>-6879</v>
      </c>
      <c r="N11" s="477">
        <f>'中央105(法)'!C11</f>
        <v>186995</v>
      </c>
      <c r="O11" s="451">
        <f t="shared" ref="O11:O19" si="4">C11-N11</f>
        <v>-7291</v>
      </c>
      <c r="P11" s="970">
        <f>ROUND('[15]106及107政事別'!$C$5/1000,0)-C11</f>
        <v>0</v>
      </c>
      <c r="Q11" s="970">
        <f>ROUND(VLOOKUP(R11,[16]Sheet1!$B$6:$D$48,3,0)/1000,0)-C11</f>
        <v>0</v>
      </c>
      <c r="R11" s="970" t="s">
        <v>1306</v>
      </c>
    </row>
    <row r="12" spans="1:18" ht="22.9" customHeight="1">
      <c r="A12" s="12" t="s">
        <v>2030</v>
      </c>
      <c r="B12" s="455">
        <f t="shared" si="2"/>
        <v>307872</v>
      </c>
      <c r="C12" s="456">
        <f>307872</f>
        <v>307872</v>
      </c>
      <c r="D12" s="451"/>
      <c r="E12" s="451"/>
      <c r="F12" s="451"/>
      <c r="G12" s="451"/>
      <c r="H12" s="451"/>
      <c r="I12" s="451"/>
      <c r="J12" s="480"/>
      <c r="K12" s="480">
        <f>-ROUND('[17]106前瞻計畫別(法)'!H114/1000,0)</f>
        <v>0</v>
      </c>
      <c r="L12" s="477">
        <f>'中央105(法)'!B12</f>
        <v>309805</v>
      </c>
      <c r="M12" s="489">
        <f t="shared" si="3"/>
        <v>-1933</v>
      </c>
      <c r="N12" s="477">
        <f>'中央105(法)'!C12</f>
        <v>309805</v>
      </c>
      <c r="O12" s="451">
        <f t="shared" si="4"/>
        <v>-1933</v>
      </c>
      <c r="P12" s="970">
        <f>ROUND('[15]106及107政事別'!$D$5/1000,0)-C12</f>
        <v>0</v>
      </c>
      <c r="Q12" s="970">
        <f>ROUND(VLOOKUP(R12,[16]Sheet1!$B$6:$D$48,3,0)/1000,0)-C12</f>
        <v>0</v>
      </c>
      <c r="R12" s="970" t="s">
        <v>1307</v>
      </c>
    </row>
    <row r="13" spans="1:18" ht="22.9" customHeight="1">
      <c r="A13" s="12" t="s">
        <v>2029</v>
      </c>
      <c r="B13" s="455">
        <f t="shared" si="2"/>
        <v>307009</v>
      </c>
      <c r="C13" s="520">
        <f>409352-1</f>
        <v>409351</v>
      </c>
      <c r="D13" s="451"/>
      <c r="E13" s="451">
        <v>3021</v>
      </c>
      <c r="F13" s="451">
        <v>-49968</v>
      </c>
      <c r="G13" s="451"/>
      <c r="H13" s="451">
        <v>-54135</v>
      </c>
      <c r="I13" s="451"/>
      <c r="J13" s="480"/>
      <c r="K13" s="480">
        <f>-ROUND('[17]106前瞻計畫別(法)'!H115/1000,0)</f>
        <v>-1260</v>
      </c>
      <c r="L13" s="477">
        <f>'中央105(法)'!B13</f>
        <v>295800</v>
      </c>
      <c r="M13" s="489">
        <f t="shared" si="3"/>
        <v>11209</v>
      </c>
      <c r="N13" s="477">
        <f>'中央105(法)'!C13</f>
        <v>387840</v>
      </c>
      <c r="O13" s="451">
        <f t="shared" si="4"/>
        <v>21511</v>
      </c>
      <c r="P13" s="970">
        <f>ROUND('[15]106及107政事別'!$E$5/1000,0)-C13</f>
        <v>1</v>
      </c>
      <c r="Q13" s="970">
        <f>ROUND(VLOOKUP(R13,[16]Sheet1!$B$6:$D$48,3,0)/1000,0)-C13</f>
        <v>1</v>
      </c>
      <c r="R13" s="970" t="s">
        <v>1308</v>
      </c>
    </row>
    <row r="14" spans="1:18" ht="22.9" customHeight="1">
      <c r="A14" s="12" t="s">
        <v>2028</v>
      </c>
      <c r="B14" s="455">
        <f t="shared" si="2"/>
        <v>211411</v>
      </c>
      <c r="C14" s="456">
        <v>259498</v>
      </c>
      <c r="D14" s="451">
        <v>13724</v>
      </c>
      <c r="E14" s="451">
        <v>12104</v>
      </c>
      <c r="F14" s="451">
        <v>-34500</v>
      </c>
      <c r="G14" s="451"/>
      <c r="H14" s="451">
        <v>-33078</v>
      </c>
      <c r="I14" s="451"/>
      <c r="J14" s="480">
        <v>-4034</v>
      </c>
      <c r="K14" s="480">
        <f>-ROUND('[17]106前瞻計畫別(法)'!H116/1000,0)</f>
        <v>-2303</v>
      </c>
      <c r="L14" s="477">
        <f>'中央105(法)'!B14</f>
        <v>197295</v>
      </c>
      <c r="M14" s="489">
        <f t="shared" si="3"/>
        <v>14116</v>
      </c>
      <c r="N14" s="477">
        <f>'中央105(法)'!C14</f>
        <v>267254</v>
      </c>
      <c r="O14" s="451">
        <f t="shared" si="4"/>
        <v>-7756</v>
      </c>
      <c r="P14" s="970">
        <f>ROUND('[15]106及107政事別'!$F$5/1000,0)-C14</f>
        <v>0</v>
      </c>
      <c r="Q14" s="970">
        <f>ROUND(VLOOKUP(R14,[16]Sheet1!$B$6:$D$48,3,0)/1000,0)-C14</f>
        <v>0</v>
      </c>
      <c r="R14" s="970" t="s">
        <v>1309</v>
      </c>
    </row>
    <row r="15" spans="1:18" ht="22.9" customHeight="1">
      <c r="A15" s="12" t="s">
        <v>2027</v>
      </c>
      <c r="B15" s="455">
        <f t="shared" si="2"/>
        <v>418357</v>
      </c>
      <c r="C15" s="456">
        <v>476614</v>
      </c>
      <c r="D15" s="451"/>
      <c r="E15" s="451">
        <v>642</v>
      </c>
      <c r="F15" s="451">
        <v>-34712</v>
      </c>
      <c r="G15" s="451"/>
      <c r="H15" s="451">
        <v>-23638</v>
      </c>
      <c r="I15" s="451"/>
      <c r="J15" s="480"/>
      <c r="K15" s="480">
        <f>-ROUND('[17]106前瞻計畫別(法)'!H117/1000,0)</f>
        <v>-549</v>
      </c>
      <c r="L15" s="477">
        <f>'中央105(法)'!B15</f>
        <v>410207</v>
      </c>
      <c r="M15" s="489">
        <f t="shared" si="3"/>
        <v>8150</v>
      </c>
      <c r="N15" s="477">
        <f>'中央105(法)'!C15</f>
        <v>460610</v>
      </c>
      <c r="O15" s="451">
        <f t="shared" si="4"/>
        <v>16004</v>
      </c>
      <c r="P15" s="970">
        <f>ROUND('[15]106及107政事別'!$G$5/1000,0)-C15</f>
        <v>0</v>
      </c>
      <c r="Q15" s="970">
        <f>ROUND(VLOOKUP(R15,[16]Sheet1!$B$6:$D$48,3,0)/1000,0)-C15</f>
        <v>0</v>
      </c>
      <c r="R15" s="970" t="s">
        <v>1310</v>
      </c>
    </row>
    <row r="16" spans="1:18" ht="22.9" customHeight="1">
      <c r="A16" s="12" t="s">
        <v>2026</v>
      </c>
      <c r="B16" s="455">
        <f t="shared" si="2"/>
        <v>4914</v>
      </c>
      <c r="C16" s="456">
        <v>17157</v>
      </c>
      <c r="D16" s="451">
        <v>2000</v>
      </c>
      <c r="E16" s="451">
        <v>70</v>
      </c>
      <c r="F16" s="451"/>
      <c r="G16" s="451"/>
      <c r="H16" s="451">
        <v>-13329</v>
      </c>
      <c r="I16" s="451"/>
      <c r="J16" s="480">
        <v>-915</v>
      </c>
      <c r="K16" s="480">
        <f>-ROUND('[17]106前瞻計畫別(法)'!H118/1000,0)</f>
        <v>-69</v>
      </c>
      <c r="L16" s="477">
        <f>'中央105(法)'!B16</f>
        <v>4324</v>
      </c>
      <c r="M16" s="489">
        <f t="shared" si="3"/>
        <v>590</v>
      </c>
      <c r="N16" s="477">
        <f>'中央105(法)'!C16</f>
        <v>17976</v>
      </c>
      <c r="O16" s="451">
        <f t="shared" si="4"/>
        <v>-819</v>
      </c>
      <c r="P16" s="970">
        <f>ROUND('[15]106及107政事別'!$H$5/1000,0)-C16</f>
        <v>0</v>
      </c>
      <c r="Q16" s="970">
        <f>ROUND(VLOOKUP(R16,[16]Sheet1!$B$6:$D$48,3,0)/1000,0)-C16</f>
        <v>0</v>
      </c>
      <c r="R16" s="970" t="s">
        <v>1311</v>
      </c>
    </row>
    <row r="17" spans="1:18" ht="22.9" customHeight="1">
      <c r="A17" s="12" t="s">
        <v>2025</v>
      </c>
      <c r="B17" s="455">
        <f t="shared" si="2"/>
        <v>139839</v>
      </c>
      <c r="C17" s="456">
        <v>139839</v>
      </c>
      <c r="D17" s="451"/>
      <c r="E17" s="451"/>
      <c r="F17" s="451"/>
      <c r="G17" s="451"/>
      <c r="H17" s="451"/>
      <c r="I17" s="451"/>
      <c r="J17" s="480"/>
      <c r="K17" s="480">
        <f>-ROUND('[17]106前瞻計畫別(法)'!H119/1000,0)</f>
        <v>0</v>
      </c>
      <c r="L17" s="477">
        <f>'中央105(法)'!B17</f>
        <v>147210</v>
      </c>
      <c r="M17" s="489">
        <f t="shared" si="3"/>
        <v>-7371</v>
      </c>
      <c r="N17" s="477">
        <f>'中央105(法)'!C17</f>
        <v>147210</v>
      </c>
      <c r="O17" s="451">
        <f t="shared" si="4"/>
        <v>-7371</v>
      </c>
      <c r="P17" s="970">
        <f>ROUND('[15]106及107政事別'!$I$5/1000,0)-C17</f>
        <v>0</v>
      </c>
      <c r="Q17" s="970">
        <f>ROUND(VLOOKUP(R17,[16]Sheet1!$B$6:$D$48,3,0)/1000,0)-C17</f>
        <v>0</v>
      </c>
      <c r="R17" s="970" t="s">
        <v>1312</v>
      </c>
    </row>
    <row r="18" spans="1:18" ht="22.9" customHeight="1">
      <c r="A18" s="12" t="s">
        <v>2024</v>
      </c>
      <c r="B18" s="455">
        <f t="shared" si="2"/>
        <v>112156</v>
      </c>
      <c r="C18" s="456">
        <v>112156</v>
      </c>
      <c r="D18" s="451"/>
      <c r="E18" s="451"/>
      <c r="F18" s="451"/>
      <c r="G18" s="451"/>
      <c r="H18" s="451"/>
      <c r="I18" s="451"/>
      <c r="J18" s="480"/>
      <c r="K18" s="480">
        <f>-ROUND('[17]106前瞻計畫別(法)'!H120/1000,0)</f>
        <v>0</v>
      </c>
      <c r="L18" s="477">
        <f>'中央105(法)'!B18</f>
        <v>123311</v>
      </c>
      <c r="M18" s="489">
        <f t="shared" si="3"/>
        <v>-11155</v>
      </c>
      <c r="N18" s="477">
        <f>'中央105(法)'!C18</f>
        <v>123311</v>
      </c>
      <c r="O18" s="451">
        <f t="shared" si="4"/>
        <v>-11155</v>
      </c>
      <c r="P18" s="970">
        <f>ROUND('[15]106及107政事別'!$J$5/1000,0)-C18</f>
        <v>0</v>
      </c>
      <c r="Q18" s="970">
        <f>ROUND(VLOOKUP(R18,[16]Sheet1!$B$6:$D$48,3,0)/1000,0)-C18</f>
        <v>0</v>
      </c>
      <c r="R18" s="970" t="s">
        <v>1313</v>
      </c>
    </row>
    <row r="19" spans="1:18" ht="23.1" customHeight="1">
      <c r="A19" s="12" t="s">
        <v>2023</v>
      </c>
      <c r="B19" s="455">
        <f t="shared" si="2"/>
        <v>12394</v>
      </c>
      <c r="C19" s="456">
        <v>71805</v>
      </c>
      <c r="D19" s="451"/>
      <c r="E19" s="451"/>
      <c r="F19" s="526">
        <f>-43082+1</f>
        <v>-43081</v>
      </c>
      <c r="G19" s="451"/>
      <c r="H19" s="451">
        <v>-16330</v>
      </c>
      <c r="I19" s="451"/>
      <c r="J19" s="480"/>
      <c r="K19" s="480"/>
      <c r="L19" s="477">
        <f>'中央105(法)'!B19</f>
        <v>12878</v>
      </c>
      <c r="M19" s="489">
        <f t="shared" si="3"/>
        <v>-484</v>
      </c>
      <c r="N19" s="477">
        <f>'中央105(法)'!C19</f>
        <v>74865</v>
      </c>
      <c r="O19" s="451">
        <f t="shared" si="4"/>
        <v>-3060</v>
      </c>
      <c r="P19" s="970">
        <f>ROUND('[15]106及107政事別'!$K$5/1000,0)-C19</f>
        <v>0</v>
      </c>
      <c r="Q19" s="970">
        <f>ROUND(VLOOKUP(R19,[16]Sheet1!$B$6:$D$48,3,0)/1000,0)-C19</f>
        <v>0</v>
      </c>
      <c r="R19" s="970" t="s">
        <v>1314</v>
      </c>
    </row>
    <row r="20" spans="1:18" ht="22.9" customHeight="1">
      <c r="A20" s="460" t="s">
        <v>2022</v>
      </c>
      <c r="B20" s="458">
        <f t="shared" ref="B20:O20" si="5">B4-B10</f>
        <v>166435</v>
      </c>
      <c r="C20" s="458">
        <f t="shared" si="5"/>
        <v>-132545</v>
      </c>
      <c r="D20" s="458">
        <f t="shared" si="5"/>
        <v>0</v>
      </c>
      <c r="E20" s="458">
        <f t="shared" si="5"/>
        <v>-16079</v>
      </c>
      <c r="F20" s="458">
        <f t="shared" si="5"/>
        <v>162261</v>
      </c>
      <c r="G20" s="458">
        <f t="shared" si="5"/>
        <v>0</v>
      </c>
      <c r="H20" s="458">
        <f t="shared" si="5"/>
        <v>143468</v>
      </c>
      <c r="I20" s="458">
        <f t="shared" si="5"/>
        <v>0</v>
      </c>
      <c r="J20" s="479">
        <f t="shared" si="5"/>
        <v>4949</v>
      </c>
      <c r="K20" s="479">
        <f t="shared" si="5"/>
        <v>4381</v>
      </c>
      <c r="L20" s="476">
        <f t="shared" si="5"/>
        <v>142009.54200000013</v>
      </c>
      <c r="M20" s="488">
        <f t="shared" si="5"/>
        <v>24425.458000000006</v>
      </c>
      <c r="N20" s="476">
        <f t="shared" si="5"/>
        <v>-153488.45799999987</v>
      </c>
      <c r="O20" s="458">
        <f t="shared" si="5"/>
        <v>20943.458000000006</v>
      </c>
    </row>
    <row r="21" spans="1:18" ht="36" customHeight="1">
      <c r="B21" s="493"/>
      <c r="C21" s="528">
        <f>SUM(P4:P19)</f>
        <v>1</v>
      </c>
      <c r="D21" s="493"/>
      <c r="E21" s="523"/>
      <c r="F21" s="493"/>
      <c r="G21" s="493"/>
      <c r="H21" s="493"/>
      <c r="I21" s="493"/>
      <c r="J21" s="493"/>
      <c r="K21" s="524">
        <f>K20-ROUND('[17]106前瞻計畫別(法)'!$H$5/1000,0)</f>
        <v>0</v>
      </c>
    </row>
    <row r="22" spans="1:18" ht="22.9" customHeight="1">
      <c r="B22" s="970"/>
      <c r="C22" s="970"/>
      <c r="D22" s="970"/>
      <c r="E22" s="970"/>
      <c r="F22" s="970">
        <f>F20+'直轄市106(法)'!E20+'縣市106(法)'!E20</f>
        <v>0</v>
      </c>
      <c r="G22" s="970"/>
      <c r="H22" s="970">
        <f>H20+'直轄市106(法)'!H20+'縣市106(法)'!H20</f>
        <v>0</v>
      </c>
      <c r="I22" s="970"/>
      <c r="J22" s="970">
        <f>J20+'直轄市106(法)'!I20+'縣市106(法)'!I20</f>
        <v>0</v>
      </c>
      <c r="K22" s="970">
        <f>K20+'直轄市106(法)'!J20+'縣市106(法)'!J20</f>
        <v>0</v>
      </c>
    </row>
    <row r="23" spans="1:18" s="465" customFormat="1" ht="22.9" customHeight="1">
      <c r="B23" s="557"/>
      <c r="C23" s="465" t="s">
        <v>2021</v>
      </c>
      <c r="D23" s="464" t="s">
        <v>2021</v>
      </c>
      <c r="E23" s="464" t="s">
        <v>2021</v>
      </c>
      <c r="F23" s="558" t="s">
        <v>2021</v>
      </c>
      <c r="G23" s="559"/>
      <c r="H23" s="464" t="s">
        <v>2021</v>
      </c>
      <c r="I23" s="560" t="s">
        <v>2021</v>
      </c>
      <c r="J23" s="464" t="s">
        <v>2021</v>
      </c>
      <c r="K23" s="464" t="s">
        <v>2021</v>
      </c>
      <c r="Q23" s="972"/>
      <c r="R23" s="972"/>
    </row>
    <row r="24" spans="1:18" ht="22.9" customHeight="1">
      <c r="B24" s="97"/>
      <c r="C24" s="4"/>
      <c r="F24" s="128"/>
      <c r="G24" s="181"/>
      <c r="I24" s="182"/>
    </row>
    <row r="25" spans="1:18" ht="22.9" customHeight="1">
      <c r="B25" s="97"/>
      <c r="C25" s="4"/>
      <c r="F25" s="128"/>
      <c r="G25" s="181"/>
      <c r="I25" s="182"/>
    </row>
    <row r="26" spans="1:18" ht="22.9" customHeight="1">
      <c r="B26" s="97"/>
      <c r="C26" s="4"/>
      <c r="F26" s="128"/>
      <c r="G26" s="181"/>
      <c r="I26" s="182"/>
    </row>
    <row r="27" spans="1:18" ht="22.9" customHeight="1">
      <c r="B27" s="97"/>
      <c r="I27" s="182"/>
    </row>
    <row r="28" spans="1:18" ht="22.9" customHeight="1">
      <c r="B28" s="97"/>
      <c r="I28" s="182"/>
    </row>
    <row r="29" spans="1:18" ht="22.9" customHeight="1">
      <c r="B29" s="97"/>
      <c r="I29" s="182"/>
    </row>
    <row r="30" spans="1:18" ht="22.9" customHeight="1">
      <c r="B30" s="97"/>
      <c r="I30" s="182"/>
    </row>
    <row r="31" spans="1:18" ht="22.9" customHeight="1"/>
    <row r="32" spans="1:18" ht="22.9" customHeight="1">
      <c r="B32" s="97"/>
      <c r="C32" s="4"/>
      <c r="F32" s="128"/>
      <c r="G32" s="181"/>
      <c r="I32" s="182"/>
    </row>
    <row r="33" spans="2:9" ht="22.9" customHeight="1">
      <c r="B33" s="97"/>
      <c r="C33" s="4"/>
      <c r="F33" s="128"/>
      <c r="G33" s="181"/>
      <c r="I33" s="182"/>
    </row>
    <row r="34" spans="2:9" ht="22.9" customHeight="1">
      <c r="B34" s="97"/>
      <c r="C34" s="4"/>
      <c r="F34" s="128"/>
      <c r="G34" s="181"/>
      <c r="I34" s="182"/>
    </row>
    <row r="35" spans="2:9" ht="22.9" customHeight="1">
      <c r="B35" s="97"/>
      <c r="C35" s="4"/>
      <c r="F35" s="128"/>
      <c r="G35" s="181"/>
      <c r="I35" s="182"/>
    </row>
    <row r="36" spans="2:9" ht="22.9" customHeight="1">
      <c r="B36" s="97"/>
      <c r="C36" s="4"/>
      <c r="F36" s="128"/>
      <c r="G36" s="181"/>
      <c r="I36" s="182"/>
    </row>
    <row r="37" spans="2:9" ht="22.9" customHeight="1">
      <c r="B37" s="97"/>
      <c r="I37" s="182"/>
    </row>
    <row r="38" spans="2:9" ht="22.9" customHeight="1">
      <c r="B38" s="97"/>
      <c r="I38" s="182"/>
    </row>
    <row r="39" spans="2:9" ht="22.9" customHeight="1">
      <c r="B39" s="97"/>
      <c r="I39" s="182"/>
    </row>
    <row r="40" spans="2:9" ht="22.9" customHeight="1">
      <c r="B40" s="97"/>
      <c r="I40" s="182"/>
    </row>
    <row r="41" spans="2:9" ht="22.9" customHeight="1"/>
    <row r="42" spans="2:9" ht="22.9" customHeight="1"/>
    <row r="43" spans="2:9" ht="22.9" customHeight="1"/>
    <row r="44" spans="2:9" ht="22.9" customHeight="1"/>
    <row r="45" spans="2:9" ht="22.9" customHeight="1"/>
    <row r="46" spans="2:9" ht="22.9" customHeight="1"/>
    <row r="47" spans="2:9" ht="22.9" customHeight="1"/>
    <row r="48" spans="2:9" ht="22.9" customHeight="1"/>
    <row r="49" ht="22.9" customHeight="1"/>
    <row r="50" ht="22.9" customHeight="1"/>
    <row r="51" ht="22.9" customHeight="1"/>
    <row r="52" ht="22.9" customHeight="1"/>
    <row r="53" ht="22.9" customHeight="1"/>
    <row r="54" ht="22.9" customHeight="1"/>
    <row r="55" ht="22.9" customHeight="1"/>
    <row r="56" ht="22.9" customHeight="1"/>
    <row r="57" ht="22.9" customHeight="1"/>
  </sheetData>
  <mergeCells count="1">
    <mergeCell ref="A1:G1"/>
  </mergeCells>
  <phoneticPr fontId="3" type="noConversion"/>
  <printOptions horizontalCentered="1"/>
  <pageMargins left="0.39370078740157483" right="0.39370078740157483" top="0.39370078740157483" bottom="0.39370078740157483" header="0.43307086614173229" footer="0.19685039370078741"/>
  <pageSetup paperSize="9" scale="80" orientation="landscape" blackAndWhite="1" r:id="rId1"/>
  <headerFooter alignWithMargins="0">
    <oddHeader>&amp;C&amp;A</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O34"/>
  <sheetViews>
    <sheetView view="pageBreakPreview" zoomScaleNormal="85" zoomScaleSheetLayoutView="100" workbookViewId="0">
      <selection activeCell="I132" sqref="I132"/>
    </sheetView>
  </sheetViews>
  <sheetFormatPr defaultColWidth="9.75" defaultRowHeight="32.1" customHeight="1"/>
  <cols>
    <col min="1" max="1" width="30.375" style="4" customWidth="1"/>
    <col min="2" max="2" width="12.25" style="4" customWidth="1"/>
    <col min="3" max="3" width="14.375" style="45" customWidth="1"/>
    <col min="4" max="4" width="12.5" style="45" customWidth="1"/>
    <col min="5" max="5" width="12.25" style="45" customWidth="1"/>
    <col min="6" max="6" width="6.125" style="45" hidden="1" customWidth="1"/>
    <col min="7" max="7" width="10.625" style="44" hidden="1" customWidth="1"/>
    <col min="8" max="8" width="9.375" style="44" customWidth="1"/>
    <col min="9" max="10" width="13.375" style="44" customWidth="1"/>
    <col min="11" max="11" width="13" style="4" customWidth="1"/>
    <col min="12" max="12" width="12.25" style="4" customWidth="1"/>
    <col min="13" max="13" width="13.125" style="4" customWidth="1"/>
    <col min="14" max="14" width="11.875" style="4" customWidth="1"/>
    <col min="15" max="15" width="13.125" style="4" customWidth="1"/>
    <col min="16" max="16384" width="9.75" style="4"/>
  </cols>
  <sheetData>
    <row r="1" spans="1:15" ht="32.1" customHeight="1">
      <c r="A1" s="1052" t="s">
        <v>1160</v>
      </c>
      <c r="B1" s="1052"/>
      <c r="C1" s="1052"/>
      <c r="D1" s="1052"/>
      <c r="E1" s="1052"/>
      <c r="F1" s="1052"/>
      <c r="I1" s="454"/>
      <c r="J1" s="454" t="s">
        <v>14</v>
      </c>
      <c r="K1" s="462" t="s">
        <v>1077</v>
      </c>
      <c r="L1" s="462"/>
    </row>
    <row r="2" spans="1:15" ht="16.5">
      <c r="A2" s="465"/>
      <c r="B2" s="465"/>
      <c r="C2" s="466"/>
      <c r="D2" s="464"/>
      <c r="E2" s="466"/>
      <c r="F2" s="467"/>
      <c r="G2" s="464"/>
      <c r="H2" s="466"/>
      <c r="I2" s="466"/>
      <c r="J2" s="466"/>
    </row>
    <row r="3" spans="1:15" ht="57.95" customHeight="1">
      <c r="A3" s="7" t="s">
        <v>12</v>
      </c>
      <c r="B3" s="49" t="s">
        <v>21</v>
      </c>
      <c r="C3" s="49" t="s">
        <v>1089</v>
      </c>
      <c r="D3" s="469" t="s">
        <v>1088</v>
      </c>
      <c r="E3" s="193" t="s">
        <v>1084</v>
      </c>
      <c r="F3" s="193" t="s">
        <v>1085</v>
      </c>
      <c r="G3" s="193" t="s">
        <v>1086</v>
      </c>
      <c r="H3" s="193" t="s">
        <v>1087</v>
      </c>
      <c r="I3" s="478" t="s">
        <v>1083</v>
      </c>
      <c r="J3" s="522" t="s">
        <v>1289</v>
      </c>
      <c r="K3" s="475" t="s">
        <v>1091</v>
      </c>
      <c r="L3" s="487" t="s">
        <v>1090</v>
      </c>
      <c r="M3" s="475" t="s">
        <v>1092</v>
      </c>
      <c r="N3" s="193" t="s">
        <v>1090</v>
      </c>
      <c r="O3" s="475" t="s">
        <v>1125</v>
      </c>
    </row>
    <row r="4" spans="1:15" s="485" customFormat="1" ht="23.1" customHeight="1">
      <c r="A4" s="457" t="s">
        <v>25</v>
      </c>
      <c r="B4" s="458">
        <f>SUM(B5:B9)</f>
        <v>558347</v>
      </c>
      <c r="C4" s="458">
        <f t="shared" ref="C4:O4" si="0">SUM(C5:C9)</f>
        <v>711705</v>
      </c>
      <c r="D4" s="483">
        <f t="shared" si="0"/>
        <v>1997</v>
      </c>
      <c r="E4" s="458">
        <f t="shared" si="0"/>
        <v>-59576</v>
      </c>
      <c r="F4" s="458">
        <f t="shared" si="0"/>
        <v>0</v>
      </c>
      <c r="G4" s="458">
        <f t="shared" si="0"/>
        <v>0</v>
      </c>
      <c r="H4" s="458">
        <f t="shared" si="0"/>
        <v>-91821</v>
      </c>
      <c r="I4" s="479">
        <f>SUM(I5:I9)</f>
        <v>-1961</v>
      </c>
      <c r="J4" s="479">
        <f t="shared" si="0"/>
        <v>-1997</v>
      </c>
      <c r="K4" s="476">
        <f t="shared" si="0"/>
        <v>540202.82999999996</v>
      </c>
      <c r="L4" s="488">
        <f t="shared" si="0"/>
        <v>18144.170000000016</v>
      </c>
      <c r="M4" s="476">
        <f t="shared" si="0"/>
        <v>690913.83</v>
      </c>
      <c r="N4" s="458">
        <f t="shared" si="0"/>
        <v>20791.170000000016</v>
      </c>
      <c r="O4" s="476">
        <f t="shared" si="0"/>
        <v>713702</v>
      </c>
    </row>
    <row r="5" spans="1:15" ht="23.1" customHeight="1">
      <c r="A5" s="10" t="s">
        <v>26</v>
      </c>
      <c r="B5" s="455">
        <f>SUM(C5:J5)</f>
        <v>451745</v>
      </c>
      <c r="C5" s="473">
        <f>ROUND('[18]總 (直轄市+山地原住民區)'!S7/1000,0)</f>
        <v>451745</v>
      </c>
      <c r="D5" s="470"/>
      <c r="E5" s="456"/>
      <c r="F5" s="456"/>
      <c r="G5" s="456"/>
      <c r="H5" s="456"/>
      <c r="I5" s="490"/>
      <c r="J5" s="490"/>
      <c r="K5" s="477">
        <f>'直轄市105(法)'!B5</f>
        <v>436560.98</v>
      </c>
      <c r="L5" s="489">
        <f>B5-K5</f>
        <v>15184.020000000019</v>
      </c>
      <c r="M5" s="477">
        <f>'直轄市105(法)'!C5</f>
        <v>436560.98</v>
      </c>
      <c r="N5" s="451">
        <f>C5-M5</f>
        <v>15184.020000000019</v>
      </c>
      <c r="O5" s="477">
        <f>C5+D5</f>
        <v>451745</v>
      </c>
    </row>
    <row r="6" spans="1:15" ht="23.1" customHeight="1">
      <c r="A6" s="9" t="s">
        <v>27</v>
      </c>
      <c r="B6" s="455">
        <f>SUM(C6:J6)</f>
        <v>23287</v>
      </c>
      <c r="C6" s="473">
        <f>ROUND('[18]總 (直轄市+山地原住民區)'!S8/1000,0)</f>
        <v>23287</v>
      </c>
      <c r="D6" s="470"/>
      <c r="E6" s="456"/>
      <c r="F6" s="456"/>
      <c r="G6" s="456"/>
      <c r="H6" s="456"/>
      <c r="I6" s="490"/>
      <c r="J6" s="490"/>
      <c r="K6" s="477">
        <f>'直轄市105(法)'!B6</f>
        <v>21957.458999999999</v>
      </c>
      <c r="L6" s="489">
        <f>B6-K6</f>
        <v>1329.5410000000011</v>
      </c>
      <c r="M6" s="477">
        <f>'直轄市105(法)'!C6</f>
        <v>21957.458999999999</v>
      </c>
      <c r="N6" s="451">
        <f>C6-M6</f>
        <v>1329.5410000000011</v>
      </c>
      <c r="O6" s="477">
        <f>C6+D6</f>
        <v>23287</v>
      </c>
    </row>
    <row r="7" spans="1:15" ht="23.1" customHeight="1">
      <c r="A7" s="10" t="s">
        <v>15</v>
      </c>
      <c r="B7" s="455">
        <f>SUM(C7:J7)</f>
        <v>41611</v>
      </c>
      <c r="C7" s="473">
        <f>ROUND('[18]總 (直轄市+山地原住民區)'!S9/1000,0)</f>
        <v>41611</v>
      </c>
      <c r="D7" s="470"/>
      <c r="E7" s="456"/>
      <c r="F7" s="456"/>
      <c r="G7" s="456"/>
      <c r="H7" s="456"/>
      <c r="I7" s="490"/>
      <c r="J7" s="490"/>
      <c r="K7" s="477">
        <f>'直轄市105(法)'!B7</f>
        <v>41606.436000000002</v>
      </c>
      <c r="L7" s="489">
        <f>B7-K7</f>
        <v>4.5639999999984866</v>
      </c>
      <c r="M7" s="477">
        <f>'直轄市105(法)'!C7</f>
        <v>41606.436000000002</v>
      </c>
      <c r="N7" s="451">
        <f>C7-M7</f>
        <v>4.5639999999984866</v>
      </c>
      <c r="O7" s="477">
        <f>C7+D7</f>
        <v>41611</v>
      </c>
    </row>
    <row r="8" spans="1:15" ht="23.1" customHeight="1">
      <c r="A8" s="10" t="s">
        <v>18</v>
      </c>
      <c r="B8" s="455">
        <f>SUM(C8:J8)</f>
        <v>15512</v>
      </c>
      <c r="C8" s="473">
        <f>ROUND('[18]總 (直轄市+山地原住民區)'!S10/1000,0)</f>
        <v>15512</v>
      </c>
      <c r="D8" s="470"/>
      <c r="E8" s="456"/>
      <c r="F8" s="456"/>
      <c r="G8" s="456"/>
      <c r="H8" s="456"/>
      <c r="I8" s="490"/>
      <c r="J8" s="490"/>
      <c r="K8" s="477">
        <f>'直轄市105(法)'!B8</f>
        <v>24566.148000000001</v>
      </c>
      <c r="L8" s="489">
        <f>B8-K8</f>
        <v>-9054.148000000001</v>
      </c>
      <c r="M8" s="477">
        <f>'直轄市105(法)'!C8</f>
        <v>24566.148000000001</v>
      </c>
      <c r="N8" s="451">
        <f>C8-M8</f>
        <v>-9054.148000000001</v>
      </c>
      <c r="O8" s="477">
        <f>C8+D8</f>
        <v>15512</v>
      </c>
    </row>
    <row r="9" spans="1:15" ht="23.1" customHeight="1">
      <c r="A9" s="9" t="s">
        <v>16</v>
      </c>
      <c r="B9" s="455">
        <f>SUM(C9:J9)</f>
        <v>26192</v>
      </c>
      <c r="C9" s="473">
        <f>ROUND(('[18]總 (直轄市+山地原住民區)'!S11+'[18]總 (直轄市+山地原住民區)'!S14)/1000,0)</f>
        <v>179550</v>
      </c>
      <c r="D9" s="470">
        <f>D10</f>
        <v>1997</v>
      </c>
      <c r="E9" s="456">
        <v>-59576</v>
      </c>
      <c r="F9" s="456"/>
      <c r="G9" s="456"/>
      <c r="H9" s="456">
        <v>-91821</v>
      </c>
      <c r="I9" s="490">
        <v>-1961</v>
      </c>
      <c r="J9" s="490">
        <f>-ROUND('[17]106前瞻計畫別(法)'!K5/1000,0)</f>
        <v>-1997</v>
      </c>
      <c r="K9" s="477">
        <f>'直轄市105(法)'!B9</f>
        <v>15511.807000000001</v>
      </c>
      <c r="L9" s="489">
        <f>B9-K9</f>
        <v>10680.192999999999</v>
      </c>
      <c r="M9" s="477">
        <f>'直轄市105(法)'!C9</f>
        <v>166222.807</v>
      </c>
      <c r="N9" s="451">
        <f>C9-M9</f>
        <v>13327.192999999999</v>
      </c>
      <c r="O9" s="477">
        <f>C9+D9</f>
        <v>181547</v>
      </c>
    </row>
    <row r="10" spans="1:15" s="485" customFormat="1" ht="23.1" customHeight="1">
      <c r="A10" s="457" t="s">
        <v>19</v>
      </c>
      <c r="B10" s="458">
        <f>SUM(B11:B19)</f>
        <v>784517</v>
      </c>
      <c r="C10" s="458">
        <f>SUM(C11:C19)</f>
        <v>782520</v>
      </c>
      <c r="D10" s="483">
        <f t="shared" ref="D10:O10" si="1">SUM(D11:D19)</f>
        <v>1997</v>
      </c>
      <c r="E10" s="458">
        <f t="shared" si="1"/>
        <v>0</v>
      </c>
      <c r="F10" s="458">
        <f t="shared" si="1"/>
        <v>0</v>
      </c>
      <c r="G10" s="458">
        <f t="shared" si="1"/>
        <v>0</v>
      </c>
      <c r="H10" s="458">
        <f t="shared" si="1"/>
        <v>0</v>
      </c>
      <c r="I10" s="479">
        <f>SUM(I11:I19)</f>
        <v>0</v>
      </c>
      <c r="J10" s="479">
        <f t="shared" si="1"/>
        <v>0</v>
      </c>
      <c r="K10" s="476">
        <f t="shared" si="1"/>
        <v>758543.48300000001</v>
      </c>
      <c r="L10" s="488">
        <f t="shared" si="1"/>
        <v>25973.516999999985</v>
      </c>
      <c r="M10" s="476">
        <f t="shared" si="1"/>
        <v>758543.48300000001</v>
      </c>
      <c r="N10" s="458">
        <f t="shared" si="1"/>
        <v>23976.516999999985</v>
      </c>
      <c r="O10" s="476">
        <f t="shared" si="1"/>
        <v>784517</v>
      </c>
    </row>
    <row r="11" spans="1:15" ht="23.1" customHeight="1">
      <c r="A11" s="11" t="s">
        <v>28</v>
      </c>
      <c r="B11" s="455">
        <f>SUM(C11:J11)</f>
        <v>136142</v>
      </c>
      <c r="C11" s="473">
        <f>ROUND(('[18]總 (直轄市+山地原住民區)'!S16+'[18]總 (直轄市+山地原住民區)'!S22)/1000,0)</f>
        <v>136033</v>
      </c>
      <c r="D11" s="470">
        <v>109</v>
      </c>
      <c r="E11" s="456"/>
      <c r="F11" s="456"/>
      <c r="G11" s="456"/>
      <c r="H11" s="456"/>
      <c r="I11" s="490"/>
      <c r="J11" s="490"/>
      <c r="K11" s="477">
        <f>'直轄市105(法)'!B11</f>
        <v>136574.046</v>
      </c>
      <c r="L11" s="489">
        <f t="shared" ref="L11:L19" si="2">B11-K11</f>
        <v>-432.0460000000021</v>
      </c>
      <c r="M11" s="477">
        <f>'直轄市105(法)'!C11</f>
        <v>136574.046</v>
      </c>
      <c r="N11" s="451">
        <f t="shared" ref="N11:N19" si="3">C11-M11</f>
        <v>-541.0460000000021</v>
      </c>
      <c r="O11" s="477">
        <f t="shared" ref="O11:O19" si="4">C11+D11</f>
        <v>136142</v>
      </c>
    </row>
    <row r="12" spans="1:15" ht="23.1" customHeight="1">
      <c r="A12" s="12" t="s">
        <v>22</v>
      </c>
      <c r="B12" s="455">
        <f t="shared" ref="B12:B19" si="5">SUM(C12:J12)</f>
        <v>0</v>
      </c>
      <c r="C12" s="473"/>
      <c r="D12" s="470"/>
      <c r="E12" s="456"/>
      <c r="F12" s="456"/>
      <c r="G12" s="456"/>
      <c r="H12" s="456"/>
      <c r="I12" s="490"/>
      <c r="J12" s="490"/>
      <c r="K12" s="477">
        <f>'直轄市105(法)'!B12</f>
        <v>0</v>
      </c>
      <c r="L12" s="489">
        <f t="shared" si="2"/>
        <v>0</v>
      </c>
      <c r="M12" s="477">
        <f>'直轄市105(法)'!C12</f>
        <v>0</v>
      </c>
      <c r="N12" s="451">
        <f t="shared" si="3"/>
        <v>0</v>
      </c>
      <c r="O12" s="477">
        <f t="shared" si="4"/>
        <v>0</v>
      </c>
    </row>
    <row r="13" spans="1:15" ht="23.1" customHeight="1">
      <c r="A13" s="12" t="s">
        <v>29</v>
      </c>
      <c r="B13" s="455">
        <f t="shared" si="5"/>
        <v>284384</v>
      </c>
      <c r="C13" s="473">
        <f>ROUND('[18]總 (直轄市+山地原住民區)'!S17/1000,0)</f>
        <v>283783</v>
      </c>
      <c r="D13" s="470">
        <v>601</v>
      </c>
      <c r="E13" s="456"/>
      <c r="F13" s="456"/>
      <c r="G13" s="456"/>
      <c r="H13" s="456"/>
      <c r="I13" s="490"/>
      <c r="J13" s="490"/>
      <c r="K13" s="477">
        <f>'直轄市105(法)'!B13</f>
        <v>273310.66200000001</v>
      </c>
      <c r="L13" s="489">
        <f t="shared" si="2"/>
        <v>11073.337999999989</v>
      </c>
      <c r="M13" s="477">
        <f>'直轄市105(法)'!C13</f>
        <v>273310.66200000001</v>
      </c>
      <c r="N13" s="451">
        <f t="shared" si="3"/>
        <v>10472.337999999989</v>
      </c>
      <c r="O13" s="477">
        <f t="shared" si="4"/>
        <v>284384</v>
      </c>
    </row>
    <row r="14" spans="1:15" ht="23.1" customHeight="1">
      <c r="A14" s="12" t="s">
        <v>23</v>
      </c>
      <c r="B14" s="455">
        <f t="shared" si="5"/>
        <v>142457</v>
      </c>
      <c r="C14" s="473">
        <f>ROUND('[18]總 (直轄市+山地原住民區)'!S18/1000,0)</f>
        <v>141459</v>
      </c>
      <c r="D14" s="470">
        <v>998</v>
      </c>
      <c r="E14" s="456"/>
      <c r="F14" s="456"/>
      <c r="G14" s="456"/>
      <c r="H14" s="456"/>
      <c r="I14" s="490"/>
      <c r="J14" s="490"/>
      <c r="K14" s="477">
        <f>'直轄市105(法)'!B14</f>
        <v>140011.802</v>
      </c>
      <c r="L14" s="489">
        <f t="shared" si="2"/>
        <v>2445.198000000004</v>
      </c>
      <c r="M14" s="477">
        <f>'直轄市105(法)'!C14</f>
        <v>140011.802</v>
      </c>
      <c r="N14" s="451">
        <f t="shared" si="3"/>
        <v>1447.198000000004</v>
      </c>
      <c r="O14" s="477">
        <f t="shared" si="4"/>
        <v>142457</v>
      </c>
    </row>
    <row r="15" spans="1:15" ht="23.1" customHeight="1">
      <c r="A15" s="12" t="s">
        <v>24</v>
      </c>
      <c r="B15" s="455">
        <f t="shared" si="5"/>
        <v>119288</v>
      </c>
      <c r="C15" s="473">
        <f>ROUND('[18]總 (直轄市+山地原住民區)'!S19/1000,0)</f>
        <v>119044</v>
      </c>
      <c r="D15" s="470">
        <v>244</v>
      </c>
      <c r="E15" s="456"/>
      <c r="F15" s="456"/>
      <c r="G15" s="456"/>
      <c r="H15" s="456"/>
      <c r="I15" s="490"/>
      <c r="J15" s="490"/>
      <c r="K15" s="477">
        <f>'直轄市105(法)'!B15</f>
        <v>107863.588</v>
      </c>
      <c r="L15" s="489">
        <f t="shared" si="2"/>
        <v>11424.411999999997</v>
      </c>
      <c r="M15" s="477">
        <f>'直轄市105(法)'!C15</f>
        <v>107863.588</v>
      </c>
      <c r="N15" s="451">
        <f t="shared" si="3"/>
        <v>11180.411999999997</v>
      </c>
      <c r="O15" s="477">
        <f t="shared" si="4"/>
        <v>119288</v>
      </c>
    </row>
    <row r="16" spans="1:15" ht="23.1" customHeight="1">
      <c r="A16" s="12" t="s">
        <v>30</v>
      </c>
      <c r="B16" s="455">
        <f t="shared" si="5"/>
        <v>57053</v>
      </c>
      <c r="C16" s="473">
        <f>ROUND('[18]總 (直轄市+山地原住民區)'!S20/1000,0)</f>
        <v>57008</v>
      </c>
      <c r="D16" s="470">
        <v>45</v>
      </c>
      <c r="E16" s="456"/>
      <c r="F16" s="456"/>
      <c r="G16" s="456"/>
      <c r="H16" s="456"/>
      <c r="I16" s="490"/>
      <c r="J16" s="490"/>
      <c r="K16" s="477">
        <f>'直轄市105(法)'!B16</f>
        <v>56027.298000000003</v>
      </c>
      <c r="L16" s="489">
        <f t="shared" si="2"/>
        <v>1025.7019999999975</v>
      </c>
      <c r="M16" s="477">
        <f>'直轄市105(法)'!C16</f>
        <v>56027.298000000003</v>
      </c>
      <c r="N16" s="451">
        <f t="shared" si="3"/>
        <v>980.7019999999975</v>
      </c>
      <c r="O16" s="477">
        <f t="shared" si="4"/>
        <v>57053</v>
      </c>
    </row>
    <row r="17" spans="1:15" ht="23.1" customHeight="1">
      <c r="A17" s="12" t="s">
        <v>31</v>
      </c>
      <c r="B17" s="455">
        <f t="shared" si="5"/>
        <v>23332</v>
      </c>
      <c r="C17" s="473">
        <f>ROUND('[18]總 (直轄市+山地原住民區)'!S21/1000,0)</f>
        <v>23332</v>
      </c>
      <c r="D17" s="470"/>
      <c r="E17" s="456"/>
      <c r="F17" s="456"/>
      <c r="G17" s="456"/>
      <c r="H17" s="456"/>
      <c r="I17" s="490"/>
      <c r="J17" s="490"/>
      <c r="K17" s="477">
        <f>'直轄市105(法)'!B17</f>
        <v>22556.816999999999</v>
      </c>
      <c r="L17" s="489">
        <f t="shared" si="2"/>
        <v>775.1830000000009</v>
      </c>
      <c r="M17" s="477">
        <f>'直轄市105(法)'!C17</f>
        <v>22556.816999999999</v>
      </c>
      <c r="N17" s="451">
        <f t="shared" si="3"/>
        <v>775.1830000000009</v>
      </c>
      <c r="O17" s="477">
        <f t="shared" si="4"/>
        <v>23332</v>
      </c>
    </row>
    <row r="18" spans="1:15" ht="23.1" customHeight="1">
      <c r="A18" s="12" t="s">
        <v>20</v>
      </c>
      <c r="B18" s="455">
        <f t="shared" si="5"/>
        <v>6168</v>
      </c>
      <c r="C18" s="473">
        <f>ROUND('[18]總 (直轄市+山地原住民區)'!S23/1000,0)</f>
        <v>6168</v>
      </c>
      <c r="D18" s="470"/>
      <c r="E18" s="456"/>
      <c r="F18" s="456"/>
      <c r="G18" s="456"/>
      <c r="H18" s="456"/>
      <c r="I18" s="490"/>
      <c r="J18" s="490"/>
      <c r="K18" s="477">
        <f>'直轄市105(法)'!B18</f>
        <v>7680</v>
      </c>
      <c r="L18" s="489">
        <f t="shared" si="2"/>
        <v>-1512</v>
      </c>
      <c r="M18" s="477">
        <f>'直轄市105(法)'!C18</f>
        <v>7680</v>
      </c>
      <c r="N18" s="451">
        <f t="shared" si="3"/>
        <v>-1512</v>
      </c>
      <c r="O18" s="477">
        <f t="shared" si="4"/>
        <v>6168</v>
      </c>
    </row>
    <row r="19" spans="1:15" ht="23.1" customHeight="1">
      <c r="A19" s="12" t="s">
        <v>1658</v>
      </c>
      <c r="B19" s="455">
        <f t="shared" si="5"/>
        <v>15693</v>
      </c>
      <c r="C19" s="473">
        <f>ROUND(('[18]總 (直轄市+山地原住民區)'!S24)/1000,0)</f>
        <v>15693</v>
      </c>
      <c r="D19" s="471"/>
      <c r="E19" s="456"/>
      <c r="F19" s="456"/>
      <c r="G19" s="456"/>
      <c r="H19" s="456"/>
      <c r="I19" s="490"/>
      <c r="J19" s="490"/>
      <c r="K19" s="477">
        <f>'直轄市105(法)'!B19</f>
        <v>14519.27</v>
      </c>
      <c r="L19" s="489">
        <f t="shared" si="2"/>
        <v>1173.7299999999996</v>
      </c>
      <c r="M19" s="477">
        <f>'直轄市105(法)'!C19</f>
        <v>14519.27</v>
      </c>
      <c r="N19" s="451">
        <f t="shared" si="3"/>
        <v>1173.7299999999996</v>
      </c>
      <c r="O19" s="477">
        <f t="shared" si="4"/>
        <v>15693</v>
      </c>
    </row>
    <row r="20" spans="1:15" s="485" customFormat="1" ht="23.1" customHeight="1">
      <c r="A20" s="460" t="s">
        <v>17</v>
      </c>
      <c r="B20" s="458">
        <f>B4-B10</f>
        <v>-226170</v>
      </c>
      <c r="C20" s="458">
        <f>C4-C10</f>
        <v>-70815</v>
      </c>
      <c r="D20" s="458">
        <f t="shared" ref="D20:O20" si="6">D4-D10</f>
        <v>0</v>
      </c>
      <c r="E20" s="458">
        <f t="shared" si="6"/>
        <v>-59576</v>
      </c>
      <c r="F20" s="458">
        <f t="shared" si="6"/>
        <v>0</v>
      </c>
      <c r="G20" s="458">
        <f t="shared" si="6"/>
        <v>0</v>
      </c>
      <c r="H20" s="458">
        <f t="shared" si="6"/>
        <v>-91821</v>
      </c>
      <c r="I20" s="479">
        <f>I4-I10</f>
        <v>-1961</v>
      </c>
      <c r="J20" s="479">
        <f t="shared" si="6"/>
        <v>-1997</v>
      </c>
      <c r="K20" s="476">
        <f t="shared" si="6"/>
        <v>-218340.65300000005</v>
      </c>
      <c r="L20" s="488">
        <f t="shared" si="6"/>
        <v>-7829.3469999999688</v>
      </c>
      <c r="M20" s="476">
        <f t="shared" si="6"/>
        <v>-67629.653000000049</v>
      </c>
      <c r="N20" s="458">
        <f t="shared" si="6"/>
        <v>-3185.3469999999688</v>
      </c>
      <c r="O20" s="476">
        <f t="shared" si="6"/>
        <v>-70815</v>
      </c>
    </row>
    <row r="21" spans="1:15" ht="38.450000000000003" customHeight="1">
      <c r="B21" s="493"/>
      <c r="C21" s="974">
        <f>C20-ROUND('[18]總 (直轄市+山地原住民區)'!$S$28/1000,0)</f>
        <v>0</v>
      </c>
      <c r="D21" s="553"/>
      <c r="E21" s="493"/>
      <c r="F21" s="493"/>
      <c r="G21" s="493"/>
      <c r="H21" s="493"/>
      <c r="I21" s="493"/>
      <c r="J21" s="493"/>
    </row>
    <row r="22" spans="1:15" s="465" customFormat="1" ht="23.1" customHeight="1">
      <c r="C22" s="465" t="s">
        <v>1318</v>
      </c>
      <c r="D22" s="561"/>
      <c r="E22" s="464"/>
      <c r="F22" s="464"/>
      <c r="G22" s="464"/>
      <c r="H22" s="464"/>
      <c r="I22" s="464"/>
      <c r="J22" s="464"/>
      <c r="O22" s="465">
        <f>O20/O10*100</f>
        <v>-9.0265730379328932</v>
      </c>
    </row>
    <row r="23" spans="1:15" ht="23.1" customHeight="1">
      <c r="C23" s="339"/>
    </row>
    <row r="24" spans="1:15" ht="23.1" customHeight="1"/>
    <row r="25" spans="1:15" ht="23.1" customHeight="1"/>
    <row r="26" spans="1:15" ht="23.1" customHeight="1"/>
    <row r="27" spans="1:15" ht="23.1" customHeight="1"/>
    <row r="28" spans="1:15" ht="23.1" customHeight="1"/>
    <row r="29" spans="1:15" ht="23.1" customHeight="1"/>
    <row r="30" spans="1:15" ht="23.1" customHeight="1"/>
    <row r="31" spans="1:15" ht="23.1" customHeight="1"/>
    <row r="32" spans="1:15" ht="23.1" customHeight="1"/>
    <row r="33" ht="23.1" customHeight="1"/>
    <row r="34" ht="23.1" customHeight="1"/>
  </sheetData>
  <mergeCells count="1">
    <mergeCell ref="A1:F1"/>
  </mergeCells>
  <phoneticPr fontId="3" type="noConversion"/>
  <printOptions horizontalCentered="1"/>
  <pageMargins left="0.39370078740157483" right="0.39370078740157483" top="0.39370078740157483" bottom="0.39370078740157483" header="0.43307086614173229" footer="0.19685039370078741"/>
  <pageSetup paperSize="9" scale="76" orientation="landscape" blackAndWhite="1" r:id="rId1"/>
  <headerFooter alignWithMargins="0">
    <oddHeader>&amp;C&amp;A</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O51"/>
  <sheetViews>
    <sheetView view="pageBreakPreview" zoomScaleNormal="75" zoomScaleSheetLayoutView="100" workbookViewId="0">
      <selection activeCell="I132" sqref="I132"/>
    </sheetView>
  </sheetViews>
  <sheetFormatPr defaultColWidth="9.75" defaultRowHeight="32.1" customHeight="1"/>
  <cols>
    <col min="1" max="1" width="30.375" style="4" customWidth="1"/>
    <col min="2" max="2" width="13.5" style="4" customWidth="1"/>
    <col min="3" max="3" width="14.125" style="5" customWidth="1"/>
    <col min="4" max="4" width="12.875" style="5" customWidth="1"/>
    <col min="5" max="5" width="11" style="45" customWidth="1"/>
    <col min="6" max="6" width="9.125" style="44" hidden="1" customWidth="1"/>
    <col min="7" max="7" width="10.375" style="44" hidden="1" customWidth="1"/>
    <col min="8" max="8" width="9.875" style="44" customWidth="1"/>
    <col min="9" max="9" width="12.375" style="44" customWidth="1"/>
    <col min="10" max="10" width="13.125" style="44" customWidth="1"/>
    <col min="11" max="11" width="14.5" style="4" customWidth="1"/>
    <col min="12" max="12" width="14.625" style="4" customWidth="1"/>
    <col min="13" max="13" width="14" style="4" bestFit="1" customWidth="1"/>
    <col min="14" max="14" width="12.875" style="4" customWidth="1"/>
    <col min="15" max="15" width="13.5" style="4" customWidth="1"/>
    <col min="16" max="16384" width="9.75" style="4"/>
  </cols>
  <sheetData>
    <row r="1" spans="1:15" ht="32.1" customHeight="1">
      <c r="A1" s="1052" t="s">
        <v>1159</v>
      </c>
      <c r="B1" s="1052"/>
      <c r="C1" s="1052"/>
      <c r="D1" s="1052"/>
      <c r="E1" s="1052"/>
      <c r="F1" s="1052"/>
      <c r="I1" s="454"/>
      <c r="J1" s="454" t="s">
        <v>14</v>
      </c>
      <c r="K1" s="462" t="s">
        <v>1077</v>
      </c>
    </row>
    <row r="2" spans="1:15" ht="15.75" customHeight="1">
      <c r="C2" s="210"/>
      <c r="D2" s="6"/>
      <c r="E2" s="218"/>
      <c r="F2" s="210"/>
      <c r="G2" s="172"/>
      <c r="I2" s="210"/>
      <c r="J2" s="210"/>
    </row>
    <row r="3" spans="1:15" ht="57" customHeight="1">
      <c r="A3" s="7" t="s">
        <v>12</v>
      </c>
      <c r="B3" s="49" t="s">
        <v>21</v>
      </c>
      <c r="C3" s="49" t="s">
        <v>1089</v>
      </c>
      <c r="D3" s="469" t="s">
        <v>1088</v>
      </c>
      <c r="E3" s="193" t="s">
        <v>1084</v>
      </c>
      <c r="F3" s="193" t="s">
        <v>1085</v>
      </c>
      <c r="G3" s="193" t="s">
        <v>1086</v>
      </c>
      <c r="H3" s="193" t="s">
        <v>1087</v>
      </c>
      <c r="I3" s="478" t="s">
        <v>1083</v>
      </c>
      <c r="J3" s="522" t="s">
        <v>1289</v>
      </c>
      <c r="K3" s="475" t="s">
        <v>1091</v>
      </c>
      <c r="L3" s="487" t="s">
        <v>1090</v>
      </c>
      <c r="M3" s="475" t="s">
        <v>1092</v>
      </c>
      <c r="N3" s="193" t="s">
        <v>1090</v>
      </c>
      <c r="O3" s="475" t="s">
        <v>1125</v>
      </c>
    </row>
    <row r="4" spans="1:15" s="485" customFormat="1" ht="23.1" customHeight="1">
      <c r="A4" s="457" t="s">
        <v>25</v>
      </c>
      <c r="B4" s="458">
        <f>SUM(B5:B9)</f>
        <v>228460</v>
      </c>
      <c r="C4" s="458">
        <f t="shared" ref="C4:O4" si="0">SUM(C5:C9)</f>
        <v>388164</v>
      </c>
      <c r="D4" s="483">
        <f t="shared" si="0"/>
        <v>0</v>
      </c>
      <c r="E4" s="458">
        <f t="shared" si="0"/>
        <v>-102685</v>
      </c>
      <c r="F4" s="458">
        <f t="shared" si="0"/>
        <v>0</v>
      </c>
      <c r="G4" s="458">
        <f t="shared" si="0"/>
        <v>0</v>
      </c>
      <c r="H4" s="458">
        <f t="shared" si="0"/>
        <v>-51647</v>
      </c>
      <c r="I4" s="479">
        <f>SUM(I5:I9)</f>
        <v>-2988</v>
      </c>
      <c r="J4" s="479">
        <f t="shared" si="0"/>
        <v>-2384</v>
      </c>
      <c r="K4" s="476">
        <f t="shared" si="0"/>
        <v>218350.34899999999</v>
      </c>
      <c r="L4" s="488">
        <f t="shared" si="0"/>
        <v>10109.651</v>
      </c>
      <c r="M4" s="476">
        <f t="shared" si="0"/>
        <v>373107.34899999999</v>
      </c>
      <c r="N4" s="458">
        <f t="shared" si="0"/>
        <v>15056.651</v>
      </c>
      <c r="O4" s="476">
        <f t="shared" si="0"/>
        <v>388164</v>
      </c>
    </row>
    <row r="5" spans="1:15" ht="23.1" customHeight="1">
      <c r="A5" s="10" t="s">
        <v>26</v>
      </c>
      <c r="B5" s="455">
        <f>SUM(C5:J5)</f>
        <v>169384</v>
      </c>
      <c r="C5" s="473">
        <f>ROUND('[18]總 (縣市+鄉鎮市)'!S7/1000,0)</f>
        <v>169384</v>
      </c>
      <c r="D5" s="470"/>
      <c r="E5" s="456"/>
      <c r="F5" s="456"/>
      <c r="G5" s="456"/>
      <c r="H5" s="456"/>
      <c r="I5" s="490"/>
      <c r="J5" s="490"/>
      <c r="K5" s="477">
        <f>'縣市105(法)'!B5</f>
        <v>162108.49100000001</v>
      </c>
      <c r="L5" s="489">
        <f>B5-K5</f>
        <v>7275.5089999999909</v>
      </c>
      <c r="M5" s="477">
        <f>'縣市105(法)'!C5</f>
        <v>162108.49100000001</v>
      </c>
      <c r="N5" s="451">
        <f>C5-M5</f>
        <v>7275.5089999999909</v>
      </c>
      <c r="O5" s="477">
        <f>C5+D5</f>
        <v>169384</v>
      </c>
    </row>
    <row r="6" spans="1:15" ht="23.1" customHeight="1">
      <c r="A6" s="9" t="s">
        <v>27</v>
      </c>
      <c r="B6" s="455">
        <f>SUM(C6:J6)</f>
        <v>3523</v>
      </c>
      <c r="C6" s="473">
        <f>ROUND('[18]總 (縣市+鄉鎮市)'!S8/1000,0)</f>
        <v>3523</v>
      </c>
      <c r="D6" s="470"/>
      <c r="E6" s="456"/>
      <c r="F6" s="456"/>
      <c r="G6" s="456"/>
      <c r="H6" s="456"/>
      <c r="I6" s="490"/>
      <c r="J6" s="490"/>
      <c r="K6" s="477">
        <f>'縣市105(法)'!B6</f>
        <v>6529.652</v>
      </c>
      <c r="L6" s="489">
        <f>B6-K6</f>
        <v>-3006.652</v>
      </c>
      <c r="M6" s="477">
        <f>'縣市105(法)'!C6</f>
        <v>6529.652</v>
      </c>
      <c r="N6" s="451">
        <f>C6-M6</f>
        <v>-3006.652</v>
      </c>
      <c r="O6" s="477">
        <f>C6+D6</f>
        <v>3523</v>
      </c>
    </row>
    <row r="7" spans="1:15" ht="23.1" customHeight="1">
      <c r="A7" s="10" t="s">
        <v>15</v>
      </c>
      <c r="B7" s="455">
        <f>SUM(C7:J7)</f>
        <v>10339</v>
      </c>
      <c r="C7" s="473">
        <f>ROUND('[18]總 (縣市+鄉鎮市)'!S9/1000,0)</f>
        <v>10339</v>
      </c>
      <c r="D7" s="470"/>
      <c r="E7" s="456"/>
      <c r="F7" s="456"/>
      <c r="G7" s="456"/>
      <c r="H7" s="456"/>
      <c r="I7" s="490"/>
      <c r="J7" s="490"/>
      <c r="K7" s="477">
        <f>'縣市105(法)'!B7</f>
        <v>10713.799000000001</v>
      </c>
      <c r="L7" s="489">
        <f>B7-K7</f>
        <v>-374.79900000000089</v>
      </c>
      <c r="M7" s="477">
        <f>'縣市105(法)'!C7</f>
        <v>10713.799000000001</v>
      </c>
      <c r="N7" s="451">
        <f>C7-M7</f>
        <v>-374.79900000000089</v>
      </c>
      <c r="O7" s="477">
        <f>C7+D7</f>
        <v>10339</v>
      </c>
    </row>
    <row r="8" spans="1:15" ht="23.1" customHeight="1">
      <c r="A8" s="10" t="s">
        <v>18</v>
      </c>
      <c r="B8" s="455">
        <f>SUM(C8:J8)</f>
        <v>7948</v>
      </c>
      <c r="C8" s="969">
        <f>ROUND('[18]總 (縣市+鄉鎮市)'!S10/1000,0)-1</f>
        <v>7948</v>
      </c>
      <c r="D8" s="470"/>
      <c r="E8" s="456"/>
      <c r="F8" s="456"/>
      <c r="G8" s="456"/>
      <c r="H8" s="456"/>
      <c r="I8" s="490"/>
      <c r="J8" s="490"/>
      <c r="K8" s="477">
        <f>'縣市105(法)'!B8</f>
        <v>9666.7430000000004</v>
      </c>
      <c r="L8" s="489">
        <f>B8-K8</f>
        <v>-1718.7430000000004</v>
      </c>
      <c r="M8" s="477">
        <f>'縣市105(法)'!C8</f>
        <v>9666.7430000000004</v>
      </c>
      <c r="N8" s="451">
        <f>C8-M8</f>
        <v>-1718.7430000000004</v>
      </c>
      <c r="O8" s="477">
        <f>C8+D8</f>
        <v>7948</v>
      </c>
    </row>
    <row r="9" spans="1:15" ht="23.1" customHeight="1">
      <c r="A9" s="9" t="s">
        <v>16</v>
      </c>
      <c r="B9" s="455">
        <f>SUM(C9:J9)</f>
        <v>37266</v>
      </c>
      <c r="C9" s="473">
        <f>ROUND(('[18]總 (縣市+鄉鎮市)'!S11+'[18]總 (縣市+鄉鎮市)'!S14)/1000,0)</f>
        <v>196970</v>
      </c>
      <c r="D9" s="470"/>
      <c r="E9" s="456">
        <v>-102685</v>
      </c>
      <c r="F9" s="456"/>
      <c r="G9" s="456"/>
      <c r="H9" s="456">
        <v>-51647</v>
      </c>
      <c r="I9" s="490">
        <v>-2988</v>
      </c>
      <c r="J9" s="490">
        <f>-ROUND(('[17]106前瞻計畫別(法)'!S5+'[17]106前瞻計畫別(法)'!AI5)/1000,0)</f>
        <v>-2384</v>
      </c>
      <c r="K9" s="477">
        <f>'縣市105(法)'!B9</f>
        <v>29331.66399999999</v>
      </c>
      <c r="L9" s="489">
        <f>B9-K9</f>
        <v>7934.3360000000102</v>
      </c>
      <c r="M9" s="477">
        <f>'縣市105(法)'!C9</f>
        <v>184088.66399999999</v>
      </c>
      <c r="N9" s="451">
        <f>C9-M9</f>
        <v>12881.33600000001</v>
      </c>
      <c r="O9" s="477">
        <f>C9+D9</f>
        <v>196970</v>
      </c>
    </row>
    <row r="10" spans="1:15" s="485" customFormat="1" ht="23.1" customHeight="1">
      <c r="A10" s="457" t="s">
        <v>19</v>
      </c>
      <c r="B10" s="458">
        <f>SUM(B11:B19)</f>
        <v>408914</v>
      </c>
      <c r="C10" s="458">
        <f>SUM(C11:C19)</f>
        <v>408914</v>
      </c>
      <c r="D10" s="483">
        <f t="shared" ref="D10:O10" si="1">SUM(D11:D19)</f>
        <v>0</v>
      </c>
      <c r="E10" s="458">
        <f t="shared" si="1"/>
        <v>0</v>
      </c>
      <c r="F10" s="458">
        <f t="shared" si="1"/>
        <v>0</v>
      </c>
      <c r="G10" s="458">
        <f t="shared" si="1"/>
        <v>0</v>
      </c>
      <c r="H10" s="458">
        <f t="shared" si="1"/>
        <v>0</v>
      </c>
      <c r="I10" s="479">
        <f>SUM(I11:I19)</f>
        <v>0</v>
      </c>
      <c r="J10" s="479">
        <f t="shared" si="1"/>
        <v>0</v>
      </c>
      <c r="K10" s="476">
        <f t="shared" si="1"/>
        <v>380273.15299999999</v>
      </c>
      <c r="L10" s="488">
        <f t="shared" si="1"/>
        <v>28640.847000000012</v>
      </c>
      <c r="M10" s="476">
        <f t="shared" si="1"/>
        <v>386073.15299999993</v>
      </c>
      <c r="N10" s="458">
        <f t="shared" si="1"/>
        <v>22840.847000000012</v>
      </c>
      <c r="O10" s="476">
        <f t="shared" si="1"/>
        <v>408914</v>
      </c>
    </row>
    <row r="11" spans="1:15" ht="23.1" customHeight="1">
      <c r="A11" s="11" t="s">
        <v>28</v>
      </c>
      <c r="B11" s="455">
        <f>SUM(C11:J11)</f>
        <v>86200</v>
      </c>
      <c r="C11" s="473">
        <f>ROUND(('[18]總 (縣市+鄉鎮市)'!S16+'[18]總 (縣市+鄉鎮市)'!S22)/1000,0)</f>
        <v>86200</v>
      </c>
      <c r="D11" s="470"/>
      <c r="E11" s="456"/>
      <c r="F11" s="456"/>
      <c r="G11" s="456"/>
      <c r="H11" s="456"/>
      <c r="I11" s="480"/>
      <c r="J11" s="480"/>
      <c r="K11" s="477">
        <f>'縣市105(法)'!B11</f>
        <v>83391.289999999994</v>
      </c>
      <c r="L11" s="489">
        <f t="shared" ref="L11:L19" si="2">B11-K11</f>
        <v>2808.7100000000064</v>
      </c>
      <c r="M11" s="477">
        <f>'縣市105(法)'!C11</f>
        <v>83391.289999999994</v>
      </c>
      <c r="N11" s="451">
        <f t="shared" ref="N11:N19" si="3">C11-M11</f>
        <v>2808.7100000000064</v>
      </c>
      <c r="O11" s="477">
        <f t="shared" ref="O11:O19" si="4">C11+D11</f>
        <v>86200</v>
      </c>
    </row>
    <row r="12" spans="1:15" ht="23.1" customHeight="1">
      <c r="A12" s="12" t="s">
        <v>22</v>
      </c>
      <c r="B12" s="455">
        <f t="shared" ref="B12:B19" si="5">SUM(C12:J12)</f>
        <v>0</v>
      </c>
      <c r="C12" s="473"/>
      <c r="D12" s="470"/>
      <c r="E12" s="456"/>
      <c r="F12" s="456"/>
      <c r="G12" s="456"/>
      <c r="H12" s="456"/>
      <c r="I12" s="480"/>
      <c r="J12" s="480"/>
      <c r="K12" s="477">
        <f>'縣市105(法)'!B12</f>
        <v>0</v>
      </c>
      <c r="L12" s="489">
        <f t="shared" si="2"/>
        <v>0</v>
      </c>
      <c r="M12" s="477">
        <f>'縣市105(法)'!C12</f>
        <v>0</v>
      </c>
      <c r="N12" s="451">
        <f t="shared" si="3"/>
        <v>0</v>
      </c>
      <c r="O12" s="477">
        <f t="shared" si="4"/>
        <v>0</v>
      </c>
    </row>
    <row r="13" spans="1:15" ht="23.1" customHeight="1">
      <c r="A13" s="12" t="s">
        <v>29</v>
      </c>
      <c r="B13" s="455">
        <f t="shared" si="5"/>
        <v>113323</v>
      </c>
      <c r="C13" s="473">
        <f>ROUND('[18]總 (縣市+鄉鎮市)'!S17/1000,0)</f>
        <v>113323</v>
      </c>
      <c r="D13" s="470"/>
      <c r="E13" s="456"/>
      <c r="F13" s="456"/>
      <c r="G13" s="456"/>
      <c r="H13" s="456"/>
      <c r="I13" s="480"/>
      <c r="J13" s="480"/>
      <c r="K13" s="477">
        <f>'縣市105(法)'!B13</f>
        <v>110590.105</v>
      </c>
      <c r="L13" s="489">
        <f t="shared" si="2"/>
        <v>2732.8950000000041</v>
      </c>
      <c r="M13" s="477">
        <f>'縣市105(法)'!C13</f>
        <v>110590.105</v>
      </c>
      <c r="N13" s="451">
        <f t="shared" si="3"/>
        <v>2732.8950000000041</v>
      </c>
      <c r="O13" s="477">
        <f t="shared" si="4"/>
        <v>113323</v>
      </c>
    </row>
    <row r="14" spans="1:15" ht="23.1" customHeight="1">
      <c r="A14" s="12" t="s">
        <v>23</v>
      </c>
      <c r="B14" s="455">
        <f t="shared" si="5"/>
        <v>82746</v>
      </c>
      <c r="C14" s="473">
        <f>ROUND('[18]總 (縣市+鄉鎮市)'!S18/1000,0)</f>
        <v>82746</v>
      </c>
      <c r="D14" s="470"/>
      <c r="E14" s="456"/>
      <c r="F14" s="456"/>
      <c r="G14" s="456"/>
      <c r="H14" s="456"/>
      <c r="I14" s="480"/>
      <c r="J14" s="480"/>
      <c r="K14" s="477">
        <f>'縣市105(法)'!B14</f>
        <v>64858.635999999999</v>
      </c>
      <c r="L14" s="489">
        <f t="shared" si="2"/>
        <v>17887.364000000001</v>
      </c>
      <c r="M14" s="477">
        <f>'縣市105(法)'!C14</f>
        <v>70658.635999999999</v>
      </c>
      <c r="N14" s="451">
        <f t="shared" si="3"/>
        <v>12087.364000000001</v>
      </c>
      <c r="O14" s="477">
        <f t="shared" si="4"/>
        <v>82746</v>
      </c>
    </row>
    <row r="15" spans="1:15" ht="23.1" customHeight="1">
      <c r="A15" s="12" t="s">
        <v>24</v>
      </c>
      <c r="B15" s="455">
        <f t="shared" si="5"/>
        <v>49413</v>
      </c>
      <c r="C15" s="473">
        <f>ROUND('[18]總 (縣市+鄉鎮市)'!S19/1000,0)</f>
        <v>49413</v>
      </c>
      <c r="D15" s="470"/>
      <c r="E15" s="456"/>
      <c r="F15" s="456"/>
      <c r="G15" s="456"/>
      <c r="H15" s="456"/>
      <c r="I15" s="480"/>
      <c r="J15" s="480"/>
      <c r="K15" s="477">
        <f>'縣市105(法)'!B15</f>
        <v>46060.631999999998</v>
      </c>
      <c r="L15" s="489">
        <f t="shared" si="2"/>
        <v>3352.3680000000022</v>
      </c>
      <c r="M15" s="477">
        <f>'縣市105(法)'!C15</f>
        <v>46060.631999999998</v>
      </c>
      <c r="N15" s="451">
        <f t="shared" si="3"/>
        <v>3352.3680000000022</v>
      </c>
      <c r="O15" s="477">
        <f t="shared" si="4"/>
        <v>49413</v>
      </c>
    </row>
    <row r="16" spans="1:15" ht="23.1" customHeight="1">
      <c r="A16" s="12" t="s">
        <v>30</v>
      </c>
      <c r="B16" s="455">
        <f t="shared" si="5"/>
        <v>20964</v>
      </c>
      <c r="C16" s="473">
        <f>ROUND('[18]總 (縣市+鄉鎮市)'!S20/1000,0)</f>
        <v>20964</v>
      </c>
      <c r="D16" s="470"/>
      <c r="E16" s="456"/>
      <c r="F16" s="456"/>
      <c r="G16" s="456"/>
      <c r="H16" s="456"/>
      <c r="I16" s="480"/>
      <c r="J16" s="480"/>
      <c r="K16" s="477">
        <f>'縣市105(法)'!B16</f>
        <v>18505.991000000002</v>
      </c>
      <c r="L16" s="489">
        <f t="shared" si="2"/>
        <v>2458.0089999999982</v>
      </c>
      <c r="M16" s="477">
        <f>'縣市105(法)'!C16</f>
        <v>18505.991000000002</v>
      </c>
      <c r="N16" s="451">
        <f t="shared" si="3"/>
        <v>2458.0089999999982</v>
      </c>
      <c r="O16" s="477">
        <f t="shared" si="4"/>
        <v>20964</v>
      </c>
    </row>
    <row r="17" spans="1:15" ht="23.1" customHeight="1">
      <c r="A17" s="12" t="s">
        <v>31</v>
      </c>
      <c r="B17" s="455">
        <f t="shared" si="5"/>
        <v>41760</v>
      </c>
      <c r="C17" s="473">
        <f>ROUND('[18]總 (縣市+鄉鎮市)'!S21/1000,0)</f>
        <v>41760</v>
      </c>
      <c r="D17" s="470"/>
      <c r="E17" s="456"/>
      <c r="F17" s="456"/>
      <c r="G17" s="456"/>
      <c r="H17" s="456"/>
      <c r="I17" s="480"/>
      <c r="J17" s="480"/>
      <c r="K17" s="477">
        <f>'縣市105(法)'!B17</f>
        <v>41689.485000000001</v>
      </c>
      <c r="L17" s="489">
        <f t="shared" si="2"/>
        <v>70.514999999999418</v>
      </c>
      <c r="M17" s="477">
        <f>'縣市105(法)'!C17</f>
        <v>41689.485000000001</v>
      </c>
      <c r="N17" s="451">
        <f t="shared" si="3"/>
        <v>70.514999999999418</v>
      </c>
      <c r="O17" s="477">
        <f t="shared" si="4"/>
        <v>41760</v>
      </c>
    </row>
    <row r="18" spans="1:15" ht="23.1" customHeight="1">
      <c r="A18" s="12" t="s">
        <v>20</v>
      </c>
      <c r="B18" s="455">
        <f t="shared" si="5"/>
        <v>3711</v>
      </c>
      <c r="C18" s="473">
        <f>ROUND('[18]總 (縣市+鄉鎮市)'!S23/1000,0)</f>
        <v>3711</v>
      </c>
      <c r="D18" s="470"/>
      <c r="E18" s="456"/>
      <c r="F18" s="456"/>
      <c r="G18" s="456"/>
      <c r="H18" s="456"/>
      <c r="I18" s="480"/>
      <c r="J18" s="480"/>
      <c r="K18" s="477">
        <f>'縣市105(法)'!B18</f>
        <v>4121.7659999999996</v>
      </c>
      <c r="L18" s="489">
        <f t="shared" si="2"/>
        <v>-410.76599999999962</v>
      </c>
      <c r="M18" s="477">
        <f>'縣市105(法)'!C18</f>
        <v>4121.7659999999996</v>
      </c>
      <c r="N18" s="451">
        <f t="shared" si="3"/>
        <v>-410.76599999999962</v>
      </c>
      <c r="O18" s="477">
        <f t="shared" si="4"/>
        <v>3711</v>
      </c>
    </row>
    <row r="19" spans="1:15" ht="23.1" customHeight="1">
      <c r="A19" s="12" t="s">
        <v>1658</v>
      </c>
      <c r="B19" s="455">
        <f t="shared" si="5"/>
        <v>10797</v>
      </c>
      <c r="C19" s="473">
        <f>ROUND(('[18]總 (縣市+鄉鎮市)'!S24)/1000,0)</f>
        <v>10797</v>
      </c>
      <c r="D19" s="471"/>
      <c r="E19" s="456"/>
      <c r="F19" s="456"/>
      <c r="G19" s="456"/>
      <c r="H19" s="456"/>
      <c r="I19" s="480"/>
      <c r="J19" s="480"/>
      <c r="K19" s="477">
        <f>'縣市105(法)'!B19</f>
        <v>11055.248</v>
      </c>
      <c r="L19" s="489">
        <f t="shared" si="2"/>
        <v>-258.24799999999959</v>
      </c>
      <c r="M19" s="477">
        <f>'縣市105(法)'!C19</f>
        <v>11055.248</v>
      </c>
      <c r="N19" s="451">
        <f t="shared" si="3"/>
        <v>-258.24799999999959</v>
      </c>
      <c r="O19" s="477">
        <f t="shared" si="4"/>
        <v>10797</v>
      </c>
    </row>
    <row r="20" spans="1:15" s="485" customFormat="1" ht="23.1" customHeight="1">
      <c r="A20" s="460" t="s">
        <v>17</v>
      </c>
      <c r="B20" s="458">
        <f>B4-B10</f>
        <v>-180454</v>
      </c>
      <c r="C20" s="458">
        <f>C4-C10</f>
        <v>-20750</v>
      </c>
      <c r="D20" s="483">
        <f t="shared" ref="D20:O20" si="6">D4-D10</f>
        <v>0</v>
      </c>
      <c r="E20" s="458">
        <f t="shared" si="6"/>
        <v>-102685</v>
      </c>
      <c r="F20" s="458">
        <f t="shared" si="6"/>
        <v>0</v>
      </c>
      <c r="G20" s="458">
        <f t="shared" si="6"/>
        <v>0</v>
      </c>
      <c r="H20" s="458">
        <f t="shared" si="6"/>
        <v>-51647</v>
      </c>
      <c r="I20" s="479">
        <f>I4-I10</f>
        <v>-2988</v>
      </c>
      <c r="J20" s="479">
        <f t="shared" si="6"/>
        <v>-2384</v>
      </c>
      <c r="K20" s="476">
        <f t="shared" si="6"/>
        <v>-161922.804</v>
      </c>
      <c r="L20" s="488">
        <f t="shared" si="6"/>
        <v>-18531.196000000011</v>
      </c>
      <c r="M20" s="476">
        <f t="shared" si="6"/>
        <v>-12965.803999999946</v>
      </c>
      <c r="N20" s="458">
        <f t="shared" si="6"/>
        <v>-7784.1960000000126</v>
      </c>
      <c r="O20" s="476">
        <f t="shared" si="6"/>
        <v>-20750</v>
      </c>
    </row>
    <row r="21" spans="1:15" ht="37.5" customHeight="1">
      <c r="B21" s="493"/>
      <c r="C21" s="973">
        <f>C20-ROUND('[18]總 (縣市+鄉鎮市)'!$S$28/1000,0)</f>
        <v>0</v>
      </c>
      <c r="D21" s="553"/>
      <c r="E21" s="493"/>
      <c r="F21" s="493"/>
      <c r="G21" s="493"/>
      <c r="H21" s="493"/>
      <c r="I21" s="493"/>
      <c r="J21" s="493"/>
    </row>
    <row r="22" spans="1:15" ht="23.1" customHeight="1">
      <c r="O22" s="4">
        <f>O20/O10*100</f>
        <v>-5.0744166255007173</v>
      </c>
    </row>
    <row r="23" spans="1:15" ht="23.1" customHeight="1"/>
    <row r="24" spans="1:15" ht="23.1" customHeight="1"/>
    <row r="25" spans="1:15" ht="23.1" customHeight="1"/>
    <row r="26" spans="1:15" ht="23.1" customHeight="1"/>
    <row r="27" spans="1:15" ht="23.1" customHeight="1"/>
    <row r="28" spans="1:15" ht="23.1" customHeight="1"/>
    <row r="29" spans="1:15" ht="23.1" customHeight="1"/>
    <row r="30" spans="1:15" ht="23.1" customHeight="1"/>
    <row r="31" spans="1:15" ht="23.1" customHeight="1"/>
    <row r="32" spans="1:15" ht="23.1" customHeight="1"/>
    <row r="33" ht="23.1" customHeight="1"/>
    <row r="34" ht="23.1" customHeight="1"/>
    <row r="35" ht="23.1" customHeight="1"/>
    <row r="36" ht="23.1" customHeight="1"/>
    <row r="37" ht="23.1" customHeight="1"/>
    <row r="38" ht="23.1" customHeight="1"/>
    <row r="39" ht="23.1" customHeight="1"/>
    <row r="40" ht="23.1" customHeight="1"/>
    <row r="41" ht="23.1" customHeight="1"/>
    <row r="42" ht="23.1" customHeight="1"/>
    <row r="43" ht="23.1" customHeight="1"/>
    <row r="44" ht="23.1" customHeight="1"/>
    <row r="45" ht="23.1" customHeight="1"/>
    <row r="46" ht="23.1" customHeight="1"/>
    <row r="47" ht="23.1" customHeight="1"/>
    <row r="48" ht="23.1" customHeight="1"/>
    <row r="49" ht="23.1" customHeight="1"/>
    <row r="50" ht="23.1" customHeight="1"/>
    <row r="51" ht="23.1" customHeight="1"/>
  </sheetData>
  <mergeCells count="1">
    <mergeCell ref="A1:F1"/>
  </mergeCells>
  <phoneticPr fontId="3" type="noConversion"/>
  <printOptions horizontalCentered="1"/>
  <pageMargins left="0.39370078740157483" right="0.39370078740157483" top="0.39370078740157483" bottom="0.39370078740157483" header="0.43307086614173229" footer="0.19685039370078741"/>
  <pageSetup paperSize="9" scale="74" orientation="landscape" blackAndWhite="1" r:id="rId1"/>
  <headerFooter alignWithMargins="0">
    <oddHeader>&amp;C&amp;A</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filterMode="1">
    <tabColor theme="3" tint="0.59999389629810485"/>
  </sheetPr>
  <dimension ref="A1:AJ374"/>
  <sheetViews>
    <sheetView view="pageBreakPreview" zoomScale="70" zoomScaleNormal="75" zoomScaleSheetLayoutView="75" workbookViewId="0">
      <pane xSplit="3" ySplit="6" topLeftCell="L106" activePane="bottomRight" state="frozen"/>
      <selection activeCell="I132" sqref="I132"/>
      <selection pane="topRight" activeCell="I132" sqref="I132"/>
      <selection pane="bottomLeft" activeCell="I132" sqref="I132"/>
      <selection pane="bottomRight" activeCell="I132" sqref="I132"/>
    </sheetView>
  </sheetViews>
  <sheetFormatPr defaultColWidth="14.75" defaultRowHeight="12.75" outlineLevelCol="1"/>
  <cols>
    <col min="1" max="1" width="12.625" style="345" customWidth="1"/>
    <col min="2" max="2" width="13.5" style="345" customWidth="1"/>
    <col min="3" max="3" width="29.5" style="345" customWidth="1"/>
    <col min="4" max="4" width="7.875" style="345" customWidth="1"/>
    <col min="5" max="5" width="13.25" style="345" customWidth="1"/>
    <col min="6" max="6" width="13.125" style="345" customWidth="1" outlineLevel="1"/>
    <col min="7" max="7" width="13.25" style="345" customWidth="1" outlineLevel="1"/>
    <col min="8" max="8" width="12.25" style="345" customWidth="1"/>
    <col min="9" max="9" width="12.25" style="345" customWidth="1" outlineLevel="1"/>
    <col min="10" max="10" width="12.125" style="345" customWidth="1" outlineLevel="1"/>
    <col min="11" max="11" width="11.125" style="345" customWidth="1" outlineLevel="1"/>
    <col min="12" max="12" width="11.75" style="345" customWidth="1" outlineLevel="1"/>
    <col min="13" max="13" width="10.875" style="345" customWidth="1" outlineLevel="1"/>
    <col min="14" max="14" width="11.875" style="345" customWidth="1" outlineLevel="1"/>
    <col min="15" max="15" width="10.875" style="345" customWidth="1" outlineLevel="1"/>
    <col min="16" max="16" width="11.5" style="345" customWidth="1"/>
    <col min="17" max="17" width="10.625" style="345" customWidth="1" outlineLevel="1"/>
    <col min="18" max="21" width="10.5" style="345" customWidth="1" outlineLevel="1"/>
    <col min="22" max="22" width="10.5" style="383" customWidth="1" outlineLevel="1"/>
    <col min="23" max="23" width="10.5" style="349" customWidth="1" outlineLevel="1"/>
    <col min="24" max="26" width="10.5" style="345" customWidth="1" outlineLevel="1"/>
    <col min="27" max="27" width="10.125" style="345" customWidth="1" outlineLevel="1"/>
    <col min="28" max="29" width="10.5" style="345" customWidth="1" outlineLevel="1"/>
    <col min="30" max="30" width="9.875" style="345" customWidth="1" outlineLevel="1"/>
    <col min="31" max="31" width="10.5" style="345" customWidth="1" outlineLevel="1"/>
    <col min="32" max="32" width="10.5" style="345" bestFit="1" customWidth="1"/>
    <col min="33" max="33" width="10.125" style="345" customWidth="1" outlineLevel="1"/>
    <col min="34" max="34" width="10.625" style="345" customWidth="1" outlineLevel="1"/>
    <col min="35" max="35" width="10.125" style="345" bestFit="1" customWidth="1"/>
    <col min="36" max="16384" width="14.75" style="345"/>
  </cols>
  <sheetData>
    <row r="1" spans="1:36">
      <c r="E1" s="439">
        <f>E8+E15+E46</f>
        <v>2911154</v>
      </c>
      <c r="H1" s="439">
        <f>H8+H15+H46</f>
        <v>608948</v>
      </c>
      <c r="I1" s="507">
        <f>H6/1000</f>
        <v>91820.732999999993</v>
      </c>
      <c r="P1" s="439">
        <f>P8+P15+P46</f>
        <v>2300376</v>
      </c>
      <c r="Q1" s="439">
        <f>(P6+AF6)/1000</f>
        <v>51646.81</v>
      </c>
    </row>
    <row r="2" spans="1:36" s="342" customFormat="1" ht="42.6" customHeight="1">
      <c r="B2" s="343"/>
      <c r="C2" s="343"/>
      <c r="D2" s="998" t="s">
        <v>1177</v>
      </c>
      <c r="E2" s="998"/>
      <c r="F2" s="998"/>
      <c r="G2" s="998"/>
      <c r="H2" s="998"/>
      <c r="I2" s="998"/>
      <c r="J2" s="998"/>
      <c r="K2" s="998"/>
      <c r="L2" s="998"/>
      <c r="M2" s="998"/>
      <c r="N2" s="998"/>
      <c r="O2" s="998"/>
      <c r="P2" s="998"/>
      <c r="Q2" s="998"/>
      <c r="R2" s="998"/>
      <c r="S2" s="987" t="s">
        <v>1178</v>
      </c>
      <c r="T2" s="987"/>
      <c r="U2" s="987"/>
      <c r="V2" s="987"/>
      <c r="W2" s="987"/>
      <c r="X2" s="987"/>
      <c r="Y2" s="987"/>
      <c r="Z2" s="987"/>
      <c r="AA2" s="987"/>
      <c r="AB2" s="987"/>
      <c r="AC2" s="987"/>
      <c r="AD2" s="987"/>
      <c r="AE2" s="987"/>
      <c r="AF2" s="987"/>
      <c r="AG2" s="987"/>
      <c r="AH2" s="987"/>
    </row>
    <row r="3" spans="1:36" ht="28.9" customHeight="1">
      <c r="A3" s="344"/>
      <c r="R3" s="346" t="s">
        <v>157</v>
      </c>
      <c r="U3" s="347"/>
      <c r="V3" s="348"/>
      <c r="AF3" s="439">
        <f>AF8+AF15+AF46</f>
        <v>1830</v>
      </c>
      <c r="AH3" s="346" t="s">
        <v>157</v>
      </c>
    </row>
    <row r="4" spans="1:36" s="354" customFormat="1" ht="35.1" customHeight="1">
      <c r="A4" s="994" t="s">
        <v>158</v>
      </c>
      <c r="B4" s="994" t="s">
        <v>159</v>
      </c>
      <c r="C4" s="994" t="s">
        <v>160</v>
      </c>
      <c r="D4" s="996" t="s">
        <v>161</v>
      </c>
      <c r="E4" s="351" t="s">
        <v>162</v>
      </c>
      <c r="F4" s="352"/>
      <c r="G4" s="353"/>
      <c r="H4" s="991" t="s">
        <v>163</v>
      </c>
      <c r="I4" s="992"/>
      <c r="J4" s="992"/>
      <c r="K4" s="992"/>
      <c r="L4" s="992"/>
      <c r="M4" s="992"/>
      <c r="N4" s="992"/>
      <c r="O4" s="993"/>
      <c r="P4" s="991" t="s">
        <v>851</v>
      </c>
      <c r="Q4" s="992"/>
      <c r="R4" s="993"/>
      <c r="S4" s="988" t="s">
        <v>852</v>
      </c>
      <c r="T4" s="989"/>
      <c r="U4" s="989"/>
      <c r="V4" s="989"/>
      <c r="W4" s="989"/>
      <c r="X4" s="989"/>
      <c r="Y4" s="989"/>
      <c r="Z4" s="989"/>
      <c r="AA4" s="989"/>
      <c r="AB4" s="989"/>
      <c r="AC4" s="989"/>
      <c r="AD4" s="989"/>
      <c r="AE4" s="990"/>
      <c r="AF4" s="991" t="s">
        <v>165</v>
      </c>
      <c r="AG4" s="992"/>
      <c r="AH4" s="993"/>
      <c r="AI4" s="354" t="s">
        <v>378</v>
      </c>
      <c r="AJ4" s="495" t="s">
        <v>1190</v>
      </c>
    </row>
    <row r="5" spans="1:36" s="354" customFormat="1" ht="35.1" customHeight="1">
      <c r="A5" s="995"/>
      <c r="B5" s="995"/>
      <c r="C5" s="995"/>
      <c r="D5" s="997"/>
      <c r="E5" s="355"/>
      <c r="F5" s="356" t="s">
        <v>166</v>
      </c>
      <c r="G5" s="356" t="s">
        <v>167</v>
      </c>
      <c r="H5" s="357"/>
      <c r="I5" s="481" t="s">
        <v>169</v>
      </c>
      <c r="J5" s="481" t="s">
        <v>463</v>
      </c>
      <c r="K5" s="482" t="s">
        <v>491</v>
      </c>
      <c r="L5" s="350" t="s">
        <v>170</v>
      </c>
      <c r="M5" s="350" t="s">
        <v>464</v>
      </c>
      <c r="N5" s="350" t="s">
        <v>172</v>
      </c>
      <c r="O5" s="356" t="s">
        <v>173</v>
      </c>
      <c r="P5" s="355"/>
      <c r="Q5" s="358" t="s">
        <v>174</v>
      </c>
      <c r="R5" s="350" t="s">
        <v>56</v>
      </c>
      <c r="S5" s="359" t="s">
        <v>57</v>
      </c>
      <c r="T5" s="359" t="s">
        <v>58</v>
      </c>
      <c r="U5" s="359" t="s">
        <v>59</v>
      </c>
      <c r="V5" s="359" t="s">
        <v>60</v>
      </c>
      <c r="W5" s="359" t="s">
        <v>61</v>
      </c>
      <c r="X5" s="359" t="s">
        <v>62</v>
      </c>
      <c r="Y5" s="359" t="s">
        <v>465</v>
      </c>
      <c r="Z5" s="359" t="s">
        <v>64</v>
      </c>
      <c r="AA5" s="359" t="s">
        <v>65</v>
      </c>
      <c r="AB5" s="359" t="s">
        <v>66</v>
      </c>
      <c r="AC5" s="359" t="s">
        <v>67</v>
      </c>
      <c r="AD5" s="359" t="s">
        <v>68</v>
      </c>
      <c r="AE5" s="357" t="s">
        <v>173</v>
      </c>
      <c r="AF5" s="360"/>
      <c r="AG5" s="350" t="s">
        <v>175</v>
      </c>
      <c r="AH5" s="350" t="s">
        <v>176</v>
      </c>
    </row>
    <row r="6" spans="1:36" s="404" customFormat="1" ht="26.1" customHeight="1">
      <c r="A6" s="419" t="s">
        <v>863</v>
      </c>
      <c r="B6" s="420"/>
      <c r="C6" s="421"/>
      <c r="D6" s="422"/>
      <c r="E6" s="402">
        <f t="shared" ref="E6:AH6" si="0">E8+E15+E46+E61+E104+E112+E158+E173+E187+E220+E224+E313+E345+E349+E371</f>
        <v>143467543</v>
      </c>
      <c r="F6" s="402">
        <f t="shared" si="0"/>
        <v>87289063</v>
      </c>
      <c r="G6" s="402">
        <f t="shared" si="0"/>
        <v>56178480</v>
      </c>
      <c r="H6" s="402">
        <f t="shared" si="0"/>
        <v>91820733</v>
      </c>
      <c r="I6" s="402">
        <f t="shared" si="0"/>
        <v>15618770.808910836</v>
      </c>
      <c r="J6" s="402">
        <f t="shared" si="0"/>
        <v>14974851.908339344</v>
      </c>
      <c r="K6" s="402">
        <f t="shared" si="0"/>
        <v>8363017.3494423795</v>
      </c>
      <c r="L6" s="402">
        <f t="shared" si="0"/>
        <v>19572056.408145148</v>
      </c>
      <c r="M6" s="402">
        <f t="shared" si="0"/>
        <v>7321969.51905898</v>
      </c>
      <c r="N6" s="402">
        <f t="shared" si="0"/>
        <v>18701028.006103314</v>
      </c>
      <c r="O6" s="402">
        <f t="shared" si="0"/>
        <v>7269039</v>
      </c>
      <c r="P6" s="402">
        <f t="shared" si="0"/>
        <v>48586701</v>
      </c>
      <c r="Q6" s="402">
        <f t="shared" si="0"/>
        <v>2845256.6265964005</v>
      </c>
      <c r="R6" s="402">
        <f t="shared" si="0"/>
        <v>2674380.8244544081</v>
      </c>
      <c r="S6" s="402">
        <f t="shared" si="0"/>
        <v>3298923.2182366815</v>
      </c>
      <c r="T6" s="402">
        <f t="shared" si="0"/>
        <v>4683359.409762213</v>
      </c>
      <c r="U6" s="402">
        <f t="shared" si="0"/>
        <v>3042567.1486219428</v>
      </c>
      <c r="V6" s="402">
        <f t="shared" si="0"/>
        <v>3182761.7157610659</v>
      </c>
      <c r="W6" s="402">
        <f t="shared" si="0"/>
        <v>2705219.8896704139</v>
      </c>
      <c r="X6" s="402">
        <f t="shared" si="0"/>
        <v>4352922.148069445</v>
      </c>
      <c r="Y6" s="402">
        <f t="shared" si="0"/>
        <v>2715465.4100384624</v>
      </c>
      <c r="Z6" s="402">
        <f t="shared" si="0"/>
        <v>3045255.3885760428</v>
      </c>
      <c r="AA6" s="402">
        <f t="shared" si="0"/>
        <v>1402136.3662848764</v>
      </c>
      <c r="AB6" s="402">
        <f t="shared" si="0"/>
        <v>2119488.7856520535</v>
      </c>
      <c r="AC6" s="402">
        <f t="shared" si="0"/>
        <v>2034239.233090376</v>
      </c>
      <c r="AD6" s="402">
        <f t="shared" si="0"/>
        <v>1722352.8351856181</v>
      </c>
      <c r="AE6" s="402">
        <f t="shared" si="0"/>
        <v>8762372</v>
      </c>
      <c r="AF6" s="402">
        <f t="shared" si="0"/>
        <v>3060109</v>
      </c>
      <c r="AG6" s="402">
        <f t="shared" si="0"/>
        <v>1552310.2406353012</v>
      </c>
      <c r="AH6" s="402">
        <f t="shared" si="0"/>
        <v>1507798.7593646988</v>
      </c>
      <c r="AI6" s="387">
        <f t="shared" ref="AI6:AI69" si="1">IF(+F6+G6=E6,0,FALSE)</f>
        <v>0</v>
      </c>
      <c r="AJ6" s="496"/>
    </row>
    <row r="7" spans="1:36" s="363" customFormat="1" ht="24" customHeight="1">
      <c r="A7" s="388" t="s">
        <v>1093</v>
      </c>
      <c r="B7" s="389"/>
      <c r="C7" s="390"/>
      <c r="D7" s="391"/>
      <c r="E7" s="392">
        <f t="shared" ref="E7:AH7" si="2">E8+E15+E46+E61+E112+E158+E173+E187+E220+E224+E313+E345+E349+E371+E105+E107+E110+E111</f>
        <v>133404763</v>
      </c>
      <c r="F7" s="392">
        <f t="shared" si="2"/>
        <v>77226283</v>
      </c>
      <c r="G7" s="392">
        <f t="shared" si="2"/>
        <v>56178480</v>
      </c>
      <c r="H7" s="392">
        <f t="shared" si="2"/>
        <v>85209023</v>
      </c>
      <c r="I7" s="392">
        <f t="shared" si="2"/>
        <v>13959930.808910836</v>
      </c>
      <c r="J7" s="392">
        <f t="shared" si="2"/>
        <v>13753695.908339344</v>
      </c>
      <c r="K7" s="392">
        <f t="shared" si="2"/>
        <v>7582645.3494423795</v>
      </c>
      <c r="L7" s="392">
        <f t="shared" si="2"/>
        <v>18553212.408145148</v>
      </c>
      <c r="M7" s="392">
        <f t="shared" si="2"/>
        <v>6548316.51905898</v>
      </c>
      <c r="N7" s="392">
        <f t="shared" si="2"/>
        <v>17542183.006103314</v>
      </c>
      <c r="O7" s="392">
        <f t="shared" si="2"/>
        <v>7269039</v>
      </c>
      <c r="P7" s="392">
        <f t="shared" si="2"/>
        <v>45243481</v>
      </c>
      <c r="Q7" s="392">
        <f t="shared" si="2"/>
        <v>2670221.6265964005</v>
      </c>
      <c r="R7" s="392">
        <f t="shared" si="2"/>
        <v>2475331.8244544081</v>
      </c>
      <c r="S7" s="392">
        <f t="shared" si="2"/>
        <v>3043847.2182366815</v>
      </c>
      <c r="T7" s="392">
        <f t="shared" si="2"/>
        <v>4235311.409762213</v>
      </c>
      <c r="U7" s="392">
        <f t="shared" si="2"/>
        <v>2756195.1486219428</v>
      </c>
      <c r="V7" s="392">
        <f t="shared" si="2"/>
        <v>2827800.7157610659</v>
      </c>
      <c r="W7" s="392">
        <f t="shared" si="2"/>
        <v>2432160.8896704139</v>
      </c>
      <c r="X7" s="392">
        <f t="shared" si="2"/>
        <v>3921737.148069445</v>
      </c>
      <c r="Y7" s="392">
        <f t="shared" si="2"/>
        <v>2506853.4100384624</v>
      </c>
      <c r="Z7" s="392">
        <f t="shared" si="2"/>
        <v>2833158.3885760428</v>
      </c>
      <c r="AA7" s="392">
        <f t="shared" si="2"/>
        <v>1299358.3662848764</v>
      </c>
      <c r="AB7" s="392">
        <f t="shared" si="2"/>
        <v>1965274.7856520538</v>
      </c>
      <c r="AC7" s="392">
        <f t="shared" si="2"/>
        <v>1885267.233090376</v>
      </c>
      <c r="AD7" s="392">
        <f t="shared" si="2"/>
        <v>1628590.8351856181</v>
      </c>
      <c r="AE7" s="392">
        <f t="shared" si="2"/>
        <v>8762372</v>
      </c>
      <c r="AF7" s="392">
        <f t="shared" si="2"/>
        <v>2952259</v>
      </c>
      <c r="AG7" s="392">
        <f t="shared" si="2"/>
        <v>1470755.2406353012</v>
      </c>
      <c r="AH7" s="392">
        <f t="shared" si="2"/>
        <v>1481503.7593646988</v>
      </c>
      <c r="AI7" s="387">
        <f t="shared" si="1"/>
        <v>0</v>
      </c>
      <c r="AJ7" s="496"/>
    </row>
    <row r="8" spans="1:36" s="404" customFormat="1" ht="22.5" customHeight="1">
      <c r="A8" s="398" t="s">
        <v>943</v>
      </c>
      <c r="B8" s="399"/>
      <c r="C8" s="400"/>
      <c r="D8" s="401"/>
      <c r="E8" s="402">
        <f t="shared" ref="E8:AH8" si="3">SUM(E9:E14)</f>
        <v>96024</v>
      </c>
      <c r="F8" s="402">
        <f t="shared" si="3"/>
        <v>93195</v>
      </c>
      <c r="G8" s="402">
        <f t="shared" si="3"/>
        <v>2829</v>
      </c>
      <c r="H8" s="402">
        <f t="shared" si="3"/>
        <v>19979</v>
      </c>
      <c r="I8" s="402">
        <f t="shared" si="3"/>
        <v>3000</v>
      </c>
      <c r="J8" s="402">
        <f t="shared" si="3"/>
        <v>1000</v>
      </c>
      <c r="K8" s="402">
        <f t="shared" si="3"/>
        <v>3000</v>
      </c>
      <c r="L8" s="402">
        <f t="shared" si="3"/>
        <v>3000</v>
      </c>
      <c r="M8" s="402">
        <f t="shared" si="3"/>
        <v>3500</v>
      </c>
      <c r="N8" s="402">
        <f t="shared" si="3"/>
        <v>3500</v>
      </c>
      <c r="O8" s="402">
        <f t="shared" si="3"/>
        <v>2979</v>
      </c>
      <c r="P8" s="402">
        <f t="shared" si="3"/>
        <v>74545</v>
      </c>
      <c r="Q8" s="402">
        <f t="shared" si="3"/>
        <v>4400</v>
      </c>
      <c r="R8" s="402">
        <f t="shared" si="3"/>
        <v>3900</v>
      </c>
      <c r="S8" s="402">
        <f t="shared" si="3"/>
        <v>4900</v>
      </c>
      <c r="T8" s="402">
        <f t="shared" si="3"/>
        <v>4400</v>
      </c>
      <c r="U8" s="402">
        <f t="shared" si="3"/>
        <v>4400</v>
      </c>
      <c r="V8" s="402">
        <f t="shared" si="3"/>
        <v>4400</v>
      </c>
      <c r="W8" s="402">
        <f t="shared" si="3"/>
        <v>4900</v>
      </c>
      <c r="X8" s="402">
        <f t="shared" si="3"/>
        <v>4900</v>
      </c>
      <c r="Y8" s="402">
        <f t="shared" si="3"/>
        <v>11500</v>
      </c>
      <c r="Z8" s="402">
        <f t="shared" si="3"/>
        <v>4400</v>
      </c>
      <c r="AA8" s="402">
        <f t="shared" si="3"/>
        <v>6325</v>
      </c>
      <c r="AB8" s="402">
        <f t="shared" si="3"/>
        <v>3900</v>
      </c>
      <c r="AC8" s="402">
        <f t="shared" si="3"/>
        <v>3400</v>
      </c>
      <c r="AD8" s="402">
        <f t="shared" si="3"/>
        <v>3900</v>
      </c>
      <c r="AE8" s="402">
        <f t="shared" si="3"/>
        <v>4920</v>
      </c>
      <c r="AF8" s="402">
        <f t="shared" si="3"/>
        <v>1500</v>
      </c>
      <c r="AG8" s="402">
        <f t="shared" si="3"/>
        <v>0</v>
      </c>
      <c r="AH8" s="402">
        <f t="shared" si="3"/>
        <v>1500</v>
      </c>
      <c r="AI8" s="387">
        <f t="shared" si="1"/>
        <v>0</v>
      </c>
    </row>
    <row r="9" spans="1:36" s="393" customFormat="1" ht="35.450000000000003" customHeight="1">
      <c r="A9" s="397" t="s">
        <v>379</v>
      </c>
      <c r="B9" s="394" t="s">
        <v>1094</v>
      </c>
      <c r="C9" s="366" t="s">
        <v>1203</v>
      </c>
      <c r="D9" s="396">
        <v>4</v>
      </c>
      <c r="E9" s="385">
        <f t="shared" ref="E9:E14" si="4">SUM(H9,P9,AF9)</f>
        <v>83520</v>
      </c>
      <c r="F9" s="368">
        <v>83520</v>
      </c>
      <c r="G9" s="368">
        <v>0</v>
      </c>
      <c r="H9" s="385">
        <f t="shared" ref="H9:H14" si="5">SUM(I9:O9)</f>
        <v>17000</v>
      </c>
      <c r="I9" s="371">
        <v>3000</v>
      </c>
      <c r="J9" s="371">
        <v>1000</v>
      </c>
      <c r="K9" s="371">
        <v>3000</v>
      </c>
      <c r="L9" s="371">
        <v>3000</v>
      </c>
      <c r="M9" s="371">
        <v>3500</v>
      </c>
      <c r="N9" s="371">
        <v>3500</v>
      </c>
      <c r="O9" s="370">
        <v>0</v>
      </c>
      <c r="P9" s="386">
        <f t="shared" ref="P9:P14" si="6">SUM(Q9:AE9)</f>
        <v>66520</v>
      </c>
      <c r="Q9" s="371">
        <v>4400</v>
      </c>
      <c r="R9" s="371">
        <v>3900</v>
      </c>
      <c r="S9" s="371">
        <v>4900</v>
      </c>
      <c r="T9" s="371">
        <v>4400</v>
      </c>
      <c r="U9" s="371">
        <v>4400</v>
      </c>
      <c r="V9" s="371">
        <v>4400</v>
      </c>
      <c r="W9" s="371">
        <v>4900</v>
      </c>
      <c r="X9" s="371">
        <v>4900</v>
      </c>
      <c r="Y9" s="371">
        <v>4900</v>
      </c>
      <c r="Z9" s="371">
        <v>4400</v>
      </c>
      <c r="AA9" s="371">
        <v>4900</v>
      </c>
      <c r="AB9" s="371">
        <v>3900</v>
      </c>
      <c r="AC9" s="371">
        <v>3400</v>
      </c>
      <c r="AD9" s="371">
        <v>3900</v>
      </c>
      <c r="AE9" s="371">
        <v>4920</v>
      </c>
      <c r="AF9" s="385">
        <f t="shared" ref="AF9:AF14" si="7">SUM(AG9:AH9)</f>
        <v>0</v>
      </c>
      <c r="AG9" s="371"/>
      <c r="AH9" s="371"/>
      <c r="AI9" s="387">
        <f t="shared" si="1"/>
        <v>0</v>
      </c>
    </row>
    <row r="10" spans="1:36" s="393" customFormat="1" ht="36.950000000000003" customHeight="1">
      <c r="A10" s="397" t="s">
        <v>379</v>
      </c>
      <c r="B10" s="394" t="s">
        <v>1094</v>
      </c>
      <c r="C10" s="100" t="s">
        <v>944</v>
      </c>
      <c r="D10" s="396">
        <v>4</v>
      </c>
      <c r="E10" s="385">
        <f t="shared" si="4"/>
        <v>1500</v>
      </c>
      <c r="F10" s="368">
        <v>1000</v>
      </c>
      <c r="G10" s="368">
        <v>500</v>
      </c>
      <c r="H10" s="385">
        <f t="shared" si="5"/>
        <v>0</v>
      </c>
      <c r="I10" s="371"/>
      <c r="J10" s="371"/>
      <c r="K10" s="371"/>
      <c r="L10" s="371"/>
      <c r="M10" s="371"/>
      <c r="N10" s="371"/>
      <c r="O10" s="370"/>
      <c r="P10" s="386">
        <f t="shared" si="6"/>
        <v>0</v>
      </c>
      <c r="Q10" s="371"/>
      <c r="R10" s="371"/>
      <c r="S10" s="371"/>
      <c r="T10" s="371"/>
      <c r="U10" s="371"/>
      <c r="V10" s="371"/>
      <c r="W10" s="371"/>
      <c r="X10" s="371"/>
      <c r="Y10" s="371"/>
      <c r="Z10" s="371"/>
      <c r="AA10" s="371"/>
      <c r="AB10" s="371"/>
      <c r="AC10" s="371"/>
      <c r="AD10" s="371"/>
      <c r="AE10" s="371"/>
      <c r="AF10" s="385">
        <f t="shared" si="7"/>
        <v>1500</v>
      </c>
      <c r="AG10" s="371"/>
      <c r="AH10" s="371">
        <v>1500</v>
      </c>
      <c r="AI10" s="387">
        <f t="shared" si="1"/>
        <v>0</v>
      </c>
    </row>
    <row r="11" spans="1:36" s="393" customFormat="1" ht="36.6" customHeight="1">
      <c r="A11" s="397" t="s">
        <v>69</v>
      </c>
      <c r="B11" s="394" t="s">
        <v>1094</v>
      </c>
      <c r="C11" s="100" t="s">
        <v>945</v>
      </c>
      <c r="D11" s="396">
        <v>4</v>
      </c>
      <c r="E11" s="385">
        <f t="shared" si="4"/>
        <v>675</v>
      </c>
      <c r="F11" s="368">
        <v>675</v>
      </c>
      <c r="G11" s="371"/>
      <c r="H11" s="385">
        <f t="shared" si="5"/>
        <v>0</v>
      </c>
      <c r="I11" s="371"/>
      <c r="J11" s="371"/>
      <c r="K11" s="371"/>
      <c r="L11" s="371"/>
      <c r="M11" s="371"/>
      <c r="N11" s="371"/>
      <c r="O11" s="370"/>
      <c r="P11" s="386">
        <f t="shared" si="6"/>
        <v>675</v>
      </c>
      <c r="Q11" s="371"/>
      <c r="R11" s="371"/>
      <c r="S11" s="371"/>
      <c r="T11" s="371"/>
      <c r="U11" s="371"/>
      <c r="V11" s="371"/>
      <c r="W11" s="371"/>
      <c r="X11" s="371"/>
      <c r="Y11" s="371"/>
      <c r="Z11" s="371"/>
      <c r="AA11" s="371">
        <v>675</v>
      </c>
      <c r="AB11" s="371"/>
      <c r="AC11" s="371"/>
      <c r="AD11" s="371"/>
      <c r="AE11" s="371"/>
      <c r="AF11" s="385">
        <f t="shared" si="7"/>
        <v>0</v>
      </c>
      <c r="AG11" s="371"/>
      <c r="AH11" s="371"/>
      <c r="AI11" s="387">
        <f t="shared" si="1"/>
        <v>0</v>
      </c>
    </row>
    <row r="12" spans="1:36" s="393" customFormat="1" ht="36.950000000000003" customHeight="1">
      <c r="A12" s="397" t="s">
        <v>69</v>
      </c>
      <c r="B12" s="394" t="s">
        <v>1094</v>
      </c>
      <c r="C12" s="100" t="s">
        <v>946</v>
      </c>
      <c r="D12" s="396">
        <v>4</v>
      </c>
      <c r="E12" s="385">
        <f t="shared" si="4"/>
        <v>750</v>
      </c>
      <c r="F12" s="368">
        <v>400</v>
      </c>
      <c r="G12" s="368">
        <v>350</v>
      </c>
      <c r="H12" s="385">
        <f t="shared" si="5"/>
        <v>0</v>
      </c>
      <c r="I12" s="371"/>
      <c r="J12" s="371"/>
      <c r="K12" s="371"/>
      <c r="L12" s="371"/>
      <c r="M12" s="371"/>
      <c r="N12" s="371"/>
      <c r="O12" s="370"/>
      <c r="P12" s="386">
        <f t="shared" si="6"/>
        <v>750</v>
      </c>
      <c r="Q12" s="371"/>
      <c r="R12" s="371"/>
      <c r="S12" s="371"/>
      <c r="T12" s="371"/>
      <c r="U12" s="371"/>
      <c r="V12" s="371"/>
      <c r="W12" s="371"/>
      <c r="X12" s="371"/>
      <c r="Y12" s="371"/>
      <c r="Z12" s="371"/>
      <c r="AA12" s="371">
        <v>750</v>
      </c>
      <c r="AB12" s="371"/>
      <c r="AC12" s="371"/>
      <c r="AD12" s="371"/>
      <c r="AE12" s="371"/>
      <c r="AF12" s="385">
        <f t="shared" si="7"/>
        <v>0</v>
      </c>
      <c r="AG12" s="371"/>
      <c r="AH12" s="371"/>
      <c r="AI12" s="387">
        <f t="shared" si="1"/>
        <v>0</v>
      </c>
    </row>
    <row r="13" spans="1:36" s="393" customFormat="1" ht="28.5" customHeight="1">
      <c r="A13" s="397" t="s">
        <v>69</v>
      </c>
      <c r="B13" s="394" t="s">
        <v>1094</v>
      </c>
      <c r="C13" s="100" t="s">
        <v>947</v>
      </c>
      <c r="D13" s="396">
        <v>4</v>
      </c>
      <c r="E13" s="385">
        <f t="shared" si="4"/>
        <v>6600</v>
      </c>
      <c r="F13" s="368">
        <v>6600</v>
      </c>
      <c r="G13" s="368"/>
      <c r="H13" s="385">
        <f t="shared" si="5"/>
        <v>0</v>
      </c>
      <c r="I13" s="371"/>
      <c r="J13" s="371"/>
      <c r="K13" s="371"/>
      <c r="L13" s="371"/>
      <c r="M13" s="371"/>
      <c r="N13" s="371"/>
      <c r="O13" s="370"/>
      <c r="P13" s="386">
        <f t="shared" si="6"/>
        <v>6600</v>
      </c>
      <c r="Q13" s="371"/>
      <c r="R13" s="371"/>
      <c r="S13" s="371"/>
      <c r="T13" s="371"/>
      <c r="U13" s="371"/>
      <c r="V13" s="371"/>
      <c r="W13" s="371"/>
      <c r="X13" s="371"/>
      <c r="Y13" s="371">
        <v>6600</v>
      </c>
      <c r="Z13" s="371"/>
      <c r="AA13" s="371"/>
      <c r="AB13" s="371"/>
      <c r="AC13" s="371"/>
      <c r="AD13" s="371"/>
      <c r="AE13" s="371"/>
      <c r="AF13" s="385">
        <f t="shared" si="7"/>
        <v>0</v>
      </c>
      <c r="AG13" s="371"/>
      <c r="AH13" s="371"/>
      <c r="AI13" s="387">
        <f t="shared" si="1"/>
        <v>0</v>
      </c>
    </row>
    <row r="14" spans="1:36" s="393" customFormat="1" ht="32.450000000000003" customHeight="1">
      <c r="A14" s="397" t="s">
        <v>379</v>
      </c>
      <c r="B14" s="394" t="s">
        <v>1094</v>
      </c>
      <c r="C14" s="100" t="s">
        <v>653</v>
      </c>
      <c r="D14" s="396">
        <v>4</v>
      </c>
      <c r="E14" s="385">
        <f t="shared" si="4"/>
        <v>2979</v>
      </c>
      <c r="F14" s="368">
        <v>1000</v>
      </c>
      <c r="G14" s="368">
        <v>1979</v>
      </c>
      <c r="H14" s="385">
        <f t="shared" si="5"/>
        <v>2979</v>
      </c>
      <c r="I14" s="371"/>
      <c r="J14" s="371"/>
      <c r="K14" s="371"/>
      <c r="L14" s="371"/>
      <c r="M14" s="371"/>
      <c r="N14" s="371"/>
      <c r="O14" s="370">
        <v>2979</v>
      </c>
      <c r="P14" s="386">
        <f t="shared" si="6"/>
        <v>0</v>
      </c>
      <c r="Q14" s="371"/>
      <c r="R14" s="371"/>
      <c r="S14" s="371"/>
      <c r="T14" s="371"/>
      <c r="U14" s="371"/>
      <c r="V14" s="371"/>
      <c r="W14" s="371"/>
      <c r="X14" s="371"/>
      <c r="Y14" s="371"/>
      <c r="Z14" s="371"/>
      <c r="AA14" s="371"/>
      <c r="AB14" s="371"/>
      <c r="AC14" s="371"/>
      <c r="AD14" s="371"/>
      <c r="AE14" s="371"/>
      <c r="AF14" s="385">
        <f t="shared" si="7"/>
        <v>0</v>
      </c>
      <c r="AG14" s="371"/>
      <c r="AH14" s="371"/>
      <c r="AI14" s="387">
        <f t="shared" si="1"/>
        <v>0</v>
      </c>
    </row>
    <row r="15" spans="1:36" s="404" customFormat="1" ht="23.45" customHeight="1">
      <c r="A15" s="398" t="s">
        <v>1014</v>
      </c>
      <c r="B15" s="399"/>
      <c r="C15" s="400"/>
      <c r="D15" s="401"/>
      <c r="E15" s="402">
        <f t="shared" ref="E15:AH15" si="8">E16+E45</f>
        <v>1967658</v>
      </c>
      <c r="F15" s="402">
        <f t="shared" si="8"/>
        <v>976993</v>
      </c>
      <c r="G15" s="402">
        <f t="shared" si="8"/>
        <v>990665</v>
      </c>
      <c r="H15" s="402">
        <f t="shared" si="8"/>
        <v>335404</v>
      </c>
      <c r="I15" s="402">
        <f t="shared" si="8"/>
        <v>39971</v>
      </c>
      <c r="J15" s="402">
        <f t="shared" si="8"/>
        <v>5517</v>
      </c>
      <c r="K15" s="402">
        <f t="shared" si="8"/>
        <v>65131</v>
      </c>
      <c r="L15" s="402">
        <f t="shared" si="8"/>
        <v>54879</v>
      </c>
      <c r="M15" s="402">
        <f t="shared" si="8"/>
        <v>7598</v>
      </c>
      <c r="N15" s="402">
        <f t="shared" si="8"/>
        <v>116939</v>
      </c>
      <c r="O15" s="402">
        <f t="shared" si="8"/>
        <v>45369</v>
      </c>
      <c r="P15" s="402">
        <f t="shared" si="8"/>
        <v>1631924</v>
      </c>
      <c r="Q15" s="402">
        <f t="shared" si="8"/>
        <v>150797</v>
      </c>
      <c r="R15" s="402">
        <f t="shared" si="8"/>
        <v>145299</v>
      </c>
      <c r="S15" s="402">
        <f t="shared" si="8"/>
        <v>99456</v>
      </c>
      <c r="T15" s="402">
        <f t="shared" si="8"/>
        <v>3988</v>
      </c>
      <c r="U15" s="402">
        <f t="shared" si="8"/>
        <v>113938</v>
      </c>
      <c r="V15" s="402">
        <f t="shared" si="8"/>
        <v>2130</v>
      </c>
      <c r="W15" s="402">
        <f t="shared" si="8"/>
        <v>66711</v>
      </c>
      <c r="X15" s="402">
        <f t="shared" si="8"/>
        <v>276753</v>
      </c>
      <c r="Y15" s="402">
        <f t="shared" si="8"/>
        <v>279803</v>
      </c>
      <c r="Z15" s="402">
        <f t="shared" si="8"/>
        <v>252667</v>
      </c>
      <c r="AA15" s="402">
        <f t="shared" si="8"/>
        <v>912</v>
      </c>
      <c r="AB15" s="402">
        <f t="shared" si="8"/>
        <v>7553</v>
      </c>
      <c r="AC15" s="402">
        <f t="shared" si="8"/>
        <v>3302</v>
      </c>
      <c r="AD15" s="402">
        <f t="shared" si="8"/>
        <v>1551</v>
      </c>
      <c r="AE15" s="402">
        <f t="shared" si="8"/>
        <v>227064</v>
      </c>
      <c r="AF15" s="402">
        <f t="shared" si="8"/>
        <v>330</v>
      </c>
      <c r="AG15" s="402">
        <f t="shared" si="8"/>
        <v>165</v>
      </c>
      <c r="AH15" s="402">
        <f t="shared" si="8"/>
        <v>165</v>
      </c>
      <c r="AI15" s="387">
        <f t="shared" si="1"/>
        <v>0</v>
      </c>
      <c r="AJ15" s="496"/>
    </row>
    <row r="16" spans="1:36" s="410" customFormat="1" ht="21.6" customHeight="1">
      <c r="A16" s="405" t="s">
        <v>1164</v>
      </c>
      <c r="B16" s="406"/>
      <c r="C16" s="407"/>
      <c r="D16" s="408"/>
      <c r="E16" s="409">
        <f t="shared" ref="E16:AH16" si="9">SUM(E17:E44)</f>
        <v>1957712</v>
      </c>
      <c r="F16" s="409">
        <f t="shared" si="9"/>
        <v>975913</v>
      </c>
      <c r="G16" s="409">
        <f t="shared" si="9"/>
        <v>981799</v>
      </c>
      <c r="H16" s="409">
        <f t="shared" si="9"/>
        <v>332504</v>
      </c>
      <c r="I16" s="409">
        <f t="shared" si="9"/>
        <v>39421</v>
      </c>
      <c r="J16" s="409">
        <f t="shared" si="9"/>
        <v>5017</v>
      </c>
      <c r="K16" s="409">
        <f t="shared" si="9"/>
        <v>64631</v>
      </c>
      <c r="L16" s="409">
        <f t="shared" si="9"/>
        <v>54529</v>
      </c>
      <c r="M16" s="409">
        <f t="shared" si="9"/>
        <v>7098</v>
      </c>
      <c r="N16" s="409">
        <f t="shared" si="9"/>
        <v>116439</v>
      </c>
      <c r="O16" s="409">
        <f t="shared" si="9"/>
        <v>45369</v>
      </c>
      <c r="P16" s="409">
        <f t="shared" si="9"/>
        <v>1624878</v>
      </c>
      <c r="Q16" s="409">
        <f t="shared" si="9"/>
        <v>150097</v>
      </c>
      <c r="R16" s="409">
        <f t="shared" si="9"/>
        <v>144799</v>
      </c>
      <c r="S16" s="409">
        <f t="shared" si="9"/>
        <v>98706</v>
      </c>
      <c r="T16" s="409">
        <f t="shared" si="9"/>
        <v>3688</v>
      </c>
      <c r="U16" s="409">
        <f t="shared" si="9"/>
        <v>113938</v>
      </c>
      <c r="V16" s="409">
        <f t="shared" si="9"/>
        <v>2130</v>
      </c>
      <c r="W16" s="409">
        <f t="shared" si="9"/>
        <v>66501</v>
      </c>
      <c r="X16" s="409">
        <f t="shared" si="9"/>
        <v>275003</v>
      </c>
      <c r="Y16" s="409">
        <f t="shared" si="9"/>
        <v>279017</v>
      </c>
      <c r="Z16" s="409">
        <f t="shared" si="9"/>
        <v>251367</v>
      </c>
      <c r="AA16" s="409">
        <f t="shared" si="9"/>
        <v>912</v>
      </c>
      <c r="AB16" s="409">
        <f t="shared" si="9"/>
        <v>7303</v>
      </c>
      <c r="AC16" s="409">
        <f t="shared" si="9"/>
        <v>2802</v>
      </c>
      <c r="AD16" s="409">
        <f t="shared" si="9"/>
        <v>1551</v>
      </c>
      <c r="AE16" s="409">
        <f t="shared" si="9"/>
        <v>227064</v>
      </c>
      <c r="AF16" s="409">
        <f t="shared" si="9"/>
        <v>330</v>
      </c>
      <c r="AG16" s="409">
        <f t="shared" si="9"/>
        <v>165</v>
      </c>
      <c r="AH16" s="409">
        <f t="shared" si="9"/>
        <v>165</v>
      </c>
      <c r="AI16" s="387">
        <f t="shared" si="1"/>
        <v>0</v>
      </c>
      <c r="AJ16" s="496"/>
    </row>
    <row r="17" spans="1:36" s="393" customFormat="1" ht="24" customHeight="1">
      <c r="A17" s="397" t="s">
        <v>379</v>
      </c>
      <c r="B17" s="394" t="s">
        <v>1095</v>
      </c>
      <c r="C17" s="497" t="s">
        <v>1205</v>
      </c>
      <c r="D17" s="396">
        <v>3</v>
      </c>
      <c r="E17" s="385">
        <f t="shared" ref="E17:E45" si="10">SUM(H17,P17,AF17)</f>
        <v>6900</v>
      </c>
      <c r="F17" s="368">
        <v>6400</v>
      </c>
      <c r="G17" s="368">
        <v>500</v>
      </c>
      <c r="H17" s="385">
        <f t="shared" ref="H17:H45" si="11">SUM(I17:O17)</f>
        <v>1290</v>
      </c>
      <c r="I17" s="371"/>
      <c r="J17" s="371"/>
      <c r="K17" s="371">
        <v>80</v>
      </c>
      <c r="L17" s="371">
        <v>80</v>
      </c>
      <c r="M17" s="371"/>
      <c r="N17" s="371">
        <v>110</v>
      </c>
      <c r="O17" s="370">
        <v>1020</v>
      </c>
      <c r="P17" s="386">
        <f t="shared" ref="P17:P45" si="12">SUM(Q17:AE17)</f>
        <v>5610</v>
      </c>
      <c r="Q17" s="371">
        <v>130</v>
      </c>
      <c r="R17" s="371">
        <v>140</v>
      </c>
      <c r="S17" s="371">
        <v>500</v>
      </c>
      <c r="T17" s="371"/>
      <c r="U17" s="371">
        <v>80</v>
      </c>
      <c r="V17" s="371"/>
      <c r="W17" s="371">
        <v>100</v>
      </c>
      <c r="X17" s="371">
        <v>1700</v>
      </c>
      <c r="Y17" s="371">
        <v>800</v>
      </c>
      <c r="Z17" s="371">
        <v>500</v>
      </c>
      <c r="AA17" s="371"/>
      <c r="AB17" s="371"/>
      <c r="AC17" s="371"/>
      <c r="AD17" s="371">
        <v>80</v>
      </c>
      <c r="AE17" s="371">
        <v>1580</v>
      </c>
      <c r="AF17" s="385">
        <f t="shared" ref="AF17:AF45" si="13">SUM(AG17:AH17)</f>
        <v>0</v>
      </c>
      <c r="AG17" s="371"/>
      <c r="AH17" s="371"/>
      <c r="AI17" s="387">
        <f t="shared" si="1"/>
        <v>0</v>
      </c>
      <c r="AJ17" s="496"/>
    </row>
    <row r="18" spans="1:36" s="393" customFormat="1" ht="30" customHeight="1">
      <c r="A18" s="397" t="s">
        <v>379</v>
      </c>
      <c r="B18" s="394" t="s">
        <v>1095</v>
      </c>
      <c r="C18" s="497" t="s">
        <v>1206</v>
      </c>
      <c r="D18" s="396">
        <v>3</v>
      </c>
      <c r="E18" s="385">
        <f t="shared" si="10"/>
        <v>73800</v>
      </c>
      <c r="F18" s="368">
        <v>73800</v>
      </c>
      <c r="G18" s="368"/>
      <c r="H18" s="385">
        <f t="shared" si="11"/>
        <v>3800</v>
      </c>
      <c r="I18" s="371">
        <v>600</v>
      </c>
      <c r="J18" s="371"/>
      <c r="K18" s="371">
        <v>280</v>
      </c>
      <c r="L18" s="371">
        <v>720</v>
      </c>
      <c r="M18" s="371"/>
      <c r="N18" s="371">
        <v>2200</v>
      </c>
      <c r="O18" s="370">
        <v>0</v>
      </c>
      <c r="P18" s="386">
        <f t="shared" si="12"/>
        <v>70000</v>
      </c>
      <c r="Q18" s="371">
        <v>4000</v>
      </c>
      <c r="R18" s="371">
        <v>4000</v>
      </c>
      <c r="S18" s="371">
        <v>680</v>
      </c>
      <c r="T18" s="371"/>
      <c r="U18" s="371">
        <v>7600</v>
      </c>
      <c r="V18" s="371"/>
      <c r="W18" s="371">
        <v>1000</v>
      </c>
      <c r="X18" s="371">
        <v>7800</v>
      </c>
      <c r="Y18" s="371">
        <v>18500</v>
      </c>
      <c r="Z18" s="371">
        <v>24200</v>
      </c>
      <c r="AA18" s="371"/>
      <c r="AB18" s="371"/>
      <c r="AC18" s="371"/>
      <c r="AD18" s="371"/>
      <c r="AE18" s="371">
        <v>2220</v>
      </c>
      <c r="AF18" s="385">
        <f t="shared" si="13"/>
        <v>0</v>
      </c>
      <c r="AG18" s="371"/>
      <c r="AH18" s="371"/>
      <c r="AI18" s="387">
        <f t="shared" si="1"/>
        <v>0</v>
      </c>
      <c r="AJ18" s="496"/>
    </row>
    <row r="19" spans="1:36" s="393" customFormat="1" ht="24" customHeight="1">
      <c r="A19" s="397" t="s">
        <v>379</v>
      </c>
      <c r="B19" s="394" t="s">
        <v>1095</v>
      </c>
      <c r="C19" s="497" t="s">
        <v>1207</v>
      </c>
      <c r="D19" s="396">
        <v>3</v>
      </c>
      <c r="E19" s="385">
        <f t="shared" si="10"/>
        <v>10000</v>
      </c>
      <c r="F19" s="368">
        <v>10000</v>
      </c>
      <c r="G19" s="368"/>
      <c r="H19" s="385">
        <f t="shared" si="11"/>
        <v>0</v>
      </c>
      <c r="I19" s="371"/>
      <c r="J19" s="371"/>
      <c r="K19" s="371"/>
      <c r="L19" s="371"/>
      <c r="M19" s="371"/>
      <c r="N19" s="371"/>
      <c r="O19" s="370"/>
      <c r="P19" s="386">
        <f t="shared" si="12"/>
        <v>10000</v>
      </c>
      <c r="Q19" s="371"/>
      <c r="R19" s="371">
        <v>2000</v>
      </c>
      <c r="S19" s="371"/>
      <c r="T19" s="371"/>
      <c r="U19" s="371"/>
      <c r="V19" s="371"/>
      <c r="W19" s="371"/>
      <c r="X19" s="371">
        <v>8000</v>
      </c>
      <c r="Y19" s="371"/>
      <c r="Z19" s="371"/>
      <c r="AA19" s="371"/>
      <c r="AB19" s="371"/>
      <c r="AC19" s="371"/>
      <c r="AD19" s="371"/>
      <c r="AE19" s="371"/>
      <c r="AF19" s="385">
        <f t="shared" si="13"/>
        <v>0</v>
      </c>
      <c r="AG19" s="371"/>
      <c r="AH19" s="371"/>
      <c r="AI19" s="387">
        <f t="shared" si="1"/>
        <v>0</v>
      </c>
      <c r="AJ19" s="496"/>
    </row>
    <row r="20" spans="1:36" s="393" customFormat="1" ht="35.1" customHeight="1">
      <c r="A20" s="397" t="s">
        <v>379</v>
      </c>
      <c r="B20" s="394" t="s">
        <v>1095</v>
      </c>
      <c r="C20" s="497" t="s">
        <v>1208</v>
      </c>
      <c r="D20" s="396">
        <v>3</v>
      </c>
      <c r="E20" s="385">
        <f t="shared" si="10"/>
        <v>15000</v>
      </c>
      <c r="F20" s="368">
        <v>11500</v>
      </c>
      <c r="G20" s="368">
        <v>3500</v>
      </c>
      <c r="H20" s="385">
        <f t="shared" si="11"/>
        <v>3380</v>
      </c>
      <c r="I20" s="371">
        <v>300</v>
      </c>
      <c r="J20" s="371">
        <v>200</v>
      </c>
      <c r="K20" s="371">
        <v>850</v>
      </c>
      <c r="L20" s="371">
        <v>400</v>
      </c>
      <c r="M20" s="371">
        <v>200</v>
      </c>
      <c r="N20" s="371">
        <v>1430</v>
      </c>
      <c r="O20" s="370"/>
      <c r="P20" s="386">
        <f t="shared" si="12"/>
        <v>11620</v>
      </c>
      <c r="Q20" s="371">
        <v>1000</v>
      </c>
      <c r="R20" s="371">
        <v>1000</v>
      </c>
      <c r="S20" s="371">
        <v>400</v>
      </c>
      <c r="T20" s="371">
        <v>200</v>
      </c>
      <c r="U20" s="371">
        <v>650</v>
      </c>
      <c r="V20" s="371">
        <v>100</v>
      </c>
      <c r="W20" s="371">
        <v>650</v>
      </c>
      <c r="X20" s="371">
        <v>700</v>
      </c>
      <c r="Y20" s="371">
        <v>3000</v>
      </c>
      <c r="Z20" s="371">
        <v>2950</v>
      </c>
      <c r="AA20" s="371">
        <v>100</v>
      </c>
      <c r="AB20" s="371">
        <v>200</v>
      </c>
      <c r="AC20" s="371">
        <v>200</v>
      </c>
      <c r="AD20" s="371">
        <v>100</v>
      </c>
      <c r="AE20" s="371">
        <v>370</v>
      </c>
      <c r="AF20" s="385">
        <f t="shared" si="13"/>
        <v>0</v>
      </c>
      <c r="AG20" s="371"/>
      <c r="AH20" s="371"/>
      <c r="AI20" s="387">
        <f t="shared" si="1"/>
        <v>0</v>
      </c>
      <c r="AJ20" s="496"/>
    </row>
    <row r="21" spans="1:36" s="393" customFormat="1" ht="24" customHeight="1">
      <c r="A21" s="397" t="s">
        <v>379</v>
      </c>
      <c r="B21" s="394" t="s">
        <v>1095</v>
      </c>
      <c r="C21" s="497" t="s">
        <v>1209</v>
      </c>
      <c r="D21" s="396">
        <v>3</v>
      </c>
      <c r="E21" s="385">
        <f t="shared" si="10"/>
        <v>2110</v>
      </c>
      <c r="F21" s="368">
        <v>2110</v>
      </c>
      <c r="G21" s="368"/>
      <c r="H21" s="385">
        <f t="shared" si="11"/>
        <v>1000</v>
      </c>
      <c r="I21" s="371"/>
      <c r="J21" s="371"/>
      <c r="K21" s="371"/>
      <c r="L21" s="371"/>
      <c r="M21" s="371"/>
      <c r="N21" s="371"/>
      <c r="O21" s="370">
        <v>1000</v>
      </c>
      <c r="P21" s="386">
        <f t="shared" si="12"/>
        <v>1110</v>
      </c>
      <c r="Q21" s="371"/>
      <c r="R21" s="371"/>
      <c r="S21" s="371"/>
      <c r="T21" s="371"/>
      <c r="U21" s="371"/>
      <c r="V21" s="371"/>
      <c r="W21" s="371"/>
      <c r="X21" s="371"/>
      <c r="Y21" s="371"/>
      <c r="Z21" s="371"/>
      <c r="AA21" s="371"/>
      <c r="AB21" s="371"/>
      <c r="AC21" s="371"/>
      <c r="AD21" s="371"/>
      <c r="AE21" s="371">
        <v>1110</v>
      </c>
      <c r="AF21" s="385">
        <f t="shared" si="13"/>
        <v>0</v>
      </c>
      <c r="AG21" s="371"/>
      <c r="AH21" s="371"/>
      <c r="AI21" s="387">
        <f t="shared" si="1"/>
        <v>0</v>
      </c>
      <c r="AJ21" s="496"/>
    </row>
    <row r="22" spans="1:36" s="393" customFormat="1" ht="35.1" customHeight="1">
      <c r="A22" s="397" t="s">
        <v>379</v>
      </c>
      <c r="B22" s="394" t="s">
        <v>1095</v>
      </c>
      <c r="C22" s="497" t="s">
        <v>1210</v>
      </c>
      <c r="D22" s="396">
        <v>3</v>
      </c>
      <c r="E22" s="385">
        <f t="shared" si="10"/>
        <v>26400</v>
      </c>
      <c r="F22" s="368">
        <v>26400</v>
      </c>
      <c r="G22" s="368"/>
      <c r="H22" s="385">
        <f t="shared" si="11"/>
        <v>5300</v>
      </c>
      <c r="I22" s="371"/>
      <c r="J22" s="371"/>
      <c r="K22" s="371"/>
      <c r="L22" s="371">
        <v>2400</v>
      </c>
      <c r="M22" s="371">
        <v>400</v>
      </c>
      <c r="N22" s="371">
        <v>2500</v>
      </c>
      <c r="O22" s="370"/>
      <c r="P22" s="386">
        <f t="shared" si="12"/>
        <v>21100</v>
      </c>
      <c r="Q22" s="371">
        <v>2500</v>
      </c>
      <c r="R22" s="371">
        <v>2400</v>
      </c>
      <c r="S22" s="371">
        <v>1600</v>
      </c>
      <c r="T22" s="371"/>
      <c r="U22" s="371">
        <v>2300</v>
      </c>
      <c r="V22" s="371"/>
      <c r="W22" s="371">
        <v>1400</v>
      </c>
      <c r="X22" s="371">
        <v>2350</v>
      </c>
      <c r="Y22" s="371">
        <v>2200</v>
      </c>
      <c r="Z22" s="371">
        <v>2500</v>
      </c>
      <c r="AA22" s="371"/>
      <c r="AB22" s="371">
        <v>1600</v>
      </c>
      <c r="AC22" s="371"/>
      <c r="AD22" s="371"/>
      <c r="AE22" s="371">
        <v>2250</v>
      </c>
      <c r="AF22" s="385">
        <f t="shared" si="13"/>
        <v>0</v>
      </c>
      <c r="AG22" s="371"/>
      <c r="AH22" s="371"/>
      <c r="AI22" s="387">
        <f t="shared" si="1"/>
        <v>0</v>
      </c>
      <c r="AJ22" s="496"/>
    </row>
    <row r="23" spans="1:36" s="393" customFormat="1" ht="30.95" customHeight="1">
      <c r="A23" s="397" t="s">
        <v>379</v>
      </c>
      <c r="B23" s="394" t="s">
        <v>1095</v>
      </c>
      <c r="C23" s="497" t="s">
        <v>1211</v>
      </c>
      <c r="D23" s="396">
        <v>3</v>
      </c>
      <c r="E23" s="385">
        <f t="shared" si="10"/>
        <v>2500</v>
      </c>
      <c r="F23" s="368"/>
      <c r="G23" s="368">
        <v>2500</v>
      </c>
      <c r="H23" s="385">
        <f t="shared" si="11"/>
        <v>0</v>
      </c>
      <c r="I23" s="371"/>
      <c r="J23" s="371"/>
      <c r="K23" s="371"/>
      <c r="L23" s="371"/>
      <c r="M23" s="371"/>
      <c r="N23" s="371"/>
      <c r="O23" s="370"/>
      <c r="P23" s="386">
        <f t="shared" si="12"/>
        <v>2500</v>
      </c>
      <c r="Q23" s="371"/>
      <c r="R23" s="371"/>
      <c r="S23" s="371"/>
      <c r="T23" s="371"/>
      <c r="U23" s="371"/>
      <c r="V23" s="371"/>
      <c r="W23" s="371"/>
      <c r="X23" s="371"/>
      <c r="Y23" s="371"/>
      <c r="Z23" s="371"/>
      <c r="AA23" s="371"/>
      <c r="AB23" s="371"/>
      <c r="AC23" s="371"/>
      <c r="AD23" s="371"/>
      <c r="AE23" s="371">
        <v>2500</v>
      </c>
      <c r="AF23" s="385">
        <f t="shared" si="13"/>
        <v>0</v>
      </c>
      <c r="AG23" s="371"/>
      <c r="AH23" s="371"/>
      <c r="AI23" s="387">
        <f t="shared" si="1"/>
        <v>0</v>
      </c>
      <c r="AJ23" s="496"/>
    </row>
    <row r="24" spans="1:36" s="393" customFormat="1" ht="33" customHeight="1">
      <c r="A24" s="397" t="s">
        <v>379</v>
      </c>
      <c r="B24" s="394" t="s">
        <v>1095</v>
      </c>
      <c r="C24" s="497" t="s">
        <v>1212</v>
      </c>
      <c r="D24" s="396">
        <v>3</v>
      </c>
      <c r="E24" s="385">
        <f t="shared" si="10"/>
        <v>11650</v>
      </c>
      <c r="F24" s="368">
        <v>1700</v>
      </c>
      <c r="G24" s="368">
        <v>9950</v>
      </c>
      <c r="H24" s="385">
        <f t="shared" si="11"/>
        <v>0</v>
      </c>
      <c r="I24" s="371"/>
      <c r="J24" s="371"/>
      <c r="K24" s="371"/>
      <c r="L24" s="371"/>
      <c r="M24" s="371"/>
      <c r="N24" s="371"/>
      <c r="O24" s="370"/>
      <c r="P24" s="386">
        <f t="shared" si="12"/>
        <v>11650</v>
      </c>
      <c r="Q24" s="371">
        <v>200</v>
      </c>
      <c r="R24" s="371">
        <v>400</v>
      </c>
      <c r="S24" s="371">
        <v>400</v>
      </c>
      <c r="T24" s="371"/>
      <c r="U24" s="371">
        <v>200</v>
      </c>
      <c r="V24" s="371"/>
      <c r="W24" s="371">
        <v>400</v>
      </c>
      <c r="X24" s="371">
        <v>1900</v>
      </c>
      <c r="Y24" s="371">
        <v>1300</v>
      </c>
      <c r="Z24" s="371">
        <v>1300</v>
      </c>
      <c r="AA24" s="371"/>
      <c r="AB24" s="371"/>
      <c r="AC24" s="371"/>
      <c r="AD24" s="371"/>
      <c r="AE24" s="371">
        <v>5550</v>
      </c>
      <c r="AF24" s="385">
        <f t="shared" si="13"/>
        <v>0</v>
      </c>
      <c r="AG24" s="371"/>
      <c r="AH24" s="371"/>
      <c r="AI24" s="387">
        <f t="shared" si="1"/>
        <v>0</v>
      </c>
      <c r="AJ24" s="496"/>
    </row>
    <row r="25" spans="1:36" s="393" customFormat="1" ht="39" customHeight="1">
      <c r="A25" s="397" t="s">
        <v>379</v>
      </c>
      <c r="B25" s="394" t="s">
        <v>1095</v>
      </c>
      <c r="C25" s="497" t="s">
        <v>1213</v>
      </c>
      <c r="D25" s="396">
        <v>3</v>
      </c>
      <c r="E25" s="385">
        <f t="shared" si="10"/>
        <v>132384</v>
      </c>
      <c r="F25" s="368">
        <v>132384</v>
      </c>
      <c r="G25" s="368"/>
      <c r="H25" s="385">
        <f t="shared" si="11"/>
        <v>69420</v>
      </c>
      <c r="I25" s="371">
        <v>19245</v>
      </c>
      <c r="J25" s="371">
        <v>3000</v>
      </c>
      <c r="K25" s="371">
        <v>15870</v>
      </c>
      <c r="L25" s="371">
        <v>13650</v>
      </c>
      <c r="M25" s="371">
        <v>4450</v>
      </c>
      <c r="N25" s="371">
        <v>13205</v>
      </c>
      <c r="O25" s="370"/>
      <c r="P25" s="386">
        <f t="shared" si="12"/>
        <v>62964</v>
      </c>
      <c r="Q25" s="371">
        <v>3981</v>
      </c>
      <c r="R25" s="371">
        <v>4700</v>
      </c>
      <c r="S25" s="371">
        <v>3950</v>
      </c>
      <c r="T25" s="371">
        <v>2650</v>
      </c>
      <c r="U25" s="371">
        <v>4350</v>
      </c>
      <c r="V25" s="371">
        <v>1300</v>
      </c>
      <c r="W25" s="371">
        <v>1100</v>
      </c>
      <c r="X25" s="371">
        <v>10700</v>
      </c>
      <c r="Y25" s="371"/>
      <c r="Z25" s="371"/>
      <c r="AA25" s="371">
        <v>180</v>
      </c>
      <c r="AB25" s="371">
        <v>3200</v>
      </c>
      <c r="AC25" s="371">
        <v>1850</v>
      </c>
      <c r="AD25" s="371">
        <v>690</v>
      </c>
      <c r="AE25" s="371">
        <v>24313</v>
      </c>
      <c r="AF25" s="385">
        <f t="shared" si="13"/>
        <v>0</v>
      </c>
      <c r="AG25" s="371"/>
      <c r="AH25" s="371"/>
      <c r="AI25" s="387">
        <f t="shared" si="1"/>
        <v>0</v>
      </c>
      <c r="AJ25" s="496"/>
    </row>
    <row r="26" spans="1:36" s="393" customFormat="1" ht="24" customHeight="1">
      <c r="A26" s="397" t="s">
        <v>379</v>
      </c>
      <c r="B26" s="394" t="s">
        <v>1095</v>
      </c>
      <c r="C26" s="497" t="s">
        <v>1214</v>
      </c>
      <c r="D26" s="396">
        <v>3</v>
      </c>
      <c r="E26" s="385">
        <f t="shared" si="10"/>
        <v>9417</v>
      </c>
      <c r="F26" s="368">
        <v>9417</v>
      </c>
      <c r="G26" s="368"/>
      <c r="H26" s="385">
        <f t="shared" si="11"/>
        <v>1922</v>
      </c>
      <c r="I26" s="371"/>
      <c r="J26" s="371"/>
      <c r="K26" s="371"/>
      <c r="L26" s="371"/>
      <c r="M26" s="371"/>
      <c r="N26" s="371"/>
      <c r="O26" s="370">
        <v>1922</v>
      </c>
      <c r="P26" s="386">
        <f t="shared" si="12"/>
        <v>7495</v>
      </c>
      <c r="Q26" s="371"/>
      <c r="R26" s="371"/>
      <c r="S26" s="371"/>
      <c r="T26" s="371"/>
      <c r="U26" s="371"/>
      <c r="V26" s="371"/>
      <c r="W26" s="371"/>
      <c r="X26" s="371"/>
      <c r="Y26" s="371"/>
      <c r="Z26" s="371"/>
      <c r="AA26" s="371"/>
      <c r="AB26" s="371"/>
      <c r="AC26" s="371"/>
      <c r="AD26" s="371"/>
      <c r="AE26" s="371">
        <v>7495</v>
      </c>
      <c r="AF26" s="385">
        <f t="shared" si="13"/>
        <v>0</v>
      </c>
      <c r="AG26" s="371"/>
      <c r="AH26" s="371"/>
      <c r="AI26" s="387">
        <f t="shared" si="1"/>
        <v>0</v>
      </c>
      <c r="AJ26" s="496"/>
    </row>
    <row r="27" spans="1:36" s="393" customFormat="1" ht="24" customHeight="1">
      <c r="A27" s="397" t="s">
        <v>379</v>
      </c>
      <c r="B27" s="394" t="s">
        <v>1095</v>
      </c>
      <c r="C27" s="497" t="s">
        <v>1215</v>
      </c>
      <c r="D27" s="396">
        <v>3</v>
      </c>
      <c r="E27" s="385">
        <f t="shared" si="10"/>
        <v>14952</v>
      </c>
      <c r="F27" s="368">
        <v>6424</v>
      </c>
      <c r="G27" s="368">
        <v>8528</v>
      </c>
      <c r="H27" s="385">
        <f t="shared" si="11"/>
        <v>3452</v>
      </c>
      <c r="I27" s="371"/>
      <c r="J27" s="371"/>
      <c r="K27" s="371"/>
      <c r="L27" s="371"/>
      <c r="M27" s="371"/>
      <c r="N27" s="371">
        <v>2580</v>
      </c>
      <c r="O27" s="370">
        <v>872</v>
      </c>
      <c r="P27" s="386">
        <f t="shared" si="12"/>
        <v>11500</v>
      </c>
      <c r="Q27" s="371"/>
      <c r="R27" s="371">
        <v>990</v>
      </c>
      <c r="S27" s="371">
        <v>5242</v>
      </c>
      <c r="T27" s="371"/>
      <c r="U27" s="371">
        <v>2580</v>
      </c>
      <c r="V27" s="371"/>
      <c r="W27" s="371"/>
      <c r="X27" s="371"/>
      <c r="Y27" s="371">
        <v>108</v>
      </c>
      <c r="Z27" s="371">
        <v>2580</v>
      </c>
      <c r="AA27" s="371"/>
      <c r="AB27" s="371"/>
      <c r="AC27" s="371"/>
      <c r="AD27" s="371"/>
      <c r="AE27" s="371"/>
      <c r="AF27" s="385">
        <f t="shared" si="13"/>
        <v>0</v>
      </c>
      <c r="AG27" s="371"/>
      <c r="AH27" s="371"/>
      <c r="AI27" s="387">
        <f t="shared" si="1"/>
        <v>0</v>
      </c>
      <c r="AJ27" s="496"/>
    </row>
    <row r="28" spans="1:36" s="393" customFormat="1" ht="53.45" customHeight="1">
      <c r="A28" s="397" t="s">
        <v>379</v>
      </c>
      <c r="B28" s="394" t="s">
        <v>1095</v>
      </c>
      <c r="C28" s="497" t="s">
        <v>1216</v>
      </c>
      <c r="D28" s="396">
        <v>3</v>
      </c>
      <c r="E28" s="385">
        <f t="shared" si="10"/>
        <v>500</v>
      </c>
      <c r="F28" s="368">
        <v>500</v>
      </c>
      <c r="G28" s="368"/>
      <c r="H28" s="385">
        <f t="shared" si="11"/>
        <v>0</v>
      </c>
      <c r="I28" s="371"/>
      <c r="J28" s="371"/>
      <c r="K28" s="371"/>
      <c r="L28" s="371"/>
      <c r="M28" s="371"/>
      <c r="N28" s="371"/>
      <c r="O28" s="370"/>
      <c r="P28" s="386">
        <f t="shared" si="12"/>
        <v>500</v>
      </c>
      <c r="Q28" s="371"/>
      <c r="R28" s="371"/>
      <c r="S28" s="371"/>
      <c r="T28" s="371"/>
      <c r="U28" s="371"/>
      <c r="V28" s="371"/>
      <c r="W28" s="371"/>
      <c r="X28" s="371"/>
      <c r="Y28" s="371"/>
      <c r="Z28" s="371">
        <v>500</v>
      </c>
      <c r="AA28" s="371"/>
      <c r="AB28" s="371"/>
      <c r="AC28" s="371"/>
      <c r="AD28" s="371"/>
      <c r="AE28" s="371"/>
      <c r="AF28" s="385">
        <f t="shared" si="13"/>
        <v>0</v>
      </c>
      <c r="AG28" s="371"/>
      <c r="AH28" s="371"/>
      <c r="AI28" s="387">
        <f t="shared" si="1"/>
        <v>0</v>
      </c>
      <c r="AJ28" s="496"/>
    </row>
    <row r="29" spans="1:36" s="393" customFormat="1" ht="30" customHeight="1">
      <c r="A29" s="397" t="s">
        <v>379</v>
      </c>
      <c r="B29" s="394" t="s">
        <v>1095</v>
      </c>
      <c r="C29" s="497" t="s">
        <v>1217</v>
      </c>
      <c r="D29" s="396">
        <v>5</v>
      </c>
      <c r="E29" s="385">
        <f t="shared" si="10"/>
        <v>66906</v>
      </c>
      <c r="F29" s="368">
        <v>66906</v>
      </c>
      <c r="G29" s="368"/>
      <c r="H29" s="385">
        <f t="shared" si="11"/>
        <v>6228</v>
      </c>
      <c r="I29" s="371">
        <v>1144</v>
      </c>
      <c r="J29" s="371">
        <v>581</v>
      </c>
      <c r="K29" s="371"/>
      <c r="L29" s="371">
        <v>2305</v>
      </c>
      <c r="M29" s="371">
        <v>275</v>
      </c>
      <c r="N29" s="371">
        <v>1923</v>
      </c>
      <c r="O29" s="370"/>
      <c r="P29" s="386">
        <f t="shared" si="12"/>
        <v>60678</v>
      </c>
      <c r="Q29" s="371">
        <v>1057</v>
      </c>
      <c r="R29" s="371">
        <v>1167</v>
      </c>
      <c r="S29" s="371">
        <v>1275</v>
      </c>
      <c r="T29" s="371">
        <v>222</v>
      </c>
      <c r="U29" s="371">
        <v>1206</v>
      </c>
      <c r="V29" s="371">
        <v>172</v>
      </c>
      <c r="W29" s="371">
        <v>906</v>
      </c>
      <c r="X29" s="371">
        <v>2640</v>
      </c>
      <c r="Y29" s="371">
        <v>7323</v>
      </c>
      <c r="Z29" s="371">
        <v>8254</v>
      </c>
      <c r="AA29" s="371">
        <v>146</v>
      </c>
      <c r="AB29" s="371">
        <v>637</v>
      </c>
      <c r="AC29" s="371">
        <v>176</v>
      </c>
      <c r="AD29" s="371">
        <v>146</v>
      </c>
      <c r="AE29" s="371">
        <v>35351</v>
      </c>
      <c r="AF29" s="385">
        <f t="shared" si="13"/>
        <v>0</v>
      </c>
      <c r="AG29" s="371"/>
      <c r="AH29" s="371"/>
      <c r="AI29" s="387">
        <f t="shared" si="1"/>
        <v>0</v>
      </c>
      <c r="AJ29" s="496"/>
    </row>
    <row r="30" spans="1:36" s="393" customFormat="1" ht="49.5" customHeight="1">
      <c r="A30" s="397" t="s">
        <v>379</v>
      </c>
      <c r="B30" s="394" t="s">
        <v>1095</v>
      </c>
      <c r="C30" s="497" t="s">
        <v>1218</v>
      </c>
      <c r="D30" s="396">
        <v>5</v>
      </c>
      <c r="E30" s="385">
        <f t="shared" si="10"/>
        <v>9107</v>
      </c>
      <c r="F30" s="368">
        <v>9107</v>
      </c>
      <c r="G30" s="368"/>
      <c r="H30" s="385">
        <f t="shared" si="11"/>
        <v>5917</v>
      </c>
      <c r="I30" s="371"/>
      <c r="J30" s="371"/>
      <c r="K30" s="371"/>
      <c r="L30" s="371"/>
      <c r="M30" s="371">
        <v>275</v>
      </c>
      <c r="N30" s="371">
        <v>825</v>
      </c>
      <c r="O30" s="370">
        <v>4817</v>
      </c>
      <c r="P30" s="386">
        <f t="shared" si="12"/>
        <v>3190</v>
      </c>
      <c r="Q30" s="371">
        <v>248</v>
      </c>
      <c r="R30" s="371">
        <v>327</v>
      </c>
      <c r="S30" s="371">
        <v>360</v>
      </c>
      <c r="T30" s="371">
        <v>222</v>
      </c>
      <c r="U30" s="371">
        <v>251</v>
      </c>
      <c r="V30" s="371">
        <v>172</v>
      </c>
      <c r="W30" s="371">
        <v>172</v>
      </c>
      <c r="X30" s="371">
        <v>496</v>
      </c>
      <c r="Y30" s="371"/>
      <c r="Z30" s="371"/>
      <c r="AA30" s="371">
        <v>146</v>
      </c>
      <c r="AB30" s="371">
        <v>378</v>
      </c>
      <c r="AC30" s="371">
        <v>176</v>
      </c>
      <c r="AD30" s="371">
        <v>146</v>
      </c>
      <c r="AE30" s="371">
        <v>96</v>
      </c>
      <c r="AF30" s="385">
        <f t="shared" si="13"/>
        <v>0</v>
      </c>
      <c r="AG30" s="371"/>
      <c r="AH30" s="371"/>
      <c r="AI30" s="387">
        <f t="shared" si="1"/>
        <v>0</v>
      </c>
      <c r="AJ30" s="496"/>
    </row>
    <row r="31" spans="1:36" s="393" customFormat="1" ht="51.95" customHeight="1">
      <c r="A31" s="397" t="s">
        <v>379</v>
      </c>
      <c r="B31" s="394" t="s">
        <v>1095</v>
      </c>
      <c r="C31" s="497" t="s">
        <v>1219</v>
      </c>
      <c r="D31" s="396">
        <v>5</v>
      </c>
      <c r="E31" s="385">
        <f t="shared" si="10"/>
        <v>1804</v>
      </c>
      <c r="F31" s="368">
        <v>1804</v>
      </c>
      <c r="G31" s="368"/>
      <c r="H31" s="385">
        <f t="shared" si="11"/>
        <v>852</v>
      </c>
      <c r="I31" s="371">
        <v>270</v>
      </c>
      <c r="J31" s="371">
        <v>136</v>
      </c>
      <c r="K31" s="371">
        <v>270</v>
      </c>
      <c r="L31" s="371"/>
      <c r="M31" s="371">
        <v>68</v>
      </c>
      <c r="N31" s="371">
        <v>108</v>
      </c>
      <c r="O31" s="370"/>
      <c r="P31" s="386">
        <f t="shared" si="12"/>
        <v>952</v>
      </c>
      <c r="Q31" s="371">
        <v>37</v>
      </c>
      <c r="R31" s="371">
        <v>74</v>
      </c>
      <c r="S31" s="371">
        <v>34</v>
      </c>
      <c r="T31" s="371">
        <v>34</v>
      </c>
      <c r="U31" s="371">
        <v>68</v>
      </c>
      <c r="V31" s="371">
        <v>26</v>
      </c>
      <c r="W31" s="371">
        <v>26</v>
      </c>
      <c r="X31" s="371">
        <v>126</v>
      </c>
      <c r="Y31" s="371"/>
      <c r="Z31" s="371"/>
      <c r="AA31" s="371">
        <v>18</v>
      </c>
      <c r="AB31" s="371">
        <v>80</v>
      </c>
      <c r="AC31" s="371">
        <v>30</v>
      </c>
      <c r="AD31" s="371">
        <v>24</v>
      </c>
      <c r="AE31" s="371">
        <v>375</v>
      </c>
      <c r="AF31" s="385">
        <f t="shared" si="13"/>
        <v>0</v>
      </c>
      <c r="AG31" s="371"/>
      <c r="AH31" s="371"/>
      <c r="AI31" s="387">
        <f t="shared" si="1"/>
        <v>0</v>
      </c>
      <c r="AJ31" s="496"/>
    </row>
    <row r="32" spans="1:36" s="393" customFormat="1" ht="24" customHeight="1">
      <c r="A32" s="397" t="s">
        <v>379</v>
      </c>
      <c r="B32" s="394" t="s">
        <v>1095</v>
      </c>
      <c r="C32" s="100" t="s">
        <v>1220</v>
      </c>
      <c r="D32" s="396">
        <v>1</v>
      </c>
      <c r="E32" s="385">
        <f t="shared" si="10"/>
        <v>191569</v>
      </c>
      <c r="F32" s="368">
        <v>137927</v>
      </c>
      <c r="G32" s="368">
        <v>53642</v>
      </c>
      <c r="H32" s="385">
        <f t="shared" si="11"/>
        <v>25715</v>
      </c>
      <c r="I32" s="371"/>
      <c r="J32" s="371"/>
      <c r="K32" s="371"/>
      <c r="L32" s="371"/>
      <c r="M32" s="371"/>
      <c r="N32" s="371">
        <v>23715</v>
      </c>
      <c r="O32" s="370">
        <v>2000</v>
      </c>
      <c r="P32" s="386">
        <f t="shared" si="12"/>
        <v>165854</v>
      </c>
      <c r="Q32" s="371">
        <v>5400</v>
      </c>
      <c r="R32" s="371">
        <v>8320</v>
      </c>
      <c r="S32" s="371"/>
      <c r="T32" s="371"/>
      <c r="U32" s="371">
        <v>6750</v>
      </c>
      <c r="V32" s="371"/>
      <c r="W32" s="371">
        <v>6274</v>
      </c>
      <c r="X32" s="371">
        <v>35152</v>
      </c>
      <c r="Y32" s="371">
        <v>11692</v>
      </c>
      <c r="Z32" s="371">
        <v>10524</v>
      </c>
      <c r="AA32" s="371"/>
      <c r="AB32" s="371"/>
      <c r="AC32" s="371"/>
      <c r="AD32" s="371"/>
      <c r="AE32" s="371">
        <v>81742</v>
      </c>
      <c r="AF32" s="385">
        <f t="shared" si="13"/>
        <v>0</v>
      </c>
      <c r="AG32" s="371"/>
      <c r="AH32" s="371"/>
      <c r="AI32" s="387">
        <f t="shared" si="1"/>
        <v>0</v>
      </c>
      <c r="AJ32" s="496"/>
    </row>
    <row r="33" spans="1:36" s="393" customFormat="1" ht="24" customHeight="1">
      <c r="A33" s="397" t="s">
        <v>379</v>
      </c>
      <c r="B33" s="394" t="s">
        <v>1095</v>
      </c>
      <c r="C33" s="100" t="s">
        <v>1221</v>
      </c>
      <c r="D33" s="396">
        <v>1</v>
      </c>
      <c r="E33" s="385">
        <f t="shared" si="10"/>
        <v>3220</v>
      </c>
      <c r="F33" s="368">
        <v>3220</v>
      </c>
      <c r="G33" s="368"/>
      <c r="H33" s="385">
        <f t="shared" si="11"/>
        <v>0</v>
      </c>
      <c r="I33" s="371"/>
      <c r="J33" s="371"/>
      <c r="K33" s="371"/>
      <c r="L33" s="371"/>
      <c r="M33" s="371"/>
      <c r="N33" s="371"/>
      <c r="O33" s="370"/>
      <c r="P33" s="386">
        <f t="shared" si="12"/>
        <v>3220</v>
      </c>
      <c r="Q33" s="371"/>
      <c r="R33" s="371"/>
      <c r="S33" s="371"/>
      <c r="T33" s="371"/>
      <c r="U33" s="371"/>
      <c r="V33" s="371"/>
      <c r="W33" s="371"/>
      <c r="X33" s="371"/>
      <c r="Y33" s="371"/>
      <c r="Z33" s="371"/>
      <c r="AA33" s="371"/>
      <c r="AB33" s="371"/>
      <c r="AC33" s="371"/>
      <c r="AD33" s="371"/>
      <c r="AE33" s="371">
        <v>3220</v>
      </c>
      <c r="AF33" s="385">
        <f t="shared" si="13"/>
        <v>0</v>
      </c>
      <c r="AG33" s="371"/>
      <c r="AH33" s="371"/>
      <c r="AI33" s="387">
        <f t="shared" si="1"/>
        <v>0</v>
      </c>
      <c r="AJ33" s="496"/>
    </row>
    <row r="34" spans="1:36" s="393" customFormat="1" ht="24" customHeight="1">
      <c r="A34" s="397" t="s">
        <v>379</v>
      </c>
      <c r="B34" s="394" t="s">
        <v>1095</v>
      </c>
      <c r="C34" s="100" t="s">
        <v>1222</v>
      </c>
      <c r="D34" s="396">
        <v>1</v>
      </c>
      <c r="E34" s="385">
        <f t="shared" si="10"/>
        <v>3550</v>
      </c>
      <c r="F34" s="368">
        <v>3550</v>
      </c>
      <c r="G34" s="368"/>
      <c r="H34" s="385">
        <f t="shared" si="11"/>
        <v>0</v>
      </c>
      <c r="I34" s="371"/>
      <c r="J34" s="371"/>
      <c r="K34" s="371"/>
      <c r="L34" s="371"/>
      <c r="M34" s="371"/>
      <c r="N34" s="371"/>
      <c r="O34" s="370"/>
      <c r="P34" s="386">
        <f t="shared" si="12"/>
        <v>3550</v>
      </c>
      <c r="Q34" s="371"/>
      <c r="R34" s="371"/>
      <c r="S34" s="371"/>
      <c r="T34" s="371"/>
      <c r="U34" s="371"/>
      <c r="V34" s="371"/>
      <c r="W34" s="371"/>
      <c r="X34" s="371"/>
      <c r="Y34" s="371"/>
      <c r="Z34" s="371"/>
      <c r="AA34" s="371"/>
      <c r="AB34" s="371"/>
      <c r="AC34" s="371"/>
      <c r="AD34" s="371"/>
      <c r="AE34" s="371">
        <v>3550</v>
      </c>
      <c r="AF34" s="385">
        <f t="shared" si="13"/>
        <v>0</v>
      </c>
      <c r="AG34" s="371"/>
      <c r="AH34" s="371"/>
      <c r="AI34" s="387">
        <f t="shared" si="1"/>
        <v>0</v>
      </c>
      <c r="AJ34" s="496"/>
    </row>
    <row r="35" spans="1:36" s="393" customFormat="1" ht="42.6" customHeight="1">
      <c r="A35" s="397" t="s">
        <v>379</v>
      </c>
      <c r="B35" s="394" t="s">
        <v>1095</v>
      </c>
      <c r="C35" s="100" t="s">
        <v>1223</v>
      </c>
      <c r="D35" s="396">
        <v>1</v>
      </c>
      <c r="E35" s="385">
        <f t="shared" si="10"/>
        <v>19432</v>
      </c>
      <c r="F35" s="368">
        <v>19432</v>
      </c>
      <c r="G35" s="368"/>
      <c r="H35" s="385">
        <f t="shared" si="11"/>
        <v>580</v>
      </c>
      <c r="I35" s="371">
        <v>19</v>
      </c>
      <c r="J35" s="371"/>
      <c r="K35" s="371">
        <v>19</v>
      </c>
      <c r="L35" s="371">
        <v>19</v>
      </c>
      <c r="M35" s="371"/>
      <c r="N35" s="371">
        <v>19</v>
      </c>
      <c r="O35" s="370">
        <v>504</v>
      </c>
      <c r="P35" s="386">
        <f t="shared" si="12"/>
        <v>18852</v>
      </c>
      <c r="Q35" s="371">
        <v>19</v>
      </c>
      <c r="R35" s="371">
        <v>47</v>
      </c>
      <c r="S35" s="371">
        <v>56</v>
      </c>
      <c r="T35" s="371"/>
      <c r="U35" s="371">
        <v>84</v>
      </c>
      <c r="V35" s="371"/>
      <c r="W35" s="371">
        <v>52</v>
      </c>
      <c r="X35" s="371">
        <v>984</v>
      </c>
      <c r="Y35" s="371">
        <v>3720</v>
      </c>
      <c r="Z35" s="371">
        <v>4458</v>
      </c>
      <c r="AA35" s="371"/>
      <c r="AB35" s="371"/>
      <c r="AC35" s="371"/>
      <c r="AD35" s="371"/>
      <c r="AE35" s="371">
        <v>9432</v>
      </c>
      <c r="AF35" s="385">
        <f t="shared" si="13"/>
        <v>0</v>
      </c>
      <c r="AG35" s="371"/>
      <c r="AH35" s="371"/>
      <c r="AI35" s="387">
        <f t="shared" si="1"/>
        <v>0</v>
      </c>
      <c r="AJ35" s="496"/>
    </row>
    <row r="36" spans="1:36" s="393" customFormat="1" ht="40.5" customHeight="1">
      <c r="A36" s="397" t="s">
        <v>379</v>
      </c>
      <c r="B36" s="394" t="s">
        <v>1095</v>
      </c>
      <c r="C36" s="100" t="s">
        <v>1224</v>
      </c>
      <c r="D36" s="396">
        <v>1</v>
      </c>
      <c r="E36" s="385">
        <f t="shared" si="10"/>
        <v>31347</v>
      </c>
      <c r="F36" s="368">
        <v>31347</v>
      </c>
      <c r="G36" s="368"/>
      <c r="H36" s="385">
        <f t="shared" si="11"/>
        <v>7230</v>
      </c>
      <c r="I36" s="371">
        <v>13</v>
      </c>
      <c r="J36" s="371"/>
      <c r="K36" s="371">
        <v>34</v>
      </c>
      <c r="L36" s="371">
        <v>89</v>
      </c>
      <c r="M36" s="371"/>
      <c r="N36" s="371">
        <v>195</v>
      </c>
      <c r="O36" s="370">
        <v>6899</v>
      </c>
      <c r="P36" s="386">
        <f t="shared" si="12"/>
        <v>24117</v>
      </c>
      <c r="Q36" s="371">
        <v>61</v>
      </c>
      <c r="R36" s="371">
        <v>41</v>
      </c>
      <c r="S36" s="371">
        <v>72</v>
      </c>
      <c r="T36" s="371"/>
      <c r="U36" s="371">
        <v>229</v>
      </c>
      <c r="V36" s="371"/>
      <c r="W36" s="371">
        <v>143</v>
      </c>
      <c r="X36" s="371">
        <v>508</v>
      </c>
      <c r="Y36" s="371">
        <v>1346</v>
      </c>
      <c r="Z36" s="371">
        <v>878</v>
      </c>
      <c r="AA36" s="371"/>
      <c r="AB36" s="371"/>
      <c r="AC36" s="371"/>
      <c r="AD36" s="371"/>
      <c r="AE36" s="371">
        <v>20839</v>
      </c>
      <c r="AF36" s="385">
        <f t="shared" si="13"/>
        <v>0</v>
      </c>
      <c r="AG36" s="371"/>
      <c r="AH36" s="371"/>
      <c r="AI36" s="387">
        <f t="shared" si="1"/>
        <v>0</v>
      </c>
      <c r="AJ36" s="496"/>
    </row>
    <row r="37" spans="1:36" s="393" customFormat="1" ht="24" customHeight="1">
      <c r="A37" s="397" t="s">
        <v>379</v>
      </c>
      <c r="B37" s="394" t="s">
        <v>1095</v>
      </c>
      <c r="C37" s="100" t="s">
        <v>1225</v>
      </c>
      <c r="D37" s="396">
        <v>1</v>
      </c>
      <c r="E37" s="385">
        <f t="shared" si="10"/>
        <v>150</v>
      </c>
      <c r="F37" s="368">
        <v>150</v>
      </c>
      <c r="G37" s="368"/>
      <c r="H37" s="385">
        <f t="shared" si="11"/>
        <v>0</v>
      </c>
      <c r="I37" s="371"/>
      <c r="J37" s="371"/>
      <c r="K37" s="371"/>
      <c r="L37" s="371"/>
      <c r="M37" s="371"/>
      <c r="N37" s="371"/>
      <c r="O37" s="370"/>
      <c r="P37" s="386">
        <f t="shared" si="12"/>
        <v>150</v>
      </c>
      <c r="Q37" s="371"/>
      <c r="R37" s="371"/>
      <c r="S37" s="371"/>
      <c r="T37" s="371"/>
      <c r="U37" s="371"/>
      <c r="V37" s="371"/>
      <c r="W37" s="371"/>
      <c r="X37" s="371"/>
      <c r="Y37" s="371">
        <v>150</v>
      </c>
      <c r="Z37" s="371"/>
      <c r="AA37" s="371"/>
      <c r="AB37" s="371"/>
      <c r="AC37" s="371"/>
      <c r="AD37" s="371"/>
      <c r="AE37" s="371"/>
      <c r="AF37" s="385">
        <f t="shared" si="13"/>
        <v>0</v>
      </c>
      <c r="AG37" s="371"/>
      <c r="AH37" s="371"/>
      <c r="AI37" s="387">
        <f t="shared" si="1"/>
        <v>0</v>
      </c>
      <c r="AJ37" s="496"/>
    </row>
    <row r="38" spans="1:36" s="393" customFormat="1" ht="24" customHeight="1">
      <c r="A38" s="397" t="s">
        <v>379</v>
      </c>
      <c r="B38" s="394" t="s">
        <v>1095</v>
      </c>
      <c r="C38" s="100" t="s">
        <v>1226</v>
      </c>
      <c r="D38" s="396">
        <v>1</v>
      </c>
      <c r="E38" s="385">
        <f t="shared" si="10"/>
        <v>13662</v>
      </c>
      <c r="F38" s="368">
        <v>13400</v>
      </c>
      <c r="G38" s="368">
        <v>262</v>
      </c>
      <c r="H38" s="385">
        <f t="shared" si="11"/>
        <v>3923</v>
      </c>
      <c r="I38" s="371"/>
      <c r="J38" s="371"/>
      <c r="K38" s="371">
        <v>1170</v>
      </c>
      <c r="L38" s="371">
        <v>1667</v>
      </c>
      <c r="M38" s="371"/>
      <c r="N38" s="371">
        <v>700</v>
      </c>
      <c r="O38" s="370">
        <v>386</v>
      </c>
      <c r="P38" s="386">
        <f t="shared" si="12"/>
        <v>9739</v>
      </c>
      <c r="Q38" s="371">
        <v>167</v>
      </c>
      <c r="R38" s="371">
        <v>505</v>
      </c>
      <c r="S38" s="371">
        <v>790</v>
      </c>
      <c r="T38" s="371"/>
      <c r="U38" s="371">
        <v>4252</v>
      </c>
      <c r="V38" s="371"/>
      <c r="W38" s="371">
        <v>40</v>
      </c>
      <c r="X38" s="371">
        <v>965</v>
      </c>
      <c r="Y38" s="371">
        <v>162</v>
      </c>
      <c r="Z38" s="371">
        <v>947</v>
      </c>
      <c r="AA38" s="371"/>
      <c r="AB38" s="371"/>
      <c r="AC38" s="371"/>
      <c r="AD38" s="371"/>
      <c r="AE38" s="371">
        <v>1911</v>
      </c>
      <c r="AF38" s="385">
        <f t="shared" si="13"/>
        <v>0</v>
      </c>
      <c r="AG38" s="371"/>
      <c r="AH38" s="371"/>
      <c r="AI38" s="387">
        <f t="shared" si="1"/>
        <v>0</v>
      </c>
      <c r="AJ38" s="496"/>
    </row>
    <row r="39" spans="1:36" s="393" customFormat="1" ht="36.6" customHeight="1">
      <c r="A39" s="397" t="s">
        <v>379</v>
      </c>
      <c r="B39" s="394" t="s">
        <v>1095</v>
      </c>
      <c r="C39" s="100" t="s">
        <v>1227</v>
      </c>
      <c r="D39" s="396">
        <v>1</v>
      </c>
      <c r="E39" s="385">
        <f t="shared" si="10"/>
        <v>800</v>
      </c>
      <c r="F39" s="368">
        <v>800</v>
      </c>
      <c r="G39" s="368"/>
      <c r="H39" s="385">
        <f t="shared" si="11"/>
        <v>0</v>
      </c>
      <c r="I39" s="371"/>
      <c r="J39" s="371"/>
      <c r="K39" s="371"/>
      <c r="L39" s="371"/>
      <c r="M39" s="371"/>
      <c r="N39" s="371"/>
      <c r="O39" s="370"/>
      <c r="P39" s="386">
        <f t="shared" si="12"/>
        <v>800</v>
      </c>
      <c r="Q39" s="371"/>
      <c r="R39" s="371"/>
      <c r="S39" s="371"/>
      <c r="T39" s="371"/>
      <c r="U39" s="371"/>
      <c r="V39" s="371"/>
      <c r="W39" s="371"/>
      <c r="X39" s="371"/>
      <c r="Y39" s="371"/>
      <c r="Z39" s="371"/>
      <c r="AA39" s="371"/>
      <c r="AB39" s="371"/>
      <c r="AC39" s="371"/>
      <c r="AD39" s="371"/>
      <c r="AE39" s="371">
        <v>800</v>
      </c>
      <c r="AF39" s="385">
        <f t="shared" si="13"/>
        <v>0</v>
      </c>
      <c r="AG39" s="371"/>
      <c r="AH39" s="371"/>
      <c r="AI39" s="387">
        <f t="shared" si="1"/>
        <v>0</v>
      </c>
      <c r="AJ39" s="496"/>
    </row>
    <row r="40" spans="1:36" s="393" customFormat="1" ht="24" customHeight="1">
      <c r="A40" s="397" t="s">
        <v>379</v>
      </c>
      <c r="B40" s="394" t="s">
        <v>1095</v>
      </c>
      <c r="C40" s="100" t="s">
        <v>1228</v>
      </c>
      <c r="D40" s="396">
        <v>1</v>
      </c>
      <c r="E40" s="385">
        <f t="shared" si="10"/>
        <v>102000</v>
      </c>
      <c r="F40" s="368">
        <v>14000</v>
      </c>
      <c r="G40" s="368">
        <v>88000</v>
      </c>
      <c r="H40" s="385">
        <f t="shared" si="11"/>
        <v>52000</v>
      </c>
      <c r="I40" s="371">
        <v>5080</v>
      </c>
      <c r="J40" s="371">
        <v>1100</v>
      </c>
      <c r="K40" s="371">
        <v>11880</v>
      </c>
      <c r="L40" s="371">
        <v>8680</v>
      </c>
      <c r="M40" s="371">
        <v>1430</v>
      </c>
      <c r="N40" s="371">
        <v>9260</v>
      </c>
      <c r="O40" s="370">
        <v>14570</v>
      </c>
      <c r="P40" s="386">
        <f t="shared" si="12"/>
        <v>49670</v>
      </c>
      <c r="Q40" s="371">
        <v>4340</v>
      </c>
      <c r="R40" s="371">
        <v>5160</v>
      </c>
      <c r="S40" s="371">
        <v>2710</v>
      </c>
      <c r="T40" s="371">
        <v>360</v>
      </c>
      <c r="U40" s="371">
        <v>7440</v>
      </c>
      <c r="V40" s="371">
        <v>360</v>
      </c>
      <c r="W40" s="371">
        <v>410</v>
      </c>
      <c r="X40" s="371">
        <v>9420</v>
      </c>
      <c r="Y40" s="371">
        <v>7975</v>
      </c>
      <c r="Z40" s="371">
        <v>9230</v>
      </c>
      <c r="AA40" s="371">
        <v>322</v>
      </c>
      <c r="AB40" s="371">
        <v>1208</v>
      </c>
      <c r="AC40" s="371">
        <v>370</v>
      </c>
      <c r="AD40" s="371">
        <v>365</v>
      </c>
      <c r="AE40" s="371">
        <v>0</v>
      </c>
      <c r="AF40" s="385">
        <f t="shared" si="13"/>
        <v>330</v>
      </c>
      <c r="AG40" s="371">
        <v>165</v>
      </c>
      <c r="AH40" s="371">
        <v>165</v>
      </c>
      <c r="AI40" s="387">
        <f t="shared" si="1"/>
        <v>0</v>
      </c>
      <c r="AJ40" s="496"/>
    </row>
    <row r="41" spans="1:36" s="393" customFormat="1" ht="36.6" customHeight="1">
      <c r="A41" s="397" t="s">
        <v>379</v>
      </c>
      <c r="B41" s="394" t="s">
        <v>1095</v>
      </c>
      <c r="C41" s="100" t="s">
        <v>1229</v>
      </c>
      <c r="D41" s="396">
        <v>1</v>
      </c>
      <c r="E41" s="385">
        <f t="shared" si="10"/>
        <v>486877</v>
      </c>
      <c r="F41" s="368"/>
      <c r="G41" s="368">
        <v>486877</v>
      </c>
      <c r="H41" s="385">
        <f t="shared" si="11"/>
        <v>58116</v>
      </c>
      <c r="I41" s="371"/>
      <c r="J41" s="371"/>
      <c r="K41" s="371">
        <v>16078</v>
      </c>
      <c r="L41" s="371">
        <v>11419</v>
      </c>
      <c r="M41" s="371"/>
      <c r="N41" s="371">
        <v>30619</v>
      </c>
      <c r="O41" s="370"/>
      <c r="P41" s="386">
        <f t="shared" si="12"/>
        <v>428761</v>
      </c>
      <c r="Q41" s="371">
        <v>96207</v>
      </c>
      <c r="R41" s="371">
        <v>76278</v>
      </c>
      <c r="S41" s="371">
        <v>46487</v>
      </c>
      <c r="T41" s="371"/>
      <c r="U41" s="371">
        <v>38348</v>
      </c>
      <c r="V41" s="371"/>
      <c r="W41" s="371">
        <v>37592</v>
      </c>
      <c r="X41" s="371">
        <v>58862</v>
      </c>
      <c r="Y41" s="371">
        <v>48341</v>
      </c>
      <c r="Z41" s="371">
        <v>26646</v>
      </c>
      <c r="AA41" s="371"/>
      <c r="AB41" s="371"/>
      <c r="AC41" s="371"/>
      <c r="AD41" s="371"/>
      <c r="AE41" s="371">
        <v>0</v>
      </c>
      <c r="AF41" s="385">
        <f t="shared" si="13"/>
        <v>0</v>
      </c>
      <c r="AG41" s="371"/>
      <c r="AH41" s="371"/>
      <c r="AI41" s="387">
        <f t="shared" si="1"/>
        <v>0</v>
      </c>
      <c r="AJ41" s="496"/>
    </row>
    <row r="42" spans="1:36" s="393" customFormat="1" ht="41.1" customHeight="1">
      <c r="A42" s="397" t="s">
        <v>379</v>
      </c>
      <c r="B42" s="394" t="s">
        <v>1095</v>
      </c>
      <c r="C42" s="100" t="s">
        <v>1230</v>
      </c>
      <c r="D42" s="396">
        <v>1</v>
      </c>
      <c r="E42" s="385">
        <f t="shared" si="10"/>
        <v>123136</v>
      </c>
      <c r="F42" s="368"/>
      <c r="G42" s="368">
        <v>123136</v>
      </c>
      <c r="H42" s="385">
        <f t="shared" si="11"/>
        <v>20000</v>
      </c>
      <c r="I42" s="371">
        <v>2000</v>
      </c>
      <c r="J42" s="371"/>
      <c r="K42" s="371">
        <v>5000</v>
      </c>
      <c r="L42" s="371">
        <v>3000</v>
      </c>
      <c r="M42" s="371"/>
      <c r="N42" s="371">
        <v>2000</v>
      </c>
      <c r="O42" s="370">
        <v>8000</v>
      </c>
      <c r="P42" s="386">
        <f t="shared" si="12"/>
        <v>103136</v>
      </c>
      <c r="Q42" s="371">
        <v>7000</v>
      </c>
      <c r="R42" s="371">
        <v>6000</v>
      </c>
      <c r="S42" s="371">
        <v>8000</v>
      </c>
      <c r="T42" s="371"/>
      <c r="U42" s="371">
        <v>8000</v>
      </c>
      <c r="V42" s="371"/>
      <c r="W42" s="371">
        <v>4136</v>
      </c>
      <c r="X42" s="371">
        <v>25000</v>
      </c>
      <c r="Y42" s="371">
        <v>22500</v>
      </c>
      <c r="Z42" s="371">
        <v>22500</v>
      </c>
      <c r="AA42" s="371"/>
      <c r="AB42" s="371"/>
      <c r="AC42" s="371"/>
      <c r="AD42" s="371"/>
      <c r="AE42" s="371"/>
      <c r="AF42" s="385">
        <f t="shared" si="13"/>
        <v>0</v>
      </c>
      <c r="AG42" s="371"/>
      <c r="AH42" s="371"/>
      <c r="AI42" s="387">
        <f t="shared" si="1"/>
        <v>0</v>
      </c>
      <c r="AJ42" s="496"/>
    </row>
    <row r="43" spans="1:36" s="393" customFormat="1" ht="24" customHeight="1">
      <c r="A43" s="397" t="s">
        <v>379</v>
      </c>
      <c r="B43" s="394" t="s">
        <v>1095</v>
      </c>
      <c r="C43" s="100" t="s">
        <v>1231</v>
      </c>
      <c r="D43" s="396">
        <v>1</v>
      </c>
      <c r="E43" s="385">
        <f t="shared" si="10"/>
        <v>8539</v>
      </c>
      <c r="F43" s="368">
        <v>3635</v>
      </c>
      <c r="G43" s="368">
        <v>4904</v>
      </c>
      <c r="H43" s="385">
        <f t="shared" si="11"/>
        <v>3379</v>
      </c>
      <c r="I43" s="371"/>
      <c r="J43" s="371"/>
      <c r="K43" s="371"/>
      <c r="L43" s="371"/>
      <c r="M43" s="371"/>
      <c r="N43" s="371"/>
      <c r="O43" s="370">
        <v>3379</v>
      </c>
      <c r="P43" s="386">
        <f t="shared" si="12"/>
        <v>5160</v>
      </c>
      <c r="Q43" s="371"/>
      <c r="R43" s="371"/>
      <c r="S43" s="371"/>
      <c r="T43" s="371"/>
      <c r="U43" s="371"/>
      <c r="V43" s="371"/>
      <c r="W43" s="371"/>
      <c r="X43" s="371"/>
      <c r="Y43" s="371"/>
      <c r="Z43" s="371"/>
      <c r="AA43" s="371"/>
      <c r="AB43" s="371"/>
      <c r="AC43" s="371"/>
      <c r="AD43" s="371"/>
      <c r="AE43" s="371">
        <v>5160</v>
      </c>
      <c r="AF43" s="385">
        <f t="shared" si="13"/>
        <v>0</v>
      </c>
      <c r="AG43" s="371"/>
      <c r="AH43" s="371"/>
      <c r="AI43" s="387">
        <f t="shared" si="1"/>
        <v>0</v>
      </c>
      <c r="AJ43" s="496"/>
    </row>
    <row r="44" spans="1:36" s="393" customFormat="1" ht="24" customHeight="1">
      <c r="A44" s="397" t="s">
        <v>379</v>
      </c>
      <c r="B44" s="394" t="s">
        <v>1095</v>
      </c>
      <c r="C44" s="100" t="s">
        <v>1232</v>
      </c>
      <c r="D44" s="396">
        <v>1</v>
      </c>
      <c r="E44" s="385">
        <f t="shared" si="10"/>
        <v>590000</v>
      </c>
      <c r="F44" s="368">
        <v>390000</v>
      </c>
      <c r="G44" s="368">
        <v>200000</v>
      </c>
      <c r="H44" s="385">
        <f t="shared" si="11"/>
        <v>59000</v>
      </c>
      <c r="I44" s="371">
        <v>10750</v>
      </c>
      <c r="J44" s="371"/>
      <c r="K44" s="371">
        <v>13100</v>
      </c>
      <c r="L44" s="371">
        <v>10100</v>
      </c>
      <c r="M44" s="371"/>
      <c r="N44" s="371">
        <v>25050</v>
      </c>
      <c r="O44" s="370"/>
      <c r="P44" s="386">
        <f t="shared" si="12"/>
        <v>531000</v>
      </c>
      <c r="Q44" s="371">
        <v>23750</v>
      </c>
      <c r="R44" s="371">
        <v>31250</v>
      </c>
      <c r="S44" s="371">
        <v>26150</v>
      </c>
      <c r="T44" s="371"/>
      <c r="U44" s="371">
        <v>29550</v>
      </c>
      <c r="V44" s="371"/>
      <c r="W44" s="371">
        <v>12100</v>
      </c>
      <c r="X44" s="371">
        <v>107700</v>
      </c>
      <c r="Y44" s="371">
        <v>149900</v>
      </c>
      <c r="Z44" s="371">
        <v>133400</v>
      </c>
      <c r="AA44" s="371"/>
      <c r="AB44" s="371"/>
      <c r="AC44" s="371"/>
      <c r="AD44" s="371"/>
      <c r="AE44" s="371">
        <v>17200</v>
      </c>
      <c r="AF44" s="385">
        <f t="shared" si="13"/>
        <v>0</v>
      </c>
      <c r="AG44" s="371"/>
      <c r="AH44" s="371"/>
      <c r="AI44" s="387">
        <f t="shared" si="1"/>
        <v>0</v>
      </c>
      <c r="AJ44" s="496"/>
    </row>
    <row r="45" spans="1:36" s="410" customFormat="1" ht="34.5" customHeight="1">
      <c r="A45" s="411" t="s">
        <v>379</v>
      </c>
      <c r="B45" s="430" t="s">
        <v>1038</v>
      </c>
      <c r="C45" s="498" t="s">
        <v>1037</v>
      </c>
      <c r="D45" s="414">
        <v>1</v>
      </c>
      <c r="E45" s="415">
        <f t="shared" si="10"/>
        <v>9946</v>
      </c>
      <c r="F45" s="415">
        <v>1080</v>
      </c>
      <c r="G45" s="415">
        <v>8866</v>
      </c>
      <c r="H45" s="415">
        <f t="shared" si="11"/>
        <v>2900</v>
      </c>
      <c r="I45" s="415">
        <v>550</v>
      </c>
      <c r="J45" s="415">
        <v>500</v>
      </c>
      <c r="K45" s="415">
        <v>500</v>
      </c>
      <c r="L45" s="415">
        <v>350</v>
      </c>
      <c r="M45" s="415">
        <v>500</v>
      </c>
      <c r="N45" s="415">
        <v>500</v>
      </c>
      <c r="O45" s="416">
        <v>0</v>
      </c>
      <c r="P45" s="416">
        <f t="shared" si="12"/>
        <v>7046</v>
      </c>
      <c r="Q45" s="415">
        <v>700</v>
      </c>
      <c r="R45" s="415">
        <v>500</v>
      </c>
      <c r="S45" s="415">
        <v>750</v>
      </c>
      <c r="T45" s="415">
        <v>300</v>
      </c>
      <c r="U45" s="415">
        <v>0</v>
      </c>
      <c r="V45" s="415">
        <v>0</v>
      </c>
      <c r="W45" s="415">
        <v>210</v>
      </c>
      <c r="X45" s="415">
        <v>1750</v>
      </c>
      <c r="Y45" s="415">
        <v>786</v>
      </c>
      <c r="Z45" s="415">
        <v>1300</v>
      </c>
      <c r="AA45" s="415">
        <v>0</v>
      </c>
      <c r="AB45" s="415">
        <v>250</v>
      </c>
      <c r="AC45" s="415">
        <v>500</v>
      </c>
      <c r="AD45" s="415"/>
      <c r="AE45" s="415"/>
      <c r="AF45" s="415">
        <f t="shared" si="13"/>
        <v>0</v>
      </c>
      <c r="AG45" s="415"/>
      <c r="AH45" s="415"/>
      <c r="AI45" s="387">
        <f t="shared" si="1"/>
        <v>0</v>
      </c>
      <c r="AJ45" s="496"/>
    </row>
    <row r="46" spans="1:36" s="404" customFormat="1" ht="24" customHeight="1">
      <c r="A46" s="398" t="s">
        <v>1096</v>
      </c>
      <c r="B46" s="399"/>
      <c r="C46" s="400"/>
      <c r="D46" s="401"/>
      <c r="E46" s="402">
        <f t="shared" ref="E46:AH46" si="14">SUM(E47:E60)</f>
        <v>847472</v>
      </c>
      <c r="F46" s="402">
        <f t="shared" si="14"/>
        <v>408863</v>
      </c>
      <c r="G46" s="402">
        <f t="shared" si="14"/>
        <v>438609</v>
      </c>
      <c r="H46" s="402">
        <f t="shared" si="14"/>
        <v>253565</v>
      </c>
      <c r="I46" s="402">
        <f t="shared" si="14"/>
        <v>34548</v>
      </c>
      <c r="J46" s="402">
        <f t="shared" si="14"/>
        <v>3810</v>
      </c>
      <c r="K46" s="402">
        <f t="shared" si="14"/>
        <v>80518</v>
      </c>
      <c r="L46" s="402">
        <f t="shared" si="14"/>
        <v>51363</v>
      </c>
      <c r="M46" s="402">
        <f t="shared" si="14"/>
        <v>25026</v>
      </c>
      <c r="N46" s="402">
        <f t="shared" si="14"/>
        <v>57800</v>
      </c>
      <c r="O46" s="402">
        <f t="shared" si="14"/>
        <v>500</v>
      </c>
      <c r="P46" s="402">
        <f t="shared" si="14"/>
        <v>593907</v>
      </c>
      <c r="Q46" s="402">
        <f t="shared" si="14"/>
        <v>19275</v>
      </c>
      <c r="R46" s="402">
        <f t="shared" si="14"/>
        <v>104038</v>
      </c>
      <c r="S46" s="402">
        <f t="shared" si="14"/>
        <v>95077</v>
      </c>
      <c r="T46" s="402">
        <f t="shared" si="14"/>
        <v>22570</v>
      </c>
      <c r="U46" s="402">
        <f t="shared" si="14"/>
        <v>41770</v>
      </c>
      <c r="V46" s="402">
        <f t="shared" si="14"/>
        <v>35370</v>
      </c>
      <c r="W46" s="402">
        <f t="shared" si="14"/>
        <v>28270</v>
      </c>
      <c r="X46" s="402">
        <f t="shared" si="14"/>
        <v>68520</v>
      </c>
      <c r="Y46" s="402">
        <f t="shared" si="14"/>
        <v>49390</v>
      </c>
      <c r="Z46" s="402">
        <f t="shared" si="14"/>
        <v>55847</v>
      </c>
      <c r="AA46" s="402">
        <f t="shared" si="14"/>
        <v>4740</v>
      </c>
      <c r="AB46" s="402">
        <f t="shared" si="14"/>
        <v>13250</v>
      </c>
      <c r="AC46" s="402">
        <f t="shared" si="14"/>
        <v>29690</v>
      </c>
      <c r="AD46" s="402">
        <f t="shared" si="14"/>
        <v>20320</v>
      </c>
      <c r="AE46" s="402">
        <f t="shared" si="14"/>
        <v>5780</v>
      </c>
      <c r="AF46" s="402">
        <f t="shared" si="14"/>
        <v>0</v>
      </c>
      <c r="AG46" s="402">
        <f t="shared" si="14"/>
        <v>0</v>
      </c>
      <c r="AH46" s="402">
        <f t="shared" si="14"/>
        <v>0</v>
      </c>
      <c r="AI46" s="387">
        <f t="shared" si="1"/>
        <v>0</v>
      </c>
    </row>
    <row r="47" spans="1:36" s="393" customFormat="1" ht="33.6" customHeight="1">
      <c r="A47" s="397" t="s">
        <v>379</v>
      </c>
      <c r="B47" s="394" t="s">
        <v>1097</v>
      </c>
      <c r="C47" s="395" t="s">
        <v>262</v>
      </c>
      <c r="D47" s="396">
        <v>1</v>
      </c>
      <c r="E47" s="385">
        <f t="shared" ref="E47:E60" si="15">SUM(H47,P47,AF47)</f>
        <v>1000</v>
      </c>
      <c r="F47" s="368">
        <v>1000</v>
      </c>
      <c r="G47" s="368">
        <v>0</v>
      </c>
      <c r="H47" s="385">
        <f t="shared" ref="H47:H60" si="16">SUM(I47:O47)</f>
        <v>500</v>
      </c>
      <c r="I47" s="371"/>
      <c r="J47" s="499"/>
      <c r="K47" s="371"/>
      <c r="L47" s="371"/>
      <c r="M47" s="371"/>
      <c r="N47" s="371"/>
      <c r="O47" s="370">
        <v>500</v>
      </c>
      <c r="P47" s="386">
        <f t="shared" ref="P47:P60" si="17">SUM(Q47:AE47)</f>
        <v>500</v>
      </c>
      <c r="Q47" s="371"/>
      <c r="R47" s="371"/>
      <c r="S47" s="371"/>
      <c r="T47" s="371"/>
      <c r="U47" s="371"/>
      <c r="V47" s="371"/>
      <c r="W47" s="371"/>
      <c r="X47" s="371"/>
      <c r="Y47" s="371"/>
      <c r="Z47" s="371"/>
      <c r="AA47" s="371"/>
      <c r="AB47" s="371"/>
      <c r="AC47" s="371"/>
      <c r="AD47" s="371"/>
      <c r="AE47" s="371">
        <v>500</v>
      </c>
      <c r="AF47" s="385">
        <f t="shared" ref="AF47:AF60" si="18">SUM(AG47:AH47)</f>
        <v>0</v>
      </c>
      <c r="AG47" s="371"/>
      <c r="AH47" s="371"/>
      <c r="AI47" s="387">
        <f t="shared" si="1"/>
        <v>0</v>
      </c>
    </row>
    <row r="48" spans="1:36" s="393" customFormat="1" ht="36.950000000000003" customHeight="1">
      <c r="A48" s="397" t="s">
        <v>379</v>
      </c>
      <c r="B48" s="394" t="s">
        <v>1097</v>
      </c>
      <c r="C48" s="395" t="s">
        <v>948</v>
      </c>
      <c r="D48" s="396">
        <v>1</v>
      </c>
      <c r="E48" s="385">
        <f t="shared" si="15"/>
        <v>41040</v>
      </c>
      <c r="F48" s="368">
        <v>41040</v>
      </c>
      <c r="G48" s="368">
        <v>0</v>
      </c>
      <c r="H48" s="385">
        <f t="shared" si="16"/>
        <v>10000</v>
      </c>
      <c r="I48" s="371">
        <v>1660</v>
      </c>
      <c r="J48" s="499">
        <v>1660</v>
      </c>
      <c r="K48" s="371">
        <v>1670</v>
      </c>
      <c r="L48" s="371">
        <v>1670</v>
      </c>
      <c r="M48" s="371">
        <v>1670</v>
      </c>
      <c r="N48" s="371">
        <v>1670</v>
      </c>
      <c r="O48" s="370">
        <v>0</v>
      </c>
      <c r="P48" s="386">
        <f t="shared" si="17"/>
        <v>31040</v>
      </c>
      <c r="Q48" s="371">
        <v>1940</v>
      </c>
      <c r="R48" s="371">
        <v>1940</v>
      </c>
      <c r="S48" s="371">
        <v>1940</v>
      </c>
      <c r="T48" s="371">
        <v>1940</v>
      </c>
      <c r="U48" s="371">
        <v>1940</v>
      </c>
      <c r="V48" s="371">
        <v>1940</v>
      </c>
      <c r="W48" s="371">
        <v>1940</v>
      </c>
      <c r="X48" s="371">
        <v>1940</v>
      </c>
      <c r="Y48" s="371">
        <v>1940</v>
      </c>
      <c r="Z48" s="371">
        <v>1940</v>
      </c>
      <c r="AA48" s="371">
        <v>1940</v>
      </c>
      <c r="AB48" s="371">
        <v>1940</v>
      </c>
      <c r="AC48" s="371">
        <v>1940</v>
      </c>
      <c r="AD48" s="371">
        <v>1940</v>
      </c>
      <c r="AE48" s="371">
        <v>3880</v>
      </c>
      <c r="AF48" s="385">
        <f t="shared" si="18"/>
        <v>0</v>
      </c>
      <c r="AG48" s="371"/>
      <c r="AH48" s="371"/>
      <c r="AI48" s="387">
        <f t="shared" si="1"/>
        <v>0</v>
      </c>
    </row>
    <row r="49" spans="1:36" s="393" customFormat="1" ht="27" customHeight="1">
      <c r="A49" s="397" t="s">
        <v>379</v>
      </c>
      <c r="B49" s="394" t="s">
        <v>1097</v>
      </c>
      <c r="C49" s="395" t="s">
        <v>949</v>
      </c>
      <c r="D49" s="396">
        <v>3</v>
      </c>
      <c r="E49" s="385">
        <f t="shared" si="15"/>
        <v>7000</v>
      </c>
      <c r="F49" s="368">
        <v>7000</v>
      </c>
      <c r="G49" s="368">
        <v>0</v>
      </c>
      <c r="H49" s="385">
        <f t="shared" si="16"/>
        <v>2000</v>
      </c>
      <c r="I49" s="371">
        <v>200</v>
      </c>
      <c r="J49" s="499">
        <v>100</v>
      </c>
      <c r="K49" s="371">
        <v>500</v>
      </c>
      <c r="L49" s="371">
        <v>500</v>
      </c>
      <c r="M49" s="371">
        <v>200</v>
      </c>
      <c r="N49" s="371">
        <v>500</v>
      </c>
      <c r="O49" s="370">
        <v>0</v>
      </c>
      <c r="P49" s="386">
        <f t="shared" si="17"/>
        <v>5000</v>
      </c>
      <c r="Q49" s="371">
        <v>100</v>
      </c>
      <c r="R49" s="371">
        <v>800</v>
      </c>
      <c r="S49" s="371">
        <v>800</v>
      </c>
      <c r="T49" s="371">
        <v>200</v>
      </c>
      <c r="U49" s="371">
        <v>300</v>
      </c>
      <c r="V49" s="371">
        <v>500</v>
      </c>
      <c r="W49" s="371">
        <v>200</v>
      </c>
      <c r="X49" s="371">
        <v>700</v>
      </c>
      <c r="Y49" s="371">
        <v>300</v>
      </c>
      <c r="Z49" s="371">
        <v>300</v>
      </c>
      <c r="AA49" s="371">
        <v>0</v>
      </c>
      <c r="AB49" s="371">
        <v>100</v>
      </c>
      <c r="AC49" s="371">
        <v>200</v>
      </c>
      <c r="AD49" s="371">
        <v>200</v>
      </c>
      <c r="AE49" s="371">
        <v>300</v>
      </c>
      <c r="AF49" s="385">
        <f t="shared" si="18"/>
        <v>0</v>
      </c>
      <c r="AG49" s="371">
        <v>0</v>
      </c>
      <c r="AH49" s="371">
        <v>0</v>
      </c>
      <c r="AI49" s="387">
        <f t="shared" si="1"/>
        <v>0</v>
      </c>
    </row>
    <row r="50" spans="1:36" s="393" customFormat="1" ht="26.45" customHeight="1">
      <c r="A50" s="397" t="s">
        <v>379</v>
      </c>
      <c r="B50" s="394" t="s">
        <v>1097</v>
      </c>
      <c r="C50" s="395" t="s">
        <v>950</v>
      </c>
      <c r="D50" s="396">
        <v>3</v>
      </c>
      <c r="E50" s="385">
        <f t="shared" si="15"/>
        <v>49000</v>
      </c>
      <c r="F50" s="368">
        <v>48000</v>
      </c>
      <c r="G50" s="368">
        <v>1000</v>
      </c>
      <c r="H50" s="385">
        <f t="shared" si="16"/>
        <v>24000</v>
      </c>
      <c r="I50" s="371">
        <v>2500</v>
      </c>
      <c r="J50" s="499">
        <v>2000</v>
      </c>
      <c r="K50" s="371">
        <v>8000</v>
      </c>
      <c r="L50" s="371">
        <v>2800</v>
      </c>
      <c r="M50" s="371">
        <v>3000</v>
      </c>
      <c r="N50" s="371">
        <v>5700</v>
      </c>
      <c r="O50" s="370">
        <v>0</v>
      </c>
      <c r="P50" s="386">
        <f t="shared" si="17"/>
        <v>25000</v>
      </c>
      <c r="Q50" s="371">
        <v>800</v>
      </c>
      <c r="R50" s="371">
        <v>4000</v>
      </c>
      <c r="S50" s="371">
        <v>7000</v>
      </c>
      <c r="T50" s="371">
        <v>1000</v>
      </c>
      <c r="U50" s="371">
        <v>800</v>
      </c>
      <c r="V50" s="371">
        <v>1000</v>
      </c>
      <c r="W50" s="371">
        <v>800</v>
      </c>
      <c r="X50" s="371">
        <v>4500</v>
      </c>
      <c r="Y50" s="371">
        <v>1000</v>
      </c>
      <c r="Z50" s="371">
        <v>1500</v>
      </c>
      <c r="AA50" s="371">
        <v>0</v>
      </c>
      <c r="AB50" s="371">
        <v>500</v>
      </c>
      <c r="AC50" s="371">
        <v>500</v>
      </c>
      <c r="AD50" s="371">
        <v>500</v>
      </c>
      <c r="AE50" s="371">
        <v>1100</v>
      </c>
      <c r="AF50" s="385">
        <f t="shared" si="18"/>
        <v>0</v>
      </c>
      <c r="AG50" s="371">
        <v>0</v>
      </c>
      <c r="AH50" s="371">
        <v>0</v>
      </c>
      <c r="AI50" s="387">
        <f t="shared" si="1"/>
        <v>0</v>
      </c>
    </row>
    <row r="51" spans="1:36" s="393" customFormat="1" ht="33.6" customHeight="1">
      <c r="A51" s="397" t="s">
        <v>379</v>
      </c>
      <c r="B51" s="394" t="s">
        <v>1097</v>
      </c>
      <c r="C51" s="395" t="s">
        <v>951</v>
      </c>
      <c r="D51" s="396">
        <v>3</v>
      </c>
      <c r="E51" s="385">
        <f t="shared" si="15"/>
        <v>500</v>
      </c>
      <c r="F51" s="368">
        <v>500</v>
      </c>
      <c r="G51" s="368">
        <v>0</v>
      </c>
      <c r="H51" s="385">
        <f t="shared" si="16"/>
        <v>250</v>
      </c>
      <c r="I51" s="371">
        <v>0</v>
      </c>
      <c r="J51" s="499">
        <v>0</v>
      </c>
      <c r="K51" s="371">
        <v>100</v>
      </c>
      <c r="L51" s="371">
        <v>100</v>
      </c>
      <c r="M51" s="371">
        <v>0</v>
      </c>
      <c r="N51" s="371">
        <v>50</v>
      </c>
      <c r="O51" s="370">
        <v>0</v>
      </c>
      <c r="P51" s="386">
        <f t="shared" si="17"/>
        <v>250</v>
      </c>
      <c r="Q51" s="371">
        <v>0</v>
      </c>
      <c r="R51" s="371">
        <v>100</v>
      </c>
      <c r="S51" s="371">
        <v>100</v>
      </c>
      <c r="T51" s="371">
        <v>0</v>
      </c>
      <c r="U51" s="371">
        <v>0</v>
      </c>
      <c r="V51" s="371">
        <v>50</v>
      </c>
      <c r="W51" s="371">
        <v>0</v>
      </c>
      <c r="X51" s="371">
        <v>0</v>
      </c>
      <c r="Y51" s="371">
        <v>0</v>
      </c>
      <c r="Z51" s="371">
        <v>0</v>
      </c>
      <c r="AA51" s="371">
        <v>0</v>
      </c>
      <c r="AB51" s="371">
        <v>0</v>
      </c>
      <c r="AC51" s="371">
        <v>0</v>
      </c>
      <c r="AD51" s="371">
        <v>0</v>
      </c>
      <c r="AE51" s="371">
        <v>0</v>
      </c>
      <c r="AF51" s="385">
        <f t="shared" si="18"/>
        <v>0</v>
      </c>
      <c r="AG51" s="371">
        <v>0</v>
      </c>
      <c r="AH51" s="371">
        <v>0</v>
      </c>
      <c r="AI51" s="387">
        <f t="shared" si="1"/>
        <v>0</v>
      </c>
    </row>
    <row r="52" spans="1:36" s="393" customFormat="1" ht="28.5" customHeight="1">
      <c r="A52" s="397" t="s">
        <v>379</v>
      </c>
      <c r="B52" s="394" t="s">
        <v>1097</v>
      </c>
      <c r="C52" s="395" t="s">
        <v>952</v>
      </c>
      <c r="D52" s="396">
        <v>3</v>
      </c>
      <c r="E52" s="385">
        <f t="shared" si="15"/>
        <v>1000</v>
      </c>
      <c r="F52" s="368">
        <v>1000</v>
      </c>
      <c r="G52" s="368">
        <v>0</v>
      </c>
      <c r="H52" s="385">
        <f t="shared" si="16"/>
        <v>500</v>
      </c>
      <c r="I52" s="371">
        <v>50</v>
      </c>
      <c r="J52" s="499">
        <v>50</v>
      </c>
      <c r="K52" s="371">
        <v>100</v>
      </c>
      <c r="L52" s="371">
        <v>100</v>
      </c>
      <c r="M52" s="371">
        <v>100</v>
      </c>
      <c r="N52" s="371">
        <v>100</v>
      </c>
      <c r="O52" s="370">
        <v>0</v>
      </c>
      <c r="P52" s="386">
        <f t="shared" si="17"/>
        <v>500</v>
      </c>
      <c r="Q52" s="371">
        <v>0</v>
      </c>
      <c r="R52" s="371">
        <v>100</v>
      </c>
      <c r="S52" s="371">
        <v>100</v>
      </c>
      <c r="T52" s="371">
        <v>0</v>
      </c>
      <c r="U52" s="371">
        <v>20</v>
      </c>
      <c r="V52" s="371">
        <v>50</v>
      </c>
      <c r="W52" s="371">
        <v>0</v>
      </c>
      <c r="X52" s="371">
        <v>100</v>
      </c>
      <c r="Y52" s="371">
        <v>50</v>
      </c>
      <c r="Z52" s="371">
        <v>80</v>
      </c>
      <c r="AA52" s="371">
        <v>0</v>
      </c>
      <c r="AB52" s="371">
        <v>0</v>
      </c>
      <c r="AC52" s="371">
        <v>0</v>
      </c>
      <c r="AD52" s="371">
        <v>0</v>
      </c>
      <c r="AE52" s="371">
        <v>0</v>
      </c>
      <c r="AF52" s="385">
        <f t="shared" si="18"/>
        <v>0</v>
      </c>
      <c r="AG52" s="371">
        <v>0</v>
      </c>
      <c r="AH52" s="371">
        <v>0</v>
      </c>
      <c r="AI52" s="387">
        <f t="shared" si="1"/>
        <v>0</v>
      </c>
    </row>
    <row r="53" spans="1:36" s="393" customFormat="1" ht="24" customHeight="1">
      <c r="A53" s="397" t="s">
        <v>379</v>
      </c>
      <c r="B53" s="394" t="s">
        <v>1097</v>
      </c>
      <c r="C53" s="395" t="s">
        <v>953</v>
      </c>
      <c r="D53" s="396">
        <v>3</v>
      </c>
      <c r="E53" s="385">
        <f t="shared" si="15"/>
        <v>500</v>
      </c>
      <c r="F53" s="368">
        <v>500</v>
      </c>
      <c r="G53" s="368">
        <v>0</v>
      </c>
      <c r="H53" s="385">
        <f t="shared" si="16"/>
        <v>250</v>
      </c>
      <c r="I53" s="371">
        <v>0</v>
      </c>
      <c r="J53" s="499">
        <v>0</v>
      </c>
      <c r="K53" s="371">
        <v>100</v>
      </c>
      <c r="L53" s="371">
        <v>100</v>
      </c>
      <c r="M53" s="371">
        <v>0</v>
      </c>
      <c r="N53" s="371">
        <v>50</v>
      </c>
      <c r="O53" s="370">
        <v>0</v>
      </c>
      <c r="P53" s="386">
        <f t="shared" si="17"/>
        <v>250</v>
      </c>
      <c r="Q53" s="371">
        <v>0</v>
      </c>
      <c r="R53" s="371">
        <v>100</v>
      </c>
      <c r="S53" s="371">
        <v>100</v>
      </c>
      <c r="T53" s="371">
        <v>0</v>
      </c>
      <c r="U53" s="371">
        <v>0</v>
      </c>
      <c r="V53" s="371">
        <v>50</v>
      </c>
      <c r="W53" s="371">
        <v>0</v>
      </c>
      <c r="X53" s="371">
        <v>0</v>
      </c>
      <c r="Y53" s="371">
        <v>0</v>
      </c>
      <c r="Z53" s="371">
        <v>0</v>
      </c>
      <c r="AA53" s="371">
        <v>0</v>
      </c>
      <c r="AB53" s="371">
        <v>0</v>
      </c>
      <c r="AC53" s="371">
        <v>0</v>
      </c>
      <c r="AD53" s="371">
        <v>0</v>
      </c>
      <c r="AE53" s="371">
        <v>0</v>
      </c>
      <c r="AF53" s="385">
        <f t="shared" si="18"/>
        <v>0</v>
      </c>
      <c r="AG53" s="371">
        <v>0</v>
      </c>
      <c r="AH53" s="371">
        <v>0</v>
      </c>
      <c r="AI53" s="387">
        <f t="shared" si="1"/>
        <v>0</v>
      </c>
    </row>
    <row r="54" spans="1:36" s="393" customFormat="1" ht="30.95" customHeight="1">
      <c r="A54" s="397" t="s">
        <v>379</v>
      </c>
      <c r="B54" s="394" t="s">
        <v>1097</v>
      </c>
      <c r="C54" s="395" t="s">
        <v>1163</v>
      </c>
      <c r="D54" s="396">
        <v>3</v>
      </c>
      <c r="E54" s="385">
        <f t="shared" si="15"/>
        <v>120671</v>
      </c>
      <c r="F54" s="368">
        <v>120671</v>
      </c>
      <c r="G54" s="368">
        <v>0</v>
      </c>
      <c r="H54" s="385">
        <f t="shared" si="16"/>
        <v>24100</v>
      </c>
      <c r="I54" s="371">
        <v>4600</v>
      </c>
      <c r="J54" s="500">
        <v>0</v>
      </c>
      <c r="K54" s="371">
        <v>6000</v>
      </c>
      <c r="L54" s="371">
        <v>4500</v>
      </c>
      <c r="M54" s="371">
        <v>3000</v>
      </c>
      <c r="N54" s="371">
        <v>6000</v>
      </c>
      <c r="O54" s="370">
        <v>0</v>
      </c>
      <c r="P54" s="386">
        <f t="shared" si="17"/>
        <v>96571</v>
      </c>
      <c r="Q54" s="371">
        <v>1800</v>
      </c>
      <c r="R54" s="371">
        <v>19200</v>
      </c>
      <c r="S54" s="371">
        <v>18854</v>
      </c>
      <c r="T54" s="371">
        <v>2000</v>
      </c>
      <c r="U54" s="371">
        <v>10000</v>
      </c>
      <c r="V54" s="371">
        <v>4000</v>
      </c>
      <c r="W54" s="371">
        <v>3000</v>
      </c>
      <c r="X54" s="371">
        <v>16000</v>
      </c>
      <c r="Y54" s="371">
        <v>4000</v>
      </c>
      <c r="Z54" s="371">
        <v>7217</v>
      </c>
      <c r="AA54" s="371">
        <v>0</v>
      </c>
      <c r="AB54" s="371">
        <v>3500</v>
      </c>
      <c r="AC54" s="371">
        <v>4000</v>
      </c>
      <c r="AD54" s="371">
        <v>3000</v>
      </c>
      <c r="AE54" s="371">
        <v>0</v>
      </c>
      <c r="AF54" s="385">
        <f t="shared" si="18"/>
        <v>0</v>
      </c>
      <c r="AG54" s="371">
        <v>0</v>
      </c>
      <c r="AH54" s="371">
        <v>0</v>
      </c>
      <c r="AI54" s="387">
        <f t="shared" si="1"/>
        <v>0</v>
      </c>
    </row>
    <row r="55" spans="1:36" s="393" customFormat="1" ht="30" customHeight="1">
      <c r="A55" s="397" t="s">
        <v>379</v>
      </c>
      <c r="B55" s="394" t="s">
        <v>1097</v>
      </c>
      <c r="C55" s="395" t="s">
        <v>261</v>
      </c>
      <c r="D55" s="396">
        <v>3</v>
      </c>
      <c r="E55" s="385">
        <f t="shared" si="15"/>
        <v>192</v>
      </c>
      <c r="F55" s="368">
        <v>192</v>
      </c>
      <c r="G55" s="368">
        <v>0</v>
      </c>
      <c r="H55" s="385">
        <f t="shared" si="16"/>
        <v>96</v>
      </c>
      <c r="I55" s="371">
        <v>0</v>
      </c>
      <c r="J55" s="499">
        <v>0</v>
      </c>
      <c r="K55" s="371">
        <v>28</v>
      </c>
      <c r="L55" s="371">
        <v>28</v>
      </c>
      <c r="M55" s="371">
        <v>10</v>
      </c>
      <c r="N55" s="371">
        <v>30</v>
      </c>
      <c r="O55" s="370">
        <v>0</v>
      </c>
      <c r="P55" s="386">
        <f t="shared" si="17"/>
        <v>96</v>
      </c>
      <c r="Q55" s="371">
        <v>10</v>
      </c>
      <c r="R55" s="371">
        <v>18</v>
      </c>
      <c r="S55" s="371">
        <v>18</v>
      </c>
      <c r="T55" s="371">
        <v>0</v>
      </c>
      <c r="U55" s="371">
        <v>10</v>
      </c>
      <c r="V55" s="371">
        <v>0</v>
      </c>
      <c r="W55" s="371">
        <v>0</v>
      </c>
      <c r="X55" s="371">
        <v>20</v>
      </c>
      <c r="Y55" s="371">
        <v>10</v>
      </c>
      <c r="Z55" s="371">
        <v>10</v>
      </c>
      <c r="AA55" s="371">
        <v>0</v>
      </c>
      <c r="AB55" s="371">
        <v>0</v>
      </c>
      <c r="AC55" s="371">
        <v>0</v>
      </c>
      <c r="AD55" s="371">
        <v>0</v>
      </c>
      <c r="AE55" s="371">
        <v>0</v>
      </c>
      <c r="AF55" s="385">
        <f t="shared" si="18"/>
        <v>0</v>
      </c>
      <c r="AG55" s="371">
        <v>0</v>
      </c>
      <c r="AH55" s="371">
        <v>0</v>
      </c>
      <c r="AI55" s="387">
        <f t="shared" si="1"/>
        <v>0</v>
      </c>
    </row>
    <row r="56" spans="1:36" s="393" customFormat="1" ht="37.5" customHeight="1">
      <c r="A56" s="397" t="s">
        <v>379</v>
      </c>
      <c r="B56" s="394" t="s">
        <v>1097</v>
      </c>
      <c r="C56" s="395" t="s">
        <v>954</v>
      </c>
      <c r="D56" s="396">
        <v>3</v>
      </c>
      <c r="E56" s="385">
        <f t="shared" si="15"/>
        <v>16200</v>
      </c>
      <c r="F56" s="368">
        <v>16200</v>
      </c>
      <c r="G56" s="368">
        <v>0</v>
      </c>
      <c r="H56" s="385">
        <f t="shared" si="16"/>
        <v>5400</v>
      </c>
      <c r="I56" s="371">
        <v>0</v>
      </c>
      <c r="J56" s="499">
        <v>0</v>
      </c>
      <c r="K56" s="371">
        <v>2700</v>
      </c>
      <c r="L56" s="371">
        <v>2700</v>
      </c>
      <c r="M56" s="371">
        <v>0</v>
      </c>
      <c r="N56" s="371">
        <v>0</v>
      </c>
      <c r="O56" s="370">
        <v>0</v>
      </c>
      <c r="P56" s="386">
        <f t="shared" si="17"/>
        <v>10800</v>
      </c>
      <c r="Q56" s="371">
        <v>0</v>
      </c>
      <c r="R56" s="371">
        <v>5400</v>
      </c>
      <c r="S56" s="371">
        <v>5400</v>
      </c>
      <c r="T56" s="371">
        <v>0</v>
      </c>
      <c r="U56" s="371">
        <v>0</v>
      </c>
      <c r="V56" s="371">
        <v>0</v>
      </c>
      <c r="W56" s="371">
        <v>0</v>
      </c>
      <c r="X56" s="371">
        <v>0</v>
      </c>
      <c r="Y56" s="371">
        <v>0</v>
      </c>
      <c r="Z56" s="371">
        <v>0</v>
      </c>
      <c r="AA56" s="371">
        <v>0</v>
      </c>
      <c r="AB56" s="371">
        <v>0</v>
      </c>
      <c r="AC56" s="371">
        <v>0</v>
      </c>
      <c r="AD56" s="371">
        <v>0</v>
      </c>
      <c r="AE56" s="371">
        <v>0</v>
      </c>
      <c r="AF56" s="385">
        <f t="shared" si="18"/>
        <v>0</v>
      </c>
      <c r="AG56" s="371">
        <v>0</v>
      </c>
      <c r="AH56" s="371">
        <v>0</v>
      </c>
      <c r="AI56" s="387">
        <f t="shared" si="1"/>
        <v>0</v>
      </c>
    </row>
    <row r="57" spans="1:36" s="393" customFormat="1" ht="51" customHeight="1">
      <c r="A57" s="397" t="s">
        <v>379</v>
      </c>
      <c r="B57" s="394" t="s">
        <v>1097</v>
      </c>
      <c r="C57" s="395" t="s">
        <v>955</v>
      </c>
      <c r="D57" s="396">
        <v>3</v>
      </c>
      <c r="E57" s="385">
        <f t="shared" si="15"/>
        <v>212369</v>
      </c>
      <c r="F57" s="368">
        <v>14260</v>
      </c>
      <c r="G57" s="368">
        <v>198109</v>
      </c>
      <c r="H57" s="385">
        <f t="shared" si="16"/>
        <v>65069</v>
      </c>
      <c r="I57" s="371">
        <v>8038</v>
      </c>
      <c r="J57" s="499">
        <v>0</v>
      </c>
      <c r="K57" s="371">
        <v>21620</v>
      </c>
      <c r="L57" s="371">
        <v>11265</v>
      </c>
      <c r="M57" s="371">
        <v>8046</v>
      </c>
      <c r="N57" s="371">
        <v>16100</v>
      </c>
      <c r="O57" s="370">
        <v>0</v>
      </c>
      <c r="P57" s="386">
        <f t="shared" si="17"/>
        <v>147300</v>
      </c>
      <c r="Q57" s="371">
        <v>7075</v>
      </c>
      <c r="R57" s="371">
        <v>20880</v>
      </c>
      <c r="S57" s="371">
        <v>16465</v>
      </c>
      <c r="T57" s="371">
        <v>8030</v>
      </c>
      <c r="U57" s="371">
        <v>10200</v>
      </c>
      <c r="V57" s="371">
        <v>9880</v>
      </c>
      <c r="W57" s="371">
        <v>8030</v>
      </c>
      <c r="X57" s="371">
        <v>13660</v>
      </c>
      <c r="Y57" s="371">
        <v>13490</v>
      </c>
      <c r="Z57" s="371">
        <v>15500</v>
      </c>
      <c r="AA57" s="371">
        <v>800</v>
      </c>
      <c r="AB57" s="371">
        <v>3210</v>
      </c>
      <c r="AC57" s="371">
        <v>12050</v>
      </c>
      <c r="AD57" s="371">
        <v>8030</v>
      </c>
      <c r="AE57" s="371">
        <v>0</v>
      </c>
      <c r="AF57" s="385">
        <f t="shared" si="18"/>
        <v>0</v>
      </c>
      <c r="AG57" s="371">
        <v>0</v>
      </c>
      <c r="AH57" s="371">
        <v>0</v>
      </c>
      <c r="AI57" s="387">
        <f t="shared" si="1"/>
        <v>0</v>
      </c>
    </row>
    <row r="58" spans="1:36" s="393" customFormat="1" ht="37.5" customHeight="1">
      <c r="A58" s="397" t="s">
        <v>379</v>
      </c>
      <c r="B58" s="394" t="s">
        <v>1097</v>
      </c>
      <c r="C58" s="395" t="s">
        <v>956</v>
      </c>
      <c r="D58" s="396">
        <v>3</v>
      </c>
      <c r="E58" s="385">
        <f t="shared" si="15"/>
        <v>228000</v>
      </c>
      <c r="F58" s="368">
        <v>43500</v>
      </c>
      <c r="G58" s="368">
        <v>184500</v>
      </c>
      <c r="H58" s="385">
        <f t="shared" si="16"/>
        <v>66200</v>
      </c>
      <c r="I58" s="371">
        <v>4500</v>
      </c>
      <c r="J58" s="499">
        <v>0</v>
      </c>
      <c r="K58" s="371">
        <v>24700</v>
      </c>
      <c r="L58" s="371">
        <v>20000</v>
      </c>
      <c r="M58" s="371">
        <v>5000</v>
      </c>
      <c r="N58" s="371">
        <v>12000</v>
      </c>
      <c r="O58" s="370">
        <v>0</v>
      </c>
      <c r="P58" s="386">
        <f t="shared" si="17"/>
        <v>161800</v>
      </c>
      <c r="Q58" s="371">
        <v>6500</v>
      </c>
      <c r="R58" s="371">
        <v>25000</v>
      </c>
      <c r="S58" s="371">
        <v>24300</v>
      </c>
      <c r="T58" s="371">
        <v>8000</v>
      </c>
      <c r="U58" s="371">
        <v>15000</v>
      </c>
      <c r="V58" s="371">
        <v>10000</v>
      </c>
      <c r="W58" s="371">
        <v>8000</v>
      </c>
      <c r="X58" s="371">
        <v>18000</v>
      </c>
      <c r="Y58" s="371">
        <v>15000</v>
      </c>
      <c r="Z58" s="371">
        <v>15000</v>
      </c>
      <c r="AA58" s="371">
        <v>1000</v>
      </c>
      <c r="AB58" s="371">
        <v>3000</v>
      </c>
      <c r="AC58" s="371">
        <v>8000</v>
      </c>
      <c r="AD58" s="371">
        <v>5000</v>
      </c>
      <c r="AE58" s="371">
        <v>0</v>
      </c>
      <c r="AF58" s="385">
        <f t="shared" si="18"/>
        <v>0</v>
      </c>
      <c r="AG58" s="371">
        <v>0</v>
      </c>
      <c r="AH58" s="371">
        <v>0</v>
      </c>
      <c r="AI58" s="387">
        <f t="shared" si="1"/>
        <v>0</v>
      </c>
    </row>
    <row r="59" spans="1:36" s="393" customFormat="1" ht="38.1" customHeight="1">
      <c r="A59" s="397" t="s">
        <v>379</v>
      </c>
      <c r="B59" s="394" t="s">
        <v>1097</v>
      </c>
      <c r="C59" s="395" t="s">
        <v>957</v>
      </c>
      <c r="D59" s="396">
        <v>3</v>
      </c>
      <c r="E59" s="385">
        <f t="shared" si="15"/>
        <v>100000</v>
      </c>
      <c r="F59" s="368">
        <v>100000</v>
      </c>
      <c r="G59" s="368">
        <v>0</v>
      </c>
      <c r="H59" s="385">
        <f t="shared" si="16"/>
        <v>39000</v>
      </c>
      <c r="I59" s="371">
        <v>11000</v>
      </c>
      <c r="J59" s="499">
        <v>0</v>
      </c>
      <c r="K59" s="371">
        <v>9000</v>
      </c>
      <c r="L59" s="371">
        <v>3000</v>
      </c>
      <c r="M59" s="371">
        <v>2400</v>
      </c>
      <c r="N59" s="371">
        <v>13600</v>
      </c>
      <c r="O59" s="370">
        <v>0</v>
      </c>
      <c r="P59" s="386">
        <f t="shared" si="17"/>
        <v>61000</v>
      </c>
      <c r="Q59" s="371">
        <v>200</v>
      </c>
      <c r="R59" s="371">
        <v>15300</v>
      </c>
      <c r="S59" s="371">
        <v>8000</v>
      </c>
      <c r="T59" s="371">
        <v>700</v>
      </c>
      <c r="U59" s="371">
        <v>700</v>
      </c>
      <c r="V59" s="371">
        <v>3700</v>
      </c>
      <c r="W59" s="371">
        <v>4500</v>
      </c>
      <c r="X59" s="371">
        <v>8000</v>
      </c>
      <c r="Y59" s="371">
        <v>8000</v>
      </c>
      <c r="Z59" s="371">
        <v>8000</v>
      </c>
      <c r="AA59" s="371">
        <v>300</v>
      </c>
      <c r="AB59" s="371">
        <v>300</v>
      </c>
      <c r="AC59" s="371">
        <v>1800</v>
      </c>
      <c r="AD59" s="371">
        <v>1500</v>
      </c>
      <c r="AE59" s="371">
        <v>0</v>
      </c>
      <c r="AF59" s="385">
        <f t="shared" si="18"/>
        <v>0</v>
      </c>
      <c r="AG59" s="371">
        <v>0</v>
      </c>
      <c r="AH59" s="371">
        <v>0</v>
      </c>
      <c r="AI59" s="387">
        <f t="shared" si="1"/>
        <v>0</v>
      </c>
    </row>
    <row r="60" spans="1:36" s="393" customFormat="1" ht="54.6" customHeight="1">
      <c r="A60" s="397" t="s">
        <v>379</v>
      </c>
      <c r="B60" s="394" t="s">
        <v>1097</v>
      </c>
      <c r="C60" s="395" t="s">
        <v>958</v>
      </c>
      <c r="D60" s="396">
        <v>3</v>
      </c>
      <c r="E60" s="385">
        <f t="shared" si="15"/>
        <v>70000</v>
      </c>
      <c r="F60" s="368">
        <v>15000</v>
      </c>
      <c r="G60" s="368">
        <v>55000</v>
      </c>
      <c r="H60" s="385">
        <f t="shared" si="16"/>
        <v>16200</v>
      </c>
      <c r="I60" s="371">
        <v>2000</v>
      </c>
      <c r="J60" s="499">
        <v>0</v>
      </c>
      <c r="K60" s="371">
        <v>6000</v>
      </c>
      <c r="L60" s="371">
        <v>4600</v>
      </c>
      <c r="M60" s="371">
        <v>1600</v>
      </c>
      <c r="N60" s="371">
        <v>2000</v>
      </c>
      <c r="O60" s="370">
        <v>0</v>
      </c>
      <c r="P60" s="386">
        <f t="shared" si="17"/>
        <v>53800</v>
      </c>
      <c r="Q60" s="371">
        <v>850</v>
      </c>
      <c r="R60" s="371">
        <v>11200</v>
      </c>
      <c r="S60" s="371">
        <v>12000</v>
      </c>
      <c r="T60" s="371">
        <v>700</v>
      </c>
      <c r="U60" s="371">
        <v>2800</v>
      </c>
      <c r="V60" s="371">
        <v>4200</v>
      </c>
      <c r="W60" s="371">
        <v>1800</v>
      </c>
      <c r="X60" s="371">
        <v>5600</v>
      </c>
      <c r="Y60" s="371">
        <v>5600</v>
      </c>
      <c r="Z60" s="371">
        <v>6300</v>
      </c>
      <c r="AA60" s="371">
        <v>700</v>
      </c>
      <c r="AB60" s="371">
        <v>700</v>
      </c>
      <c r="AC60" s="371">
        <v>1200</v>
      </c>
      <c r="AD60" s="371">
        <v>150</v>
      </c>
      <c r="AE60" s="371">
        <v>0</v>
      </c>
      <c r="AF60" s="385">
        <f t="shared" si="18"/>
        <v>0</v>
      </c>
      <c r="AG60" s="371">
        <v>0</v>
      </c>
      <c r="AH60" s="371">
        <v>0</v>
      </c>
      <c r="AI60" s="387">
        <f t="shared" si="1"/>
        <v>0</v>
      </c>
    </row>
    <row r="61" spans="1:36" s="404" customFormat="1" ht="24" customHeight="1">
      <c r="A61" s="398" t="s">
        <v>878</v>
      </c>
      <c r="B61" s="399"/>
      <c r="C61" s="400"/>
      <c r="D61" s="401"/>
      <c r="E61" s="402">
        <f t="shared" ref="E61:AH61" si="19">E62+E71+E84+E97+E102+E103</f>
        <v>16046756</v>
      </c>
      <c r="F61" s="402">
        <f t="shared" si="19"/>
        <v>1212918</v>
      </c>
      <c r="G61" s="402">
        <f t="shared" si="19"/>
        <v>14833838</v>
      </c>
      <c r="H61" s="402">
        <f t="shared" si="19"/>
        <v>9454927</v>
      </c>
      <c r="I61" s="402">
        <f t="shared" si="19"/>
        <v>2730521</v>
      </c>
      <c r="J61" s="402">
        <f t="shared" si="19"/>
        <v>127019</v>
      </c>
      <c r="K61" s="402">
        <f t="shared" si="19"/>
        <v>1295542</v>
      </c>
      <c r="L61" s="402">
        <f t="shared" si="19"/>
        <v>1655002</v>
      </c>
      <c r="M61" s="402">
        <f t="shared" si="19"/>
        <v>1093205</v>
      </c>
      <c r="N61" s="402">
        <f t="shared" si="19"/>
        <v>2124832</v>
      </c>
      <c r="O61" s="402">
        <f t="shared" si="19"/>
        <v>428806</v>
      </c>
      <c r="P61" s="402">
        <f t="shared" si="19"/>
        <v>6185408</v>
      </c>
      <c r="Q61" s="402">
        <f t="shared" si="19"/>
        <v>666296</v>
      </c>
      <c r="R61" s="402">
        <f t="shared" si="19"/>
        <v>328319</v>
      </c>
      <c r="S61" s="402">
        <f t="shared" si="19"/>
        <v>515733</v>
      </c>
      <c r="T61" s="402">
        <f t="shared" si="19"/>
        <v>366215</v>
      </c>
      <c r="U61" s="402">
        <f t="shared" si="19"/>
        <v>475117</v>
      </c>
      <c r="V61" s="402">
        <f t="shared" si="19"/>
        <v>203835</v>
      </c>
      <c r="W61" s="402">
        <f t="shared" si="19"/>
        <v>141486</v>
      </c>
      <c r="X61" s="402">
        <f t="shared" si="19"/>
        <v>383771</v>
      </c>
      <c r="Y61" s="402">
        <f t="shared" si="19"/>
        <v>210241</v>
      </c>
      <c r="Z61" s="402">
        <f t="shared" si="19"/>
        <v>513139</v>
      </c>
      <c r="AA61" s="402">
        <f t="shared" si="19"/>
        <v>144019</v>
      </c>
      <c r="AB61" s="402">
        <f t="shared" si="19"/>
        <v>474357</v>
      </c>
      <c r="AC61" s="402">
        <f t="shared" si="19"/>
        <v>561775</v>
      </c>
      <c r="AD61" s="402">
        <f t="shared" si="19"/>
        <v>432801</v>
      </c>
      <c r="AE61" s="402">
        <f t="shared" si="19"/>
        <v>768304</v>
      </c>
      <c r="AF61" s="402">
        <f t="shared" si="19"/>
        <v>406421</v>
      </c>
      <c r="AG61" s="402">
        <f t="shared" si="19"/>
        <v>229607</v>
      </c>
      <c r="AH61" s="402">
        <f t="shared" si="19"/>
        <v>176814</v>
      </c>
      <c r="AI61" s="387">
        <f t="shared" si="1"/>
        <v>0</v>
      </c>
      <c r="AJ61" s="496"/>
    </row>
    <row r="62" spans="1:36" s="410" customFormat="1" ht="21.6" customHeight="1">
      <c r="A62" s="405" t="s">
        <v>877</v>
      </c>
      <c r="B62" s="406"/>
      <c r="C62" s="407"/>
      <c r="D62" s="408"/>
      <c r="E62" s="409">
        <f t="shared" ref="E62:AH62" si="20">SUM(E63:E70)</f>
        <v>331511</v>
      </c>
      <c r="F62" s="409">
        <f t="shared" si="20"/>
        <v>244639</v>
      </c>
      <c r="G62" s="409">
        <f t="shared" si="20"/>
        <v>86872</v>
      </c>
      <c r="H62" s="409">
        <f t="shared" si="20"/>
        <v>135186</v>
      </c>
      <c r="I62" s="409">
        <f t="shared" si="20"/>
        <v>32129</v>
      </c>
      <c r="J62" s="409">
        <f t="shared" si="20"/>
        <v>1256</v>
      </c>
      <c r="K62" s="409">
        <f t="shared" si="20"/>
        <v>36731</v>
      </c>
      <c r="L62" s="409">
        <f t="shared" si="20"/>
        <v>21605</v>
      </c>
      <c r="M62" s="409">
        <f t="shared" si="20"/>
        <v>22397</v>
      </c>
      <c r="N62" s="409">
        <f t="shared" si="20"/>
        <v>21039</v>
      </c>
      <c r="O62" s="409">
        <f t="shared" si="20"/>
        <v>29</v>
      </c>
      <c r="P62" s="409">
        <f t="shared" si="20"/>
        <v>194806</v>
      </c>
      <c r="Q62" s="409">
        <f t="shared" si="20"/>
        <v>2269</v>
      </c>
      <c r="R62" s="409">
        <f t="shared" si="20"/>
        <v>7268</v>
      </c>
      <c r="S62" s="409">
        <f t="shared" si="20"/>
        <v>15388</v>
      </c>
      <c r="T62" s="409">
        <f t="shared" si="20"/>
        <v>31479</v>
      </c>
      <c r="U62" s="409">
        <f t="shared" si="20"/>
        <v>12479</v>
      </c>
      <c r="V62" s="409">
        <f t="shared" si="20"/>
        <v>15381</v>
      </c>
      <c r="W62" s="409">
        <f t="shared" si="20"/>
        <v>20521</v>
      </c>
      <c r="X62" s="409">
        <f t="shared" si="20"/>
        <v>31091</v>
      </c>
      <c r="Y62" s="409">
        <f t="shared" si="20"/>
        <v>7758</v>
      </c>
      <c r="Z62" s="409">
        <f t="shared" si="20"/>
        <v>26128</v>
      </c>
      <c r="AA62" s="409">
        <f t="shared" si="20"/>
        <v>10939</v>
      </c>
      <c r="AB62" s="409">
        <f t="shared" si="20"/>
        <v>702</v>
      </c>
      <c r="AC62" s="409">
        <f t="shared" si="20"/>
        <v>1455</v>
      </c>
      <c r="AD62" s="409">
        <f t="shared" si="20"/>
        <v>1199</v>
      </c>
      <c r="AE62" s="409">
        <f t="shared" si="20"/>
        <v>10749</v>
      </c>
      <c r="AF62" s="409">
        <f t="shared" si="20"/>
        <v>1519</v>
      </c>
      <c r="AG62" s="409">
        <f t="shared" si="20"/>
        <v>1384</v>
      </c>
      <c r="AH62" s="409">
        <f t="shared" si="20"/>
        <v>135</v>
      </c>
      <c r="AI62" s="387">
        <f t="shared" si="1"/>
        <v>0</v>
      </c>
      <c r="AJ62" s="496"/>
    </row>
    <row r="63" spans="1:36" s="393" customFormat="1" ht="24" customHeight="1">
      <c r="A63" s="397" t="s">
        <v>116</v>
      </c>
      <c r="B63" s="394" t="s">
        <v>80</v>
      </c>
      <c r="C63" s="501" t="s">
        <v>239</v>
      </c>
      <c r="D63" s="396">
        <v>1</v>
      </c>
      <c r="E63" s="385">
        <f t="shared" ref="E63:E70" si="21">SUM(H63,P63,AF63)</f>
        <v>70658</v>
      </c>
      <c r="F63" s="368"/>
      <c r="G63" s="368">
        <v>70658</v>
      </c>
      <c r="H63" s="385">
        <f t="shared" ref="H63:H70" si="22">SUM(I63:O63)</f>
        <v>15810</v>
      </c>
      <c r="I63" s="371">
        <v>7800</v>
      </c>
      <c r="J63" s="371"/>
      <c r="K63" s="371">
        <v>7000</v>
      </c>
      <c r="L63" s="371">
        <v>300</v>
      </c>
      <c r="M63" s="371">
        <v>260</v>
      </c>
      <c r="N63" s="371">
        <v>450</v>
      </c>
      <c r="O63" s="370">
        <v>0</v>
      </c>
      <c r="P63" s="386">
        <f t="shared" ref="P63:P70" si="23">SUM(Q63:AE63)</f>
        <v>53848</v>
      </c>
      <c r="Q63" s="371">
        <v>600</v>
      </c>
      <c r="R63" s="371">
        <v>0</v>
      </c>
      <c r="S63" s="371">
        <v>5034</v>
      </c>
      <c r="T63" s="371">
        <v>16500</v>
      </c>
      <c r="U63" s="371">
        <v>1440</v>
      </c>
      <c r="V63" s="371">
        <v>2420</v>
      </c>
      <c r="W63" s="371">
        <v>7000</v>
      </c>
      <c r="X63" s="371">
        <v>13054</v>
      </c>
      <c r="Y63" s="371">
        <v>0</v>
      </c>
      <c r="Z63" s="371">
        <v>7000</v>
      </c>
      <c r="AA63" s="371">
        <v>600</v>
      </c>
      <c r="AB63" s="371">
        <v>0</v>
      </c>
      <c r="AC63" s="371">
        <v>200</v>
      </c>
      <c r="AD63" s="371">
        <v>0</v>
      </c>
      <c r="AE63" s="371"/>
      <c r="AF63" s="385">
        <f t="shared" ref="AF63:AF70" si="24">SUM(AG63:AH63)</f>
        <v>1000</v>
      </c>
      <c r="AG63" s="371">
        <v>1000</v>
      </c>
      <c r="AH63" s="371"/>
      <c r="AI63" s="387">
        <f t="shared" si="1"/>
        <v>0</v>
      </c>
      <c r="AJ63" s="496"/>
    </row>
    <row r="64" spans="1:36" s="393" customFormat="1" ht="24" customHeight="1">
      <c r="A64" s="397" t="s">
        <v>116</v>
      </c>
      <c r="B64" s="394" t="s">
        <v>80</v>
      </c>
      <c r="C64" s="501" t="s">
        <v>512</v>
      </c>
      <c r="D64" s="396">
        <v>1</v>
      </c>
      <c r="E64" s="385">
        <f t="shared" si="21"/>
        <v>10886</v>
      </c>
      <c r="F64" s="368">
        <v>10886</v>
      </c>
      <c r="G64" s="368"/>
      <c r="H64" s="385">
        <f t="shared" si="22"/>
        <v>195</v>
      </c>
      <c r="I64" s="371"/>
      <c r="J64" s="371"/>
      <c r="K64" s="371"/>
      <c r="L64" s="371"/>
      <c r="M64" s="371"/>
      <c r="N64" s="371">
        <v>195</v>
      </c>
      <c r="O64" s="370"/>
      <c r="P64" s="386">
        <f t="shared" si="23"/>
        <v>10691</v>
      </c>
      <c r="Q64" s="371"/>
      <c r="R64" s="371"/>
      <c r="S64" s="371"/>
      <c r="T64" s="371"/>
      <c r="U64" s="371"/>
      <c r="V64" s="371"/>
      <c r="W64" s="371"/>
      <c r="X64" s="371"/>
      <c r="Y64" s="371"/>
      <c r="Z64" s="371"/>
      <c r="AA64" s="371"/>
      <c r="AB64" s="371"/>
      <c r="AC64" s="371"/>
      <c r="AD64" s="371"/>
      <c r="AE64" s="371">
        <v>10691</v>
      </c>
      <c r="AF64" s="385">
        <f t="shared" si="24"/>
        <v>0</v>
      </c>
      <c r="AG64" s="371"/>
      <c r="AH64" s="371"/>
      <c r="AI64" s="387">
        <f t="shared" si="1"/>
        <v>0</v>
      </c>
      <c r="AJ64" s="496"/>
    </row>
    <row r="65" spans="1:36" s="393" customFormat="1" ht="14.25">
      <c r="A65" s="397" t="s">
        <v>116</v>
      </c>
      <c r="B65" s="394" t="s">
        <v>80</v>
      </c>
      <c r="C65" s="501" t="s">
        <v>1233</v>
      </c>
      <c r="D65" s="396">
        <v>1</v>
      </c>
      <c r="E65" s="385">
        <f t="shared" si="21"/>
        <v>116</v>
      </c>
      <c r="F65" s="368">
        <v>116</v>
      </c>
      <c r="G65" s="368"/>
      <c r="H65" s="385">
        <f t="shared" si="22"/>
        <v>29</v>
      </c>
      <c r="I65" s="371"/>
      <c r="J65" s="371"/>
      <c r="K65" s="371"/>
      <c r="L65" s="371"/>
      <c r="M65" s="371"/>
      <c r="N65" s="371"/>
      <c r="O65" s="370">
        <v>29</v>
      </c>
      <c r="P65" s="386">
        <f t="shared" si="23"/>
        <v>58</v>
      </c>
      <c r="Q65" s="371"/>
      <c r="R65" s="371"/>
      <c r="S65" s="371"/>
      <c r="T65" s="371"/>
      <c r="U65" s="371"/>
      <c r="V65" s="371"/>
      <c r="W65" s="371"/>
      <c r="X65" s="371"/>
      <c r="Y65" s="371"/>
      <c r="Z65" s="371"/>
      <c r="AA65" s="371"/>
      <c r="AB65" s="371"/>
      <c r="AC65" s="371"/>
      <c r="AD65" s="371"/>
      <c r="AE65" s="371">
        <v>58</v>
      </c>
      <c r="AF65" s="385">
        <f t="shared" si="24"/>
        <v>29</v>
      </c>
      <c r="AG65" s="371">
        <v>29</v>
      </c>
      <c r="AH65" s="371"/>
      <c r="AI65" s="387">
        <f t="shared" si="1"/>
        <v>0</v>
      </c>
      <c r="AJ65" s="496"/>
    </row>
    <row r="66" spans="1:36" s="393" customFormat="1" ht="25.5" customHeight="1">
      <c r="A66" s="397" t="s">
        <v>116</v>
      </c>
      <c r="B66" s="394" t="s">
        <v>80</v>
      </c>
      <c r="C66" s="501" t="s">
        <v>487</v>
      </c>
      <c r="D66" s="396">
        <v>1</v>
      </c>
      <c r="E66" s="385">
        <f t="shared" si="21"/>
        <v>20773</v>
      </c>
      <c r="F66" s="368">
        <v>20773</v>
      </c>
      <c r="G66" s="368"/>
      <c r="H66" s="385">
        <f t="shared" si="22"/>
        <v>9488</v>
      </c>
      <c r="I66" s="371">
        <v>3580</v>
      </c>
      <c r="J66" s="371">
        <v>304</v>
      </c>
      <c r="K66" s="371">
        <v>1217</v>
      </c>
      <c r="L66" s="371">
        <v>1497</v>
      </c>
      <c r="M66" s="371">
        <v>2258</v>
      </c>
      <c r="N66" s="371">
        <v>632</v>
      </c>
      <c r="O66" s="370"/>
      <c r="P66" s="386">
        <f t="shared" si="23"/>
        <v>11065</v>
      </c>
      <c r="Q66" s="371">
        <v>680</v>
      </c>
      <c r="R66" s="371">
        <v>566</v>
      </c>
      <c r="S66" s="371">
        <v>1967</v>
      </c>
      <c r="T66" s="371">
        <v>1387</v>
      </c>
      <c r="U66" s="371">
        <v>506</v>
      </c>
      <c r="V66" s="371">
        <v>453</v>
      </c>
      <c r="W66" s="371">
        <v>2657</v>
      </c>
      <c r="X66" s="371">
        <v>577</v>
      </c>
      <c r="Y66" s="371">
        <v>212</v>
      </c>
      <c r="Z66" s="371">
        <v>312</v>
      </c>
      <c r="AA66" s="371">
        <v>1032</v>
      </c>
      <c r="AB66" s="371">
        <v>298</v>
      </c>
      <c r="AC66" s="371">
        <v>216</v>
      </c>
      <c r="AD66" s="371">
        <v>202</v>
      </c>
      <c r="AE66" s="371"/>
      <c r="AF66" s="385">
        <f t="shared" si="24"/>
        <v>220</v>
      </c>
      <c r="AG66" s="371">
        <v>220</v>
      </c>
      <c r="AH66" s="371"/>
      <c r="AI66" s="387">
        <f t="shared" si="1"/>
        <v>0</v>
      </c>
      <c r="AJ66" s="496"/>
    </row>
    <row r="67" spans="1:36" s="393" customFormat="1" ht="35.1" customHeight="1">
      <c r="A67" s="397" t="s">
        <v>116</v>
      </c>
      <c r="B67" s="394" t="s">
        <v>80</v>
      </c>
      <c r="C67" s="501" t="s">
        <v>1234</v>
      </c>
      <c r="D67" s="396">
        <v>1</v>
      </c>
      <c r="E67" s="385">
        <f t="shared" si="21"/>
        <v>16214</v>
      </c>
      <c r="F67" s="368"/>
      <c r="G67" s="368">
        <v>16214</v>
      </c>
      <c r="H67" s="385">
        <f t="shared" si="22"/>
        <v>8568</v>
      </c>
      <c r="I67" s="371">
        <v>1360</v>
      </c>
      <c r="J67" s="371">
        <v>952</v>
      </c>
      <c r="K67" s="371">
        <v>1224</v>
      </c>
      <c r="L67" s="371">
        <v>1632</v>
      </c>
      <c r="M67" s="371">
        <v>1632</v>
      </c>
      <c r="N67" s="371">
        <v>1768</v>
      </c>
      <c r="O67" s="370"/>
      <c r="P67" s="386">
        <f t="shared" si="23"/>
        <v>7376</v>
      </c>
      <c r="Q67" s="371">
        <v>268</v>
      </c>
      <c r="R67" s="371">
        <v>402</v>
      </c>
      <c r="S67" s="371">
        <v>940</v>
      </c>
      <c r="T67" s="371">
        <v>1072</v>
      </c>
      <c r="U67" s="371">
        <v>670</v>
      </c>
      <c r="V67" s="371">
        <v>940</v>
      </c>
      <c r="W67" s="371">
        <v>536</v>
      </c>
      <c r="X67" s="371">
        <v>804</v>
      </c>
      <c r="Y67" s="371">
        <v>536</v>
      </c>
      <c r="Z67" s="371">
        <v>402</v>
      </c>
      <c r="AA67" s="371">
        <v>134</v>
      </c>
      <c r="AB67" s="371">
        <v>404</v>
      </c>
      <c r="AC67" s="371">
        <v>134</v>
      </c>
      <c r="AD67" s="371">
        <v>134</v>
      </c>
      <c r="AE67" s="371"/>
      <c r="AF67" s="385">
        <f t="shared" si="24"/>
        <v>270</v>
      </c>
      <c r="AG67" s="371">
        <v>135</v>
      </c>
      <c r="AH67" s="371">
        <v>135</v>
      </c>
      <c r="AI67" s="387">
        <f t="shared" si="1"/>
        <v>0</v>
      </c>
      <c r="AJ67" s="496"/>
    </row>
    <row r="68" spans="1:36" s="393" customFormat="1" ht="35.450000000000003" customHeight="1">
      <c r="A68" s="397" t="s">
        <v>116</v>
      </c>
      <c r="B68" s="394" t="s">
        <v>80</v>
      </c>
      <c r="C68" s="501" t="s">
        <v>514</v>
      </c>
      <c r="D68" s="396">
        <v>5</v>
      </c>
      <c r="E68" s="385">
        <f t="shared" si="21"/>
        <v>590</v>
      </c>
      <c r="F68" s="368">
        <v>590</v>
      </c>
      <c r="G68" s="368"/>
      <c r="H68" s="385">
        <f t="shared" si="22"/>
        <v>0</v>
      </c>
      <c r="I68" s="371"/>
      <c r="J68" s="371"/>
      <c r="K68" s="371"/>
      <c r="L68" s="371"/>
      <c r="M68" s="371"/>
      <c r="N68" s="371"/>
      <c r="O68" s="370"/>
      <c r="P68" s="386">
        <f t="shared" si="23"/>
        <v>590</v>
      </c>
      <c r="Q68" s="371"/>
      <c r="R68" s="371"/>
      <c r="S68" s="371"/>
      <c r="T68" s="371"/>
      <c r="U68" s="371"/>
      <c r="V68" s="371"/>
      <c r="W68" s="371"/>
      <c r="X68" s="371"/>
      <c r="Y68" s="371">
        <v>590</v>
      </c>
      <c r="Z68" s="371"/>
      <c r="AA68" s="371"/>
      <c r="AB68" s="371"/>
      <c r="AC68" s="371"/>
      <c r="AD68" s="371"/>
      <c r="AE68" s="371"/>
      <c r="AF68" s="385">
        <f t="shared" si="24"/>
        <v>0</v>
      </c>
      <c r="AG68" s="371"/>
      <c r="AH68" s="371"/>
      <c r="AI68" s="387">
        <f t="shared" si="1"/>
        <v>0</v>
      </c>
      <c r="AJ68" s="496"/>
    </row>
    <row r="69" spans="1:36" s="393" customFormat="1" ht="27.6" customHeight="1">
      <c r="A69" s="397" t="s">
        <v>116</v>
      </c>
      <c r="B69" s="394" t="s">
        <v>80</v>
      </c>
      <c r="C69" s="501" t="s">
        <v>672</v>
      </c>
      <c r="D69" s="396">
        <v>1</v>
      </c>
      <c r="E69" s="385">
        <f t="shared" si="21"/>
        <v>189729</v>
      </c>
      <c r="F69" s="368">
        <v>189729</v>
      </c>
      <c r="G69" s="368"/>
      <c r="H69" s="385">
        <f t="shared" si="22"/>
        <v>89491</v>
      </c>
      <c r="I69" s="371">
        <v>17771</v>
      </c>
      <c r="J69" s="371"/>
      <c r="K69" s="371">
        <v>23963</v>
      </c>
      <c r="L69" s="371">
        <v>14582</v>
      </c>
      <c r="M69" s="371">
        <v>17864</v>
      </c>
      <c r="N69" s="371">
        <v>15311</v>
      </c>
      <c r="O69" s="370"/>
      <c r="P69" s="386">
        <f t="shared" si="23"/>
        <v>100238</v>
      </c>
      <c r="Q69" s="371"/>
      <c r="R69" s="371">
        <v>6300</v>
      </c>
      <c r="S69" s="371">
        <v>7447</v>
      </c>
      <c r="T69" s="371">
        <v>11866</v>
      </c>
      <c r="U69" s="371">
        <v>8770</v>
      </c>
      <c r="V69" s="371">
        <v>11568</v>
      </c>
      <c r="W69" s="371">
        <v>7862</v>
      </c>
      <c r="X69" s="371">
        <v>15724</v>
      </c>
      <c r="Y69" s="371">
        <v>5242</v>
      </c>
      <c r="Z69" s="371">
        <v>16286</v>
      </c>
      <c r="AA69" s="371">
        <v>9173</v>
      </c>
      <c r="AB69" s="371"/>
      <c r="AC69" s="371"/>
      <c r="AD69" s="371"/>
      <c r="AE69" s="371"/>
      <c r="AF69" s="385">
        <f t="shared" si="24"/>
        <v>0</v>
      </c>
      <c r="AG69" s="371"/>
      <c r="AH69" s="371"/>
      <c r="AI69" s="387">
        <f t="shared" si="1"/>
        <v>0</v>
      </c>
      <c r="AJ69" s="496"/>
    </row>
    <row r="70" spans="1:36" s="393" customFormat="1" ht="38.1" customHeight="1">
      <c r="A70" s="397" t="s">
        <v>116</v>
      </c>
      <c r="B70" s="394" t="s">
        <v>80</v>
      </c>
      <c r="C70" s="501" t="s">
        <v>1235</v>
      </c>
      <c r="D70" s="396">
        <v>1</v>
      </c>
      <c r="E70" s="385">
        <f t="shared" si="21"/>
        <v>22545</v>
      </c>
      <c r="F70" s="368">
        <v>22545</v>
      </c>
      <c r="G70" s="368"/>
      <c r="H70" s="385">
        <f t="shared" si="22"/>
        <v>11605</v>
      </c>
      <c r="I70" s="371">
        <v>1618</v>
      </c>
      <c r="J70" s="371"/>
      <c r="K70" s="371">
        <v>3327</v>
      </c>
      <c r="L70" s="371">
        <v>3594</v>
      </c>
      <c r="M70" s="371">
        <v>383</v>
      </c>
      <c r="N70" s="371">
        <v>2683</v>
      </c>
      <c r="O70" s="370"/>
      <c r="P70" s="386">
        <f t="shared" si="23"/>
        <v>10940</v>
      </c>
      <c r="Q70" s="371">
        <v>721</v>
      </c>
      <c r="R70" s="371"/>
      <c r="S70" s="371"/>
      <c r="T70" s="371">
        <v>654</v>
      </c>
      <c r="U70" s="371">
        <v>1093</v>
      </c>
      <c r="V70" s="371"/>
      <c r="W70" s="371">
        <v>2466</v>
      </c>
      <c r="X70" s="371">
        <v>932</v>
      </c>
      <c r="Y70" s="371">
        <v>1178</v>
      </c>
      <c r="Z70" s="371">
        <v>2128</v>
      </c>
      <c r="AA70" s="371"/>
      <c r="AB70" s="371"/>
      <c r="AC70" s="371">
        <v>905</v>
      </c>
      <c r="AD70" s="371">
        <v>863</v>
      </c>
      <c r="AE70" s="371"/>
      <c r="AF70" s="385">
        <f t="shared" si="24"/>
        <v>0</v>
      </c>
      <c r="AG70" s="371"/>
      <c r="AH70" s="371"/>
      <c r="AI70" s="387">
        <f t="shared" ref="AI70:AI133" si="25">IF(+F70+G70=E70,0,FALSE)</f>
        <v>0</v>
      </c>
      <c r="AJ70" s="496"/>
    </row>
    <row r="71" spans="1:36" s="410" customFormat="1" ht="24" customHeight="1">
      <c r="A71" s="405" t="s">
        <v>879</v>
      </c>
      <c r="B71" s="406"/>
      <c r="C71" s="407"/>
      <c r="D71" s="408"/>
      <c r="E71" s="409">
        <f t="shared" ref="E71:AH71" si="26">SUM(E72:E83)</f>
        <v>14942729</v>
      </c>
      <c r="F71" s="409">
        <f t="shared" si="26"/>
        <v>416000</v>
      </c>
      <c r="G71" s="409">
        <f t="shared" si="26"/>
        <v>14526729</v>
      </c>
      <c r="H71" s="409">
        <f t="shared" si="26"/>
        <v>8894288</v>
      </c>
      <c r="I71" s="409">
        <f t="shared" si="26"/>
        <v>2623913</v>
      </c>
      <c r="J71" s="409">
        <f t="shared" si="26"/>
        <v>71000</v>
      </c>
      <c r="K71" s="409">
        <f t="shared" si="26"/>
        <v>1199600</v>
      </c>
      <c r="L71" s="409">
        <f t="shared" si="26"/>
        <v>1548800</v>
      </c>
      <c r="M71" s="409">
        <f t="shared" si="26"/>
        <v>1022320</v>
      </c>
      <c r="N71" s="409">
        <f t="shared" si="26"/>
        <v>2000842</v>
      </c>
      <c r="O71" s="409">
        <f t="shared" si="26"/>
        <v>427813</v>
      </c>
      <c r="P71" s="409">
        <f t="shared" si="26"/>
        <v>5655297</v>
      </c>
      <c r="Q71" s="409">
        <f t="shared" si="26"/>
        <v>642842</v>
      </c>
      <c r="R71" s="409">
        <f t="shared" si="26"/>
        <v>307463</v>
      </c>
      <c r="S71" s="409">
        <f t="shared" si="26"/>
        <v>470925</v>
      </c>
      <c r="T71" s="409">
        <f t="shared" si="26"/>
        <v>286205</v>
      </c>
      <c r="U71" s="409">
        <f t="shared" si="26"/>
        <v>446405</v>
      </c>
      <c r="V71" s="409">
        <f t="shared" si="26"/>
        <v>162205</v>
      </c>
      <c r="W71" s="409">
        <f t="shared" si="26"/>
        <v>102645</v>
      </c>
      <c r="X71" s="409">
        <f t="shared" si="26"/>
        <v>319845</v>
      </c>
      <c r="Y71" s="409">
        <f t="shared" si="26"/>
        <v>161725</v>
      </c>
      <c r="Z71" s="409">
        <f t="shared" si="26"/>
        <v>466845</v>
      </c>
      <c r="AA71" s="409">
        <f t="shared" si="26"/>
        <v>105985</v>
      </c>
      <c r="AB71" s="409">
        <f t="shared" si="26"/>
        <v>460645</v>
      </c>
      <c r="AC71" s="409">
        <f t="shared" si="26"/>
        <v>546705</v>
      </c>
      <c r="AD71" s="409">
        <f t="shared" si="26"/>
        <v>419591</v>
      </c>
      <c r="AE71" s="409">
        <f t="shared" si="26"/>
        <v>755266</v>
      </c>
      <c r="AF71" s="409">
        <f t="shared" si="26"/>
        <v>393144</v>
      </c>
      <c r="AG71" s="409">
        <f t="shared" si="26"/>
        <v>221342</v>
      </c>
      <c r="AH71" s="409">
        <f t="shared" si="26"/>
        <v>171802</v>
      </c>
      <c r="AI71" s="387">
        <f t="shared" si="25"/>
        <v>0</v>
      </c>
      <c r="AJ71" s="496"/>
    </row>
    <row r="72" spans="1:36" s="393" customFormat="1" ht="24" customHeight="1">
      <c r="A72" s="397" t="s">
        <v>116</v>
      </c>
      <c r="B72" s="394" t="s">
        <v>114</v>
      </c>
      <c r="C72" s="501" t="s">
        <v>86</v>
      </c>
      <c r="D72" s="396">
        <v>4</v>
      </c>
      <c r="E72" s="385">
        <f t="shared" ref="E72:E83" si="27">SUM(H72,P72,AF72)</f>
        <v>3000</v>
      </c>
      <c r="F72" s="368">
        <v>3000</v>
      </c>
      <c r="G72" s="368"/>
      <c r="H72" s="385">
        <f t="shared" ref="H72:H83" si="28">SUM(I72:O72)</f>
        <v>0</v>
      </c>
      <c r="I72" s="371"/>
      <c r="J72" s="371"/>
      <c r="K72" s="371"/>
      <c r="L72" s="371"/>
      <c r="M72" s="371"/>
      <c r="N72" s="371"/>
      <c r="O72" s="370"/>
      <c r="P72" s="386">
        <f t="shared" ref="P72:P83" si="29">SUM(Q72:AE72)</f>
        <v>2000</v>
      </c>
      <c r="Q72" s="371"/>
      <c r="R72" s="371"/>
      <c r="S72" s="371"/>
      <c r="T72" s="371"/>
      <c r="U72" s="371"/>
      <c r="V72" s="371"/>
      <c r="W72" s="371"/>
      <c r="X72" s="371"/>
      <c r="Y72" s="371"/>
      <c r="Z72" s="371"/>
      <c r="AA72" s="371"/>
      <c r="AB72" s="371"/>
      <c r="AC72" s="371"/>
      <c r="AD72" s="371"/>
      <c r="AE72" s="371">
        <v>2000</v>
      </c>
      <c r="AF72" s="385">
        <f t="shared" ref="AF72:AF83" si="30">SUM(AG72:AH72)</f>
        <v>1000</v>
      </c>
      <c r="AG72" s="371">
        <v>500</v>
      </c>
      <c r="AH72" s="371">
        <v>500</v>
      </c>
      <c r="AI72" s="387">
        <f t="shared" si="25"/>
        <v>0</v>
      </c>
      <c r="AJ72" s="496"/>
    </row>
    <row r="73" spans="1:36" s="393" customFormat="1" ht="24" customHeight="1">
      <c r="A73" s="397" t="s">
        <v>116</v>
      </c>
      <c r="B73" s="394" t="s">
        <v>114</v>
      </c>
      <c r="C73" s="501" t="s">
        <v>88</v>
      </c>
      <c r="D73" s="396">
        <v>4</v>
      </c>
      <c r="E73" s="385">
        <f t="shared" si="27"/>
        <v>8000</v>
      </c>
      <c r="F73" s="368">
        <v>8000</v>
      </c>
      <c r="G73" s="368"/>
      <c r="H73" s="385">
        <f t="shared" si="28"/>
        <v>2760</v>
      </c>
      <c r="I73" s="371"/>
      <c r="J73" s="371"/>
      <c r="K73" s="371"/>
      <c r="L73" s="371"/>
      <c r="M73" s="371"/>
      <c r="N73" s="371"/>
      <c r="O73" s="370">
        <v>2760</v>
      </c>
      <c r="P73" s="386">
        <f t="shared" si="29"/>
        <v>4900</v>
      </c>
      <c r="Q73" s="371"/>
      <c r="R73" s="371"/>
      <c r="S73" s="371"/>
      <c r="T73" s="371"/>
      <c r="U73" s="371"/>
      <c r="V73" s="371"/>
      <c r="W73" s="371"/>
      <c r="X73" s="371"/>
      <c r="Y73" s="371"/>
      <c r="Z73" s="371"/>
      <c r="AA73" s="371"/>
      <c r="AB73" s="371"/>
      <c r="AC73" s="371"/>
      <c r="AD73" s="371"/>
      <c r="AE73" s="371">
        <v>4900</v>
      </c>
      <c r="AF73" s="385">
        <f t="shared" si="30"/>
        <v>340</v>
      </c>
      <c r="AG73" s="371">
        <v>170</v>
      </c>
      <c r="AH73" s="371">
        <v>170</v>
      </c>
      <c r="AI73" s="387">
        <f t="shared" si="25"/>
        <v>0</v>
      </c>
      <c r="AJ73" s="496"/>
    </row>
    <row r="74" spans="1:36" s="393" customFormat="1" ht="33.950000000000003" customHeight="1">
      <c r="A74" s="397" t="s">
        <v>116</v>
      </c>
      <c r="B74" s="394" t="s">
        <v>114</v>
      </c>
      <c r="C74" s="501" t="s">
        <v>867</v>
      </c>
      <c r="D74" s="396">
        <v>4</v>
      </c>
      <c r="E74" s="385">
        <f t="shared" si="27"/>
        <v>18400</v>
      </c>
      <c r="F74" s="368">
        <v>18400</v>
      </c>
      <c r="G74" s="368"/>
      <c r="H74" s="385">
        <f t="shared" si="28"/>
        <v>7000</v>
      </c>
      <c r="I74" s="371">
        <v>0</v>
      </c>
      <c r="J74" s="371">
        <v>0</v>
      </c>
      <c r="K74" s="371">
        <v>0</v>
      </c>
      <c r="L74" s="371">
        <v>0</v>
      </c>
      <c r="M74" s="371">
        <v>0</v>
      </c>
      <c r="N74" s="371">
        <v>0</v>
      </c>
      <c r="O74" s="370">
        <v>7000</v>
      </c>
      <c r="P74" s="386">
        <f t="shared" si="29"/>
        <v>10900</v>
      </c>
      <c r="Q74" s="371">
        <v>0</v>
      </c>
      <c r="R74" s="371">
        <v>0</v>
      </c>
      <c r="S74" s="371">
        <v>0</v>
      </c>
      <c r="T74" s="371">
        <v>0</v>
      </c>
      <c r="U74" s="371">
        <v>0</v>
      </c>
      <c r="V74" s="371">
        <v>0</v>
      </c>
      <c r="W74" s="371">
        <v>0</v>
      </c>
      <c r="X74" s="371">
        <v>0</v>
      </c>
      <c r="Y74" s="371">
        <v>0</v>
      </c>
      <c r="Z74" s="371">
        <v>0</v>
      </c>
      <c r="AA74" s="371">
        <v>0</v>
      </c>
      <c r="AB74" s="371">
        <v>0</v>
      </c>
      <c r="AC74" s="371">
        <v>0</v>
      </c>
      <c r="AD74" s="371">
        <v>0</v>
      </c>
      <c r="AE74" s="371">
        <v>10900</v>
      </c>
      <c r="AF74" s="385">
        <f t="shared" si="30"/>
        <v>500</v>
      </c>
      <c r="AG74" s="371">
        <v>250</v>
      </c>
      <c r="AH74" s="371">
        <v>250</v>
      </c>
      <c r="AI74" s="387">
        <f t="shared" si="25"/>
        <v>0</v>
      </c>
      <c r="AJ74" s="496"/>
    </row>
    <row r="75" spans="1:36" s="393" customFormat="1" ht="34.5" customHeight="1">
      <c r="A75" s="397" t="s">
        <v>116</v>
      </c>
      <c r="B75" s="394" t="s">
        <v>114</v>
      </c>
      <c r="C75" s="501" t="s">
        <v>868</v>
      </c>
      <c r="D75" s="396">
        <v>4</v>
      </c>
      <c r="E75" s="385">
        <f t="shared" si="27"/>
        <v>56800</v>
      </c>
      <c r="F75" s="368"/>
      <c r="G75" s="368">
        <v>56800</v>
      </c>
      <c r="H75" s="385">
        <f t="shared" si="28"/>
        <v>27300</v>
      </c>
      <c r="I75" s="371"/>
      <c r="J75" s="371"/>
      <c r="K75" s="371"/>
      <c r="L75" s="371"/>
      <c r="M75" s="371"/>
      <c r="N75" s="371"/>
      <c r="O75" s="370">
        <v>27300</v>
      </c>
      <c r="P75" s="386">
        <f t="shared" si="29"/>
        <v>29500</v>
      </c>
      <c r="Q75" s="371"/>
      <c r="R75" s="371"/>
      <c r="S75" s="371"/>
      <c r="T75" s="371"/>
      <c r="U75" s="371"/>
      <c r="V75" s="371"/>
      <c r="W75" s="371"/>
      <c r="X75" s="371"/>
      <c r="Y75" s="371"/>
      <c r="Z75" s="371"/>
      <c r="AA75" s="371"/>
      <c r="AB75" s="371"/>
      <c r="AC75" s="371"/>
      <c r="AD75" s="371"/>
      <c r="AE75" s="371">
        <v>29500</v>
      </c>
      <c r="AF75" s="385">
        <f t="shared" si="30"/>
        <v>0</v>
      </c>
      <c r="AG75" s="371"/>
      <c r="AH75" s="371"/>
      <c r="AI75" s="387">
        <f t="shared" si="25"/>
        <v>0</v>
      </c>
      <c r="AJ75" s="496"/>
    </row>
    <row r="76" spans="1:36" s="393" customFormat="1" ht="45.6" customHeight="1">
      <c r="A76" s="397" t="s">
        <v>116</v>
      </c>
      <c r="B76" s="394" t="s">
        <v>114</v>
      </c>
      <c r="C76" s="501" t="s">
        <v>515</v>
      </c>
      <c r="D76" s="396">
        <v>4</v>
      </c>
      <c r="E76" s="385">
        <f t="shared" si="27"/>
        <v>1140601</v>
      </c>
      <c r="F76" s="368">
        <v>55000</v>
      </c>
      <c r="G76" s="368">
        <v>1085601</v>
      </c>
      <c r="H76" s="385">
        <f t="shared" si="28"/>
        <v>402000</v>
      </c>
      <c r="I76" s="371">
        <v>67000</v>
      </c>
      <c r="J76" s="371">
        <v>67000</v>
      </c>
      <c r="K76" s="371">
        <v>67000</v>
      </c>
      <c r="L76" s="371">
        <v>67000</v>
      </c>
      <c r="M76" s="371">
        <v>67000</v>
      </c>
      <c r="N76" s="371">
        <v>67000</v>
      </c>
      <c r="O76" s="370"/>
      <c r="P76" s="386">
        <f t="shared" si="29"/>
        <v>662267</v>
      </c>
      <c r="Q76" s="371">
        <v>47302</v>
      </c>
      <c r="R76" s="371">
        <v>47305</v>
      </c>
      <c r="S76" s="371">
        <v>47305</v>
      </c>
      <c r="T76" s="371">
        <v>47305</v>
      </c>
      <c r="U76" s="371">
        <v>47305</v>
      </c>
      <c r="V76" s="371">
        <v>47305</v>
      </c>
      <c r="W76" s="371">
        <v>47305</v>
      </c>
      <c r="X76" s="371">
        <v>47305</v>
      </c>
      <c r="Y76" s="371">
        <v>47305</v>
      </c>
      <c r="Z76" s="371">
        <v>47305</v>
      </c>
      <c r="AA76" s="371">
        <v>47305</v>
      </c>
      <c r="AB76" s="371">
        <v>47305</v>
      </c>
      <c r="AC76" s="371">
        <v>47305</v>
      </c>
      <c r="AD76" s="371">
        <v>47305</v>
      </c>
      <c r="AE76" s="371"/>
      <c r="AF76" s="385">
        <f t="shared" si="30"/>
        <v>76334</v>
      </c>
      <c r="AG76" s="371">
        <v>38167</v>
      </c>
      <c r="AH76" s="371">
        <v>38167</v>
      </c>
      <c r="AI76" s="387">
        <f t="shared" si="25"/>
        <v>0</v>
      </c>
      <c r="AJ76" s="496"/>
    </row>
    <row r="77" spans="1:36" s="393" customFormat="1" ht="35.450000000000003" customHeight="1">
      <c r="A77" s="397" t="s">
        <v>116</v>
      </c>
      <c r="B77" s="394" t="s">
        <v>114</v>
      </c>
      <c r="C77" s="501" t="s">
        <v>1236</v>
      </c>
      <c r="D77" s="396">
        <v>4</v>
      </c>
      <c r="E77" s="385">
        <f t="shared" si="27"/>
        <v>58500</v>
      </c>
      <c r="F77" s="368">
        <v>0</v>
      </c>
      <c r="G77" s="368">
        <v>58500</v>
      </c>
      <c r="H77" s="385">
        <f t="shared" si="28"/>
        <v>24000</v>
      </c>
      <c r="I77" s="371">
        <v>4000</v>
      </c>
      <c r="J77" s="371">
        <v>4000</v>
      </c>
      <c r="K77" s="371">
        <v>4000</v>
      </c>
      <c r="L77" s="371">
        <v>4000</v>
      </c>
      <c r="M77" s="371">
        <v>4000</v>
      </c>
      <c r="N77" s="371">
        <v>4000</v>
      </c>
      <c r="O77" s="370"/>
      <c r="P77" s="386">
        <f t="shared" si="29"/>
        <v>32200</v>
      </c>
      <c r="Q77" s="371">
        <v>2300</v>
      </c>
      <c r="R77" s="371">
        <v>2300</v>
      </c>
      <c r="S77" s="371">
        <v>2300</v>
      </c>
      <c r="T77" s="371">
        <v>2300</v>
      </c>
      <c r="U77" s="371">
        <v>2300</v>
      </c>
      <c r="V77" s="371">
        <v>2300</v>
      </c>
      <c r="W77" s="371">
        <v>2300</v>
      </c>
      <c r="X77" s="371">
        <v>2300</v>
      </c>
      <c r="Y77" s="371">
        <v>2300</v>
      </c>
      <c r="Z77" s="371">
        <v>2300</v>
      </c>
      <c r="AA77" s="371">
        <v>2300</v>
      </c>
      <c r="AB77" s="371">
        <v>2300</v>
      </c>
      <c r="AC77" s="371">
        <v>2300</v>
      </c>
      <c r="AD77" s="371">
        <v>2300</v>
      </c>
      <c r="AE77" s="371"/>
      <c r="AF77" s="385">
        <f t="shared" si="30"/>
        <v>2300</v>
      </c>
      <c r="AG77" s="371">
        <v>1150</v>
      </c>
      <c r="AH77" s="371">
        <v>1150</v>
      </c>
      <c r="AI77" s="387">
        <f t="shared" si="25"/>
        <v>0</v>
      </c>
      <c r="AJ77" s="496"/>
    </row>
    <row r="78" spans="1:36" s="393" customFormat="1" ht="24.95" customHeight="1">
      <c r="A78" s="397" t="s">
        <v>116</v>
      </c>
      <c r="B78" s="394" t="s">
        <v>114</v>
      </c>
      <c r="C78" s="501" t="s">
        <v>242</v>
      </c>
      <c r="D78" s="396">
        <v>6</v>
      </c>
      <c r="E78" s="385">
        <f t="shared" si="27"/>
        <v>11391498</v>
      </c>
      <c r="F78" s="368">
        <v>277100</v>
      </c>
      <c r="G78" s="368">
        <v>11114398</v>
      </c>
      <c r="H78" s="385">
        <f t="shared" si="28"/>
        <v>7637478</v>
      </c>
      <c r="I78" s="371">
        <v>2552913</v>
      </c>
      <c r="J78" s="371"/>
      <c r="K78" s="371">
        <v>763600</v>
      </c>
      <c r="L78" s="371">
        <v>1477800</v>
      </c>
      <c r="M78" s="371">
        <v>951320</v>
      </c>
      <c r="N78" s="371">
        <v>1891845</v>
      </c>
      <c r="O78" s="370">
        <v>0</v>
      </c>
      <c r="P78" s="386">
        <f t="shared" si="29"/>
        <v>3603380</v>
      </c>
      <c r="Q78" s="371">
        <v>593240</v>
      </c>
      <c r="R78" s="371">
        <v>155960</v>
      </c>
      <c r="S78" s="371">
        <v>421320</v>
      </c>
      <c r="T78" s="371">
        <v>236600</v>
      </c>
      <c r="U78" s="371">
        <v>396800</v>
      </c>
      <c r="V78" s="371">
        <v>112600</v>
      </c>
      <c r="W78" s="371">
        <v>53040</v>
      </c>
      <c r="X78" s="371">
        <v>270240</v>
      </c>
      <c r="Y78" s="371">
        <v>105120</v>
      </c>
      <c r="Z78" s="371">
        <v>410240</v>
      </c>
      <c r="AA78" s="371">
        <v>56380</v>
      </c>
      <c r="AB78" s="371">
        <v>411040</v>
      </c>
      <c r="AC78" s="371">
        <v>168600</v>
      </c>
      <c r="AD78" s="371">
        <v>212200</v>
      </c>
      <c r="AE78" s="371">
        <v>0</v>
      </c>
      <c r="AF78" s="385">
        <f t="shared" si="30"/>
        <v>150640</v>
      </c>
      <c r="AG78" s="371">
        <v>132050</v>
      </c>
      <c r="AH78" s="371">
        <v>18590</v>
      </c>
      <c r="AI78" s="387">
        <f t="shared" si="25"/>
        <v>0</v>
      </c>
      <c r="AJ78" s="496"/>
    </row>
    <row r="79" spans="1:36" s="393" customFormat="1" ht="24" customHeight="1">
      <c r="A79" s="397" t="s">
        <v>116</v>
      </c>
      <c r="B79" s="394" t="s">
        <v>114</v>
      </c>
      <c r="C79" s="501" t="s">
        <v>243</v>
      </c>
      <c r="D79" s="396">
        <v>4</v>
      </c>
      <c r="E79" s="385">
        <f t="shared" si="27"/>
        <v>1300000</v>
      </c>
      <c r="F79" s="368"/>
      <c r="G79" s="368">
        <v>1300000</v>
      </c>
      <c r="H79" s="385">
        <f t="shared" si="28"/>
        <v>600000</v>
      </c>
      <c r="I79" s="371"/>
      <c r="J79" s="371"/>
      <c r="K79" s="371">
        <v>365000</v>
      </c>
      <c r="L79" s="371"/>
      <c r="M79" s="371"/>
      <c r="N79" s="371">
        <v>37997</v>
      </c>
      <c r="O79" s="370">
        <v>197003</v>
      </c>
      <c r="P79" s="386">
        <f t="shared" si="29"/>
        <v>600000</v>
      </c>
      <c r="Q79" s="371"/>
      <c r="R79" s="371">
        <v>101898</v>
      </c>
      <c r="S79" s="371">
        <v>0</v>
      </c>
      <c r="T79" s="371"/>
      <c r="U79" s="371"/>
      <c r="V79" s="371"/>
      <c r="W79" s="371"/>
      <c r="X79" s="371"/>
      <c r="Y79" s="371"/>
      <c r="Z79" s="371"/>
      <c r="AA79" s="371"/>
      <c r="AB79" s="371"/>
      <c r="AC79" s="371">
        <v>328500</v>
      </c>
      <c r="AD79" s="371">
        <v>157786</v>
      </c>
      <c r="AE79" s="371">
        <v>11816</v>
      </c>
      <c r="AF79" s="385">
        <f t="shared" si="30"/>
        <v>100000</v>
      </c>
      <c r="AG79" s="371">
        <v>18040</v>
      </c>
      <c r="AH79" s="371">
        <v>81960</v>
      </c>
      <c r="AI79" s="387">
        <f t="shared" si="25"/>
        <v>0</v>
      </c>
      <c r="AJ79" s="496"/>
    </row>
    <row r="80" spans="1:36" s="393" customFormat="1" ht="32.450000000000003" customHeight="1">
      <c r="A80" s="397" t="s">
        <v>116</v>
      </c>
      <c r="B80" s="394" t="s">
        <v>114</v>
      </c>
      <c r="C80" s="501" t="s">
        <v>244</v>
      </c>
      <c r="D80" s="396">
        <v>4</v>
      </c>
      <c r="E80" s="385">
        <f t="shared" si="27"/>
        <v>909400</v>
      </c>
      <c r="F80" s="368"/>
      <c r="G80" s="368">
        <v>909400</v>
      </c>
      <c r="H80" s="385">
        <f t="shared" si="28"/>
        <v>180000</v>
      </c>
      <c r="I80" s="371"/>
      <c r="J80" s="371"/>
      <c r="K80" s="371"/>
      <c r="L80" s="371"/>
      <c r="M80" s="371"/>
      <c r="N80" s="371"/>
      <c r="O80" s="370">
        <v>180000</v>
      </c>
      <c r="P80" s="386">
        <f t="shared" si="29"/>
        <v>668000</v>
      </c>
      <c r="Q80" s="371"/>
      <c r="R80" s="371"/>
      <c r="S80" s="371"/>
      <c r="T80" s="371"/>
      <c r="U80" s="371"/>
      <c r="V80" s="371"/>
      <c r="W80" s="371"/>
      <c r="X80" s="371"/>
      <c r="Y80" s="371"/>
      <c r="Z80" s="371"/>
      <c r="AA80" s="371"/>
      <c r="AB80" s="371"/>
      <c r="AC80" s="371"/>
      <c r="AD80" s="371"/>
      <c r="AE80" s="371">
        <v>668000</v>
      </c>
      <c r="AF80" s="385">
        <f t="shared" si="30"/>
        <v>61400</v>
      </c>
      <c r="AG80" s="371">
        <v>30700</v>
      </c>
      <c r="AH80" s="371">
        <v>30700</v>
      </c>
      <c r="AI80" s="387">
        <f t="shared" si="25"/>
        <v>0</v>
      </c>
      <c r="AJ80" s="496"/>
    </row>
    <row r="81" spans="1:36" s="393" customFormat="1" ht="33.6" customHeight="1">
      <c r="A81" s="397" t="s">
        <v>116</v>
      </c>
      <c r="B81" s="394" t="s">
        <v>114</v>
      </c>
      <c r="C81" s="501" t="s">
        <v>245</v>
      </c>
      <c r="D81" s="396">
        <v>4</v>
      </c>
      <c r="E81" s="385">
        <f t="shared" si="27"/>
        <v>14000</v>
      </c>
      <c r="F81" s="368">
        <v>14000</v>
      </c>
      <c r="G81" s="368">
        <v>0</v>
      </c>
      <c r="H81" s="385">
        <f t="shared" si="28"/>
        <v>0</v>
      </c>
      <c r="I81" s="371"/>
      <c r="J81" s="371"/>
      <c r="K81" s="371"/>
      <c r="L81" s="371"/>
      <c r="M81" s="371"/>
      <c r="N81" s="371"/>
      <c r="O81" s="370"/>
      <c r="P81" s="386">
        <f t="shared" si="29"/>
        <v>14000</v>
      </c>
      <c r="Q81" s="371"/>
      <c r="R81" s="371"/>
      <c r="S81" s="371"/>
      <c r="T81" s="371"/>
      <c r="U81" s="371"/>
      <c r="V81" s="371"/>
      <c r="W81" s="371"/>
      <c r="X81" s="371"/>
      <c r="Y81" s="371">
        <v>7000</v>
      </c>
      <c r="Z81" s="371">
        <v>7000</v>
      </c>
      <c r="AA81" s="371"/>
      <c r="AB81" s="371"/>
      <c r="AC81" s="371"/>
      <c r="AD81" s="371"/>
      <c r="AE81" s="371">
        <v>0</v>
      </c>
      <c r="AF81" s="385">
        <f t="shared" si="30"/>
        <v>0</v>
      </c>
      <c r="AG81" s="371"/>
      <c r="AH81" s="371"/>
      <c r="AI81" s="387">
        <f t="shared" si="25"/>
        <v>0</v>
      </c>
      <c r="AJ81" s="496"/>
    </row>
    <row r="82" spans="1:36" s="393" customFormat="1" ht="24" customHeight="1">
      <c r="A82" s="397" t="s">
        <v>116</v>
      </c>
      <c r="B82" s="394" t="s">
        <v>114</v>
      </c>
      <c r="C82" s="501" t="s">
        <v>1237</v>
      </c>
      <c r="D82" s="396">
        <v>4</v>
      </c>
      <c r="E82" s="385">
        <f t="shared" si="27"/>
        <v>24530</v>
      </c>
      <c r="F82" s="368">
        <v>22500</v>
      </c>
      <c r="G82" s="368">
        <v>2030</v>
      </c>
      <c r="H82" s="385">
        <f t="shared" si="28"/>
        <v>11950</v>
      </c>
      <c r="I82" s="371"/>
      <c r="J82" s="371"/>
      <c r="K82" s="371"/>
      <c r="L82" s="371"/>
      <c r="M82" s="371"/>
      <c r="N82" s="371"/>
      <c r="O82" s="370">
        <v>11950</v>
      </c>
      <c r="P82" s="386">
        <f t="shared" si="29"/>
        <v>11950</v>
      </c>
      <c r="Q82" s="371"/>
      <c r="R82" s="371"/>
      <c r="S82" s="371"/>
      <c r="T82" s="371"/>
      <c r="U82" s="371"/>
      <c r="V82" s="371"/>
      <c r="W82" s="371"/>
      <c r="X82" s="371"/>
      <c r="Y82" s="371"/>
      <c r="Z82" s="371"/>
      <c r="AA82" s="371"/>
      <c r="AB82" s="371"/>
      <c r="AC82" s="371"/>
      <c r="AD82" s="371"/>
      <c r="AE82" s="371">
        <v>11950</v>
      </c>
      <c r="AF82" s="385">
        <f t="shared" si="30"/>
        <v>630</v>
      </c>
      <c r="AG82" s="371">
        <v>315</v>
      </c>
      <c r="AH82" s="371">
        <v>315</v>
      </c>
      <c r="AI82" s="387">
        <f t="shared" si="25"/>
        <v>0</v>
      </c>
      <c r="AJ82" s="496"/>
    </row>
    <row r="83" spans="1:36" s="393" customFormat="1" ht="24" customHeight="1">
      <c r="A83" s="397" t="s">
        <v>116</v>
      </c>
      <c r="B83" s="394" t="s">
        <v>114</v>
      </c>
      <c r="C83" s="501" t="s">
        <v>246</v>
      </c>
      <c r="D83" s="396">
        <v>4</v>
      </c>
      <c r="E83" s="385">
        <f t="shared" si="27"/>
        <v>18000</v>
      </c>
      <c r="F83" s="368">
        <v>18000</v>
      </c>
      <c r="G83" s="368">
        <v>0</v>
      </c>
      <c r="H83" s="385">
        <f t="shared" si="28"/>
        <v>1800</v>
      </c>
      <c r="I83" s="371"/>
      <c r="J83" s="371"/>
      <c r="K83" s="371"/>
      <c r="L83" s="371"/>
      <c r="M83" s="371"/>
      <c r="N83" s="371"/>
      <c r="O83" s="370">
        <v>1800</v>
      </c>
      <c r="P83" s="386">
        <f t="shared" si="29"/>
        <v>16200</v>
      </c>
      <c r="Q83" s="371"/>
      <c r="R83" s="371"/>
      <c r="S83" s="371"/>
      <c r="T83" s="371"/>
      <c r="U83" s="371"/>
      <c r="V83" s="371"/>
      <c r="W83" s="371"/>
      <c r="X83" s="371"/>
      <c r="Y83" s="371"/>
      <c r="Z83" s="371"/>
      <c r="AA83" s="371"/>
      <c r="AB83" s="371"/>
      <c r="AC83" s="371"/>
      <c r="AD83" s="371"/>
      <c r="AE83" s="371">
        <v>16200</v>
      </c>
      <c r="AF83" s="385">
        <f t="shared" si="30"/>
        <v>0</v>
      </c>
      <c r="AG83" s="371"/>
      <c r="AH83" s="371"/>
      <c r="AI83" s="387">
        <f t="shared" si="25"/>
        <v>0</v>
      </c>
      <c r="AJ83" s="496"/>
    </row>
    <row r="84" spans="1:36" s="410" customFormat="1" ht="24" customHeight="1">
      <c r="A84" s="405" t="s">
        <v>880</v>
      </c>
      <c r="B84" s="406"/>
      <c r="C84" s="407"/>
      <c r="D84" s="408"/>
      <c r="E84" s="409">
        <f t="shared" ref="E84:AH84" si="31">SUM(E85:E96)</f>
        <v>194028</v>
      </c>
      <c r="F84" s="409">
        <f t="shared" si="31"/>
        <v>65374</v>
      </c>
      <c r="G84" s="409">
        <f t="shared" si="31"/>
        <v>128654</v>
      </c>
      <c r="H84" s="409">
        <f t="shared" si="31"/>
        <v>74317</v>
      </c>
      <c r="I84" s="409">
        <f t="shared" si="31"/>
        <v>6815</v>
      </c>
      <c r="J84" s="409">
        <f t="shared" si="31"/>
        <v>9164</v>
      </c>
      <c r="K84" s="409">
        <f t="shared" si="31"/>
        <v>8840</v>
      </c>
      <c r="L84" s="409">
        <f t="shared" si="31"/>
        <v>18789</v>
      </c>
      <c r="M84" s="409">
        <f t="shared" si="31"/>
        <v>6981</v>
      </c>
      <c r="N84" s="409">
        <f t="shared" si="31"/>
        <v>23294</v>
      </c>
      <c r="O84" s="409">
        <f t="shared" si="31"/>
        <v>434</v>
      </c>
      <c r="P84" s="409">
        <f t="shared" si="31"/>
        <v>111946</v>
      </c>
      <c r="Q84" s="409">
        <f t="shared" si="31"/>
        <v>2828</v>
      </c>
      <c r="R84" s="409">
        <f t="shared" si="31"/>
        <v>1621</v>
      </c>
      <c r="S84" s="409">
        <f t="shared" si="31"/>
        <v>18527</v>
      </c>
      <c r="T84" s="409">
        <f t="shared" si="31"/>
        <v>12447</v>
      </c>
      <c r="U84" s="409">
        <f t="shared" si="31"/>
        <v>5093</v>
      </c>
      <c r="V84" s="409">
        <f t="shared" si="31"/>
        <v>10492</v>
      </c>
      <c r="W84" s="409">
        <f t="shared" si="31"/>
        <v>5667</v>
      </c>
      <c r="X84" s="409">
        <f t="shared" si="31"/>
        <v>11651</v>
      </c>
      <c r="Y84" s="409">
        <f t="shared" si="31"/>
        <v>11838</v>
      </c>
      <c r="Z84" s="409">
        <f t="shared" si="31"/>
        <v>10538</v>
      </c>
      <c r="AA84" s="409">
        <f t="shared" si="31"/>
        <v>6985</v>
      </c>
      <c r="AB84" s="409">
        <f t="shared" si="31"/>
        <v>4371</v>
      </c>
      <c r="AC84" s="409">
        <f t="shared" si="31"/>
        <v>2426</v>
      </c>
      <c r="AD84" s="409">
        <f t="shared" si="31"/>
        <v>5462</v>
      </c>
      <c r="AE84" s="409">
        <f t="shared" si="31"/>
        <v>2000</v>
      </c>
      <c r="AF84" s="409">
        <f t="shared" si="31"/>
        <v>7765</v>
      </c>
      <c r="AG84" s="409">
        <f t="shared" si="31"/>
        <v>4147</v>
      </c>
      <c r="AH84" s="409">
        <f t="shared" si="31"/>
        <v>3618</v>
      </c>
      <c r="AI84" s="387">
        <f t="shared" si="25"/>
        <v>0</v>
      </c>
      <c r="AJ84" s="496"/>
    </row>
    <row r="85" spans="1:36" s="393" customFormat="1" ht="24" customHeight="1">
      <c r="A85" s="397" t="s">
        <v>116</v>
      </c>
      <c r="B85" s="394" t="s">
        <v>247</v>
      </c>
      <c r="C85" s="501" t="s">
        <v>248</v>
      </c>
      <c r="D85" s="396">
        <v>1</v>
      </c>
      <c r="E85" s="385">
        <f t="shared" ref="E85:E96" si="32">SUM(H85,P85,AF85)</f>
        <v>3000</v>
      </c>
      <c r="F85" s="368">
        <v>3000</v>
      </c>
      <c r="G85" s="368"/>
      <c r="H85" s="385">
        <f t="shared" ref="H85:H96" si="33">SUM(I85:O85)</f>
        <v>0</v>
      </c>
      <c r="I85" s="371"/>
      <c r="J85" s="371"/>
      <c r="K85" s="371"/>
      <c r="L85" s="371"/>
      <c r="M85" s="371"/>
      <c r="N85" s="371"/>
      <c r="O85" s="370"/>
      <c r="P85" s="386">
        <f t="shared" ref="P85:P96" si="34">SUM(Q85:AE85)</f>
        <v>3000</v>
      </c>
      <c r="Q85" s="371"/>
      <c r="R85" s="371"/>
      <c r="S85" s="371"/>
      <c r="T85" s="371"/>
      <c r="U85" s="371"/>
      <c r="V85" s="371"/>
      <c r="W85" s="371"/>
      <c r="X85" s="371"/>
      <c r="Y85" s="371"/>
      <c r="Z85" s="371"/>
      <c r="AA85" s="371">
        <v>1000</v>
      </c>
      <c r="AB85" s="371">
        <v>1000</v>
      </c>
      <c r="AC85" s="371"/>
      <c r="AD85" s="371"/>
      <c r="AE85" s="371">
        <v>1000</v>
      </c>
      <c r="AF85" s="385">
        <f t="shared" ref="AF85:AF96" si="35">SUM(AG85:AH85)</f>
        <v>0</v>
      </c>
      <c r="AG85" s="371"/>
      <c r="AH85" s="371"/>
      <c r="AI85" s="387">
        <f t="shared" si="25"/>
        <v>0</v>
      </c>
      <c r="AJ85" s="496"/>
    </row>
    <row r="86" spans="1:36" s="393" customFormat="1" ht="24" customHeight="1">
      <c r="A86" s="397" t="s">
        <v>116</v>
      </c>
      <c r="B86" s="394" t="s">
        <v>247</v>
      </c>
      <c r="C86" s="501" t="s">
        <v>249</v>
      </c>
      <c r="D86" s="396">
        <v>1</v>
      </c>
      <c r="E86" s="385">
        <f t="shared" si="32"/>
        <v>67800</v>
      </c>
      <c r="F86" s="368">
        <v>50128</v>
      </c>
      <c r="G86" s="368">
        <v>17672</v>
      </c>
      <c r="H86" s="385">
        <f t="shared" si="33"/>
        <v>26094</v>
      </c>
      <c r="I86" s="371"/>
      <c r="J86" s="371">
        <v>4159</v>
      </c>
      <c r="K86" s="371"/>
      <c r="L86" s="371">
        <v>8728</v>
      </c>
      <c r="M86" s="371"/>
      <c r="N86" s="371">
        <v>13207</v>
      </c>
      <c r="O86" s="370"/>
      <c r="P86" s="386">
        <f t="shared" si="34"/>
        <v>35170</v>
      </c>
      <c r="Q86" s="371"/>
      <c r="R86" s="371"/>
      <c r="S86" s="371">
        <v>5601</v>
      </c>
      <c r="T86" s="371">
        <v>7580</v>
      </c>
      <c r="U86" s="371"/>
      <c r="V86" s="371">
        <v>5657</v>
      </c>
      <c r="W86" s="371"/>
      <c r="X86" s="371"/>
      <c r="Y86" s="371"/>
      <c r="Z86" s="371">
        <v>5766</v>
      </c>
      <c r="AA86" s="371">
        <v>3992</v>
      </c>
      <c r="AB86" s="371">
        <v>2430</v>
      </c>
      <c r="AC86" s="371">
        <v>2098</v>
      </c>
      <c r="AD86" s="371">
        <v>2046</v>
      </c>
      <c r="AE86" s="371"/>
      <c r="AF86" s="385">
        <f t="shared" si="35"/>
        <v>6536</v>
      </c>
      <c r="AG86" s="371">
        <v>3346</v>
      </c>
      <c r="AH86" s="371">
        <v>3190</v>
      </c>
      <c r="AI86" s="387">
        <f t="shared" si="25"/>
        <v>0</v>
      </c>
      <c r="AJ86" s="496"/>
    </row>
    <row r="87" spans="1:36" s="393" customFormat="1" ht="24" customHeight="1">
      <c r="A87" s="397" t="s">
        <v>116</v>
      </c>
      <c r="B87" s="394" t="s">
        <v>247</v>
      </c>
      <c r="C87" s="501" t="s">
        <v>676</v>
      </c>
      <c r="D87" s="396">
        <v>1</v>
      </c>
      <c r="E87" s="385">
        <f t="shared" si="32"/>
        <v>3186</v>
      </c>
      <c r="F87" s="368">
        <v>3186</v>
      </c>
      <c r="G87" s="368"/>
      <c r="H87" s="385">
        <f t="shared" si="33"/>
        <v>2133</v>
      </c>
      <c r="I87" s="371">
        <v>483</v>
      </c>
      <c r="J87" s="371">
        <v>477</v>
      </c>
      <c r="K87" s="371">
        <v>345</v>
      </c>
      <c r="L87" s="371">
        <v>417</v>
      </c>
      <c r="M87" s="371">
        <v>168</v>
      </c>
      <c r="N87" s="371">
        <v>243</v>
      </c>
      <c r="O87" s="370"/>
      <c r="P87" s="386">
        <f t="shared" si="34"/>
        <v>1011</v>
      </c>
      <c r="Q87" s="371">
        <v>51</v>
      </c>
      <c r="R87" s="371">
        <v>174</v>
      </c>
      <c r="S87" s="371">
        <v>66</v>
      </c>
      <c r="T87" s="371">
        <v>102</v>
      </c>
      <c r="U87" s="371">
        <v>48</v>
      </c>
      <c r="V87" s="371">
        <v>78</v>
      </c>
      <c r="W87" s="371">
        <v>54</v>
      </c>
      <c r="X87" s="371">
        <v>51</v>
      </c>
      <c r="Y87" s="371">
        <v>27</v>
      </c>
      <c r="Z87" s="371">
        <v>42</v>
      </c>
      <c r="AA87" s="371">
        <v>24</v>
      </c>
      <c r="AB87" s="371">
        <v>87</v>
      </c>
      <c r="AC87" s="371">
        <v>132</v>
      </c>
      <c r="AD87" s="371">
        <v>75</v>
      </c>
      <c r="AE87" s="371"/>
      <c r="AF87" s="385">
        <f t="shared" si="35"/>
        <v>42</v>
      </c>
      <c r="AG87" s="371">
        <v>42</v>
      </c>
      <c r="AH87" s="371">
        <v>0</v>
      </c>
      <c r="AI87" s="387">
        <f t="shared" si="25"/>
        <v>0</v>
      </c>
      <c r="AJ87" s="496"/>
    </row>
    <row r="88" spans="1:36" s="393" customFormat="1" ht="24" customHeight="1">
      <c r="A88" s="397" t="s">
        <v>116</v>
      </c>
      <c r="B88" s="394" t="s">
        <v>247</v>
      </c>
      <c r="C88" s="501" t="s">
        <v>517</v>
      </c>
      <c r="D88" s="396">
        <v>1</v>
      </c>
      <c r="E88" s="385">
        <f t="shared" si="32"/>
        <v>3109</v>
      </c>
      <c r="F88" s="368">
        <v>3109</v>
      </c>
      <c r="G88" s="368"/>
      <c r="H88" s="385">
        <f t="shared" si="33"/>
        <v>1966</v>
      </c>
      <c r="I88" s="371">
        <v>430</v>
      </c>
      <c r="J88" s="371">
        <v>292</v>
      </c>
      <c r="K88" s="371">
        <v>249</v>
      </c>
      <c r="L88" s="371">
        <v>337</v>
      </c>
      <c r="M88" s="371">
        <v>277</v>
      </c>
      <c r="N88" s="371">
        <v>381</v>
      </c>
      <c r="O88" s="370"/>
      <c r="P88" s="386">
        <f t="shared" si="34"/>
        <v>1083</v>
      </c>
      <c r="Q88" s="371">
        <v>69</v>
      </c>
      <c r="R88" s="371">
        <v>69</v>
      </c>
      <c r="S88" s="371">
        <v>84</v>
      </c>
      <c r="T88" s="371">
        <v>186</v>
      </c>
      <c r="U88" s="371">
        <v>79</v>
      </c>
      <c r="V88" s="371">
        <v>105</v>
      </c>
      <c r="W88" s="371">
        <v>86</v>
      </c>
      <c r="X88" s="371">
        <v>135</v>
      </c>
      <c r="Y88" s="371">
        <v>36</v>
      </c>
      <c r="Z88" s="371">
        <v>55</v>
      </c>
      <c r="AA88" s="371">
        <v>30</v>
      </c>
      <c r="AB88" s="371">
        <v>55</v>
      </c>
      <c r="AC88" s="371">
        <v>55</v>
      </c>
      <c r="AD88" s="371">
        <v>39</v>
      </c>
      <c r="AE88" s="371"/>
      <c r="AF88" s="385">
        <f t="shared" si="35"/>
        <v>60</v>
      </c>
      <c r="AG88" s="371">
        <v>30</v>
      </c>
      <c r="AH88" s="371">
        <v>30</v>
      </c>
      <c r="AI88" s="387">
        <f t="shared" si="25"/>
        <v>0</v>
      </c>
      <c r="AJ88" s="496"/>
    </row>
    <row r="89" spans="1:36" s="393" customFormat="1" ht="24" customHeight="1">
      <c r="A89" s="397" t="s">
        <v>116</v>
      </c>
      <c r="B89" s="394" t="s">
        <v>247</v>
      </c>
      <c r="C89" s="501" t="s">
        <v>677</v>
      </c>
      <c r="D89" s="396">
        <v>1</v>
      </c>
      <c r="E89" s="385">
        <f t="shared" si="32"/>
        <v>80850</v>
      </c>
      <c r="F89" s="368"/>
      <c r="G89" s="368">
        <v>80850</v>
      </c>
      <c r="H89" s="385">
        <f t="shared" si="33"/>
        <v>35297</v>
      </c>
      <c r="I89" s="371">
        <v>5902</v>
      </c>
      <c r="J89" s="371">
        <v>4236</v>
      </c>
      <c r="K89" s="371">
        <v>6346</v>
      </c>
      <c r="L89" s="371">
        <v>4007</v>
      </c>
      <c r="M89" s="371">
        <v>5343</v>
      </c>
      <c r="N89" s="371">
        <v>9463</v>
      </c>
      <c r="O89" s="370"/>
      <c r="P89" s="386">
        <f t="shared" si="34"/>
        <v>44576</v>
      </c>
      <c r="Q89" s="371">
        <v>2708</v>
      </c>
      <c r="R89" s="371">
        <v>1378</v>
      </c>
      <c r="S89" s="371">
        <v>4510</v>
      </c>
      <c r="T89" s="371">
        <v>4579</v>
      </c>
      <c r="U89" s="371">
        <v>4966</v>
      </c>
      <c r="V89" s="371">
        <v>4652</v>
      </c>
      <c r="W89" s="371">
        <v>5527</v>
      </c>
      <c r="X89" s="371">
        <v>3915</v>
      </c>
      <c r="Y89" s="371">
        <v>3675</v>
      </c>
      <c r="Z89" s="371">
        <v>4030</v>
      </c>
      <c r="AA89" s="371">
        <v>1676</v>
      </c>
      <c r="AB89" s="371">
        <v>799</v>
      </c>
      <c r="AC89" s="371">
        <v>141</v>
      </c>
      <c r="AD89" s="371">
        <v>2020</v>
      </c>
      <c r="AE89" s="371"/>
      <c r="AF89" s="385">
        <f t="shared" si="35"/>
        <v>977</v>
      </c>
      <c r="AG89" s="371">
        <v>729</v>
      </c>
      <c r="AH89" s="371">
        <v>248</v>
      </c>
      <c r="AI89" s="387">
        <f t="shared" si="25"/>
        <v>0</v>
      </c>
      <c r="AJ89" s="496"/>
    </row>
    <row r="90" spans="1:36" s="393" customFormat="1" ht="28.5">
      <c r="A90" s="397" t="s">
        <v>116</v>
      </c>
      <c r="B90" s="394" t="s">
        <v>247</v>
      </c>
      <c r="C90" s="501" t="s">
        <v>518</v>
      </c>
      <c r="D90" s="396">
        <v>1</v>
      </c>
      <c r="E90" s="385">
        <f t="shared" si="32"/>
        <v>225</v>
      </c>
      <c r="F90" s="368"/>
      <c r="G90" s="368">
        <v>225</v>
      </c>
      <c r="H90" s="385">
        <f t="shared" si="33"/>
        <v>0</v>
      </c>
      <c r="I90" s="371"/>
      <c r="J90" s="371"/>
      <c r="K90" s="371"/>
      <c r="L90" s="371"/>
      <c r="M90" s="371"/>
      <c r="N90" s="371"/>
      <c r="O90" s="370"/>
      <c r="P90" s="386">
        <f t="shared" si="34"/>
        <v>225</v>
      </c>
      <c r="Q90" s="371"/>
      <c r="R90" s="371"/>
      <c r="S90" s="371"/>
      <c r="T90" s="371"/>
      <c r="U90" s="371"/>
      <c r="V90" s="371"/>
      <c r="W90" s="371"/>
      <c r="X90" s="371"/>
      <c r="Y90" s="371"/>
      <c r="Z90" s="371"/>
      <c r="AA90" s="371">
        <v>225</v>
      </c>
      <c r="AB90" s="371"/>
      <c r="AC90" s="371"/>
      <c r="AD90" s="371"/>
      <c r="AE90" s="371"/>
      <c r="AF90" s="385">
        <f t="shared" si="35"/>
        <v>0</v>
      </c>
      <c r="AG90" s="371"/>
      <c r="AH90" s="371"/>
      <c r="AI90" s="387">
        <f t="shared" si="25"/>
        <v>0</v>
      </c>
      <c r="AJ90" s="496"/>
    </row>
    <row r="91" spans="1:36" s="393" customFormat="1" ht="28.5">
      <c r="A91" s="397" t="s">
        <v>116</v>
      </c>
      <c r="B91" s="394" t="s">
        <v>247</v>
      </c>
      <c r="C91" s="501" t="s">
        <v>870</v>
      </c>
      <c r="D91" s="396">
        <v>1</v>
      </c>
      <c r="E91" s="385">
        <f t="shared" si="32"/>
        <v>400</v>
      </c>
      <c r="F91" s="368">
        <v>400</v>
      </c>
      <c r="G91" s="368"/>
      <c r="H91" s="385">
        <f t="shared" si="33"/>
        <v>0</v>
      </c>
      <c r="I91" s="371"/>
      <c r="J91" s="371"/>
      <c r="K91" s="371"/>
      <c r="L91" s="371"/>
      <c r="M91" s="371"/>
      <c r="N91" s="371"/>
      <c r="O91" s="370"/>
      <c r="P91" s="386">
        <f t="shared" si="34"/>
        <v>400</v>
      </c>
      <c r="Q91" s="371"/>
      <c r="R91" s="371"/>
      <c r="S91" s="371"/>
      <c r="T91" s="371"/>
      <c r="U91" s="371"/>
      <c r="V91" s="371"/>
      <c r="W91" s="371"/>
      <c r="X91" s="371"/>
      <c r="Y91" s="371">
        <v>400</v>
      </c>
      <c r="Z91" s="371"/>
      <c r="AA91" s="371"/>
      <c r="AB91" s="371"/>
      <c r="AC91" s="371"/>
      <c r="AD91" s="371"/>
      <c r="AE91" s="371"/>
      <c r="AF91" s="385">
        <f t="shared" si="35"/>
        <v>0</v>
      </c>
      <c r="AG91" s="371"/>
      <c r="AH91" s="371"/>
      <c r="AI91" s="387">
        <f t="shared" si="25"/>
        <v>0</v>
      </c>
      <c r="AJ91" s="496"/>
    </row>
    <row r="92" spans="1:36" s="393" customFormat="1" ht="29.1" customHeight="1">
      <c r="A92" s="397" t="s">
        <v>116</v>
      </c>
      <c r="B92" s="394" t="s">
        <v>247</v>
      </c>
      <c r="C92" s="501" t="s">
        <v>679</v>
      </c>
      <c r="D92" s="396">
        <v>1</v>
      </c>
      <c r="E92" s="385">
        <f t="shared" si="32"/>
        <v>38</v>
      </c>
      <c r="F92" s="368"/>
      <c r="G92" s="368">
        <v>38</v>
      </c>
      <c r="H92" s="385">
        <f t="shared" si="33"/>
        <v>0</v>
      </c>
      <c r="I92" s="371"/>
      <c r="J92" s="371"/>
      <c r="K92" s="371"/>
      <c r="L92" s="371"/>
      <c r="M92" s="371"/>
      <c r="N92" s="371"/>
      <c r="O92" s="370"/>
      <c r="P92" s="386">
        <f t="shared" si="34"/>
        <v>38</v>
      </c>
      <c r="Q92" s="371"/>
      <c r="R92" s="371"/>
      <c r="S92" s="371"/>
      <c r="T92" s="371"/>
      <c r="U92" s="371"/>
      <c r="V92" s="371"/>
      <c r="W92" s="371"/>
      <c r="X92" s="371"/>
      <c r="Y92" s="371"/>
      <c r="Z92" s="371"/>
      <c r="AA92" s="371">
        <v>38</v>
      </c>
      <c r="AB92" s="371"/>
      <c r="AC92" s="371"/>
      <c r="AD92" s="371"/>
      <c r="AE92" s="371"/>
      <c r="AF92" s="385">
        <f t="shared" si="35"/>
        <v>0</v>
      </c>
      <c r="AG92" s="371"/>
      <c r="AH92" s="371"/>
      <c r="AI92" s="387">
        <f t="shared" si="25"/>
        <v>0</v>
      </c>
      <c r="AJ92" s="496"/>
    </row>
    <row r="93" spans="1:36" s="393" customFormat="1" ht="33" customHeight="1">
      <c r="A93" s="397" t="s">
        <v>116</v>
      </c>
      <c r="B93" s="394" t="s">
        <v>247</v>
      </c>
      <c r="C93" s="501" t="s">
        <v>871</v>
      </c>
      <c r="D93" s="396">
        <v>1</v>
      </c>
      <c r="E93" s="385">
        <f t="shared" si="32"/>
        <v>645</v>
      </c>
      <c r="F93" s="368"/>
      <c r="G93" s="368">
        <v>645</v>
      </c>
      <c r="H93" s="385">
        <f t="shared" si="33"/>
        <v>0</v>
      </c>
      <c r="I93" s="371"/>
      <c r="J93" s="371"/>
      <c r="K93" s="371"/>
      <c r="L93" s="371"/>
      <c r="M93" s="371"/>
      <c r="N93" s="371"/>
      <c r="O93" s="370"/>
      <c r="P93" s="386">
        <f t="shared" si="34"/>
        <v>645</v>
      </c>
      <c r="Q93" s="371"/>
      <c r="R93" s="371"/>
      <c r="S93" s="371"/>
      <c r="T93" s="371"/>
      <c r="U93" s="371"/>
      <c r="V93" s="371"/>
      <c r="W93" s="371"/>
      <c r="X93" s="371"/>
      <c r="Y93" s="371"/>
      <c r="Z93" s="371">
        <v>645</v>
      </c>
      <c r="AA93" s="371"/>
      <c r="AB93" s="371"/>
      <c r="AC93" s="371"/>
      <c r="AD93" s="371"/>
      <c r="AE93" s="371"/>
      <c r="AF93" s="385">
        <f t="shared" si="35"/>
        <v>0</v>
      </c>
      <c r="AG93" s="371"/>
      <c r="AH93" s="371"/>
      <c r="AI93" s="387">
        <f t="shared" si="25"/>
        <v>0</v>
      </c>
      <c r="AJ93" s="496"/>
    </row>
    <row r="94" spans="1:36" s="393" customFormat="1" ht="24" customHeight="1">
      <c r="A94" s="397" t="s">
        <v>116</v>
      </c>
      <c r="B94" s="394" t="s">
        <v>247</v>
      </c>
      <c r="C94" s="501" t="s">
        <v>872</v>
      </c>
      <c r="D94" s="396">
        <v>1</v>
      </c>
      <c r="E94" s="385">
        <f t="shared" si="32"/>
        <v>33191</v>
      </c>
      <c r="F94" s="368">
        <v>5401</v>
      </c>
      <c r="G94" s="368">
        <v>27790</v>
      </c>
      <c r="H94" s="385">
        <f t="shared" si="33"/>
        <v>8393</v>
      </c>
      <c r="I94" s="371">
        <v>0</v>
      </c>
      <c r="J94" s="371">
        <v>0</v>
      </c>
      <c r="K94" s="371">
        <v>1900</v>
      </c>
      <c r="L94" s="371">
        <v>5300</v>
      </c>
      <c r="M94" s="371">
        <v>1193</v>
      </c>
      <c r="N94" s="371">
        <v>0</v>
      </c>
      <c r="O94" s="370">
        <v>0</v>
      </c>
      <c r="P94" s="386">
        <f t="shared" si="34"/>
        <v>24798</v>
      </c>
      <c r="Q94" s="371">
        <v>0</v>
      </c>
      <c r="R94" s="371">
        <v>0</v>
      </c>
      <c r="S94" s="371">
        <v>8266</v>
      </c>
      <c r="T94" s="371">
        <v>0</v>
      </c>
      <c r="U94" s="371">
        <v>0</v>
      </c>
      <c r="V94" s="371">
        <v>0</v>
      </c>
      <c r="W94" s="371">
        <v>0</v>
      </c>
      <c r="X94" s="371">
        <v>7550</v>
      </c>
      <c r="Y94" s="371">
        <v>7700</v>
      </c>
      <c r="Z94" s="371">
        <v>0</v>
      </c>
      <c r="AA94" s="371">
        <v>0</v>
      </c>
      <c r="AB94" s="371">
        <v>0</v>
      </c>
      <c r="AC94" s="371">
        <v>0</v>
      </c>
      <c r="AD94" s="371">
        <v>1282</v>
      </c>
      <c r="AE94" s="371">
        <v>0</v>
      </c>
      <c r="AF94" s="385">
        <f t="shared" si="35"/>
        <v>0</v>
      </c>
      <c r="AG94" s="371"/>
      <c r="AH94" s="371"/>
      <c r="AI94" s="387">
        <f t="shared" si="25"/>
        <v>0</v>
      </c>
      <c r="AJ94" s="496"/>
    </row>
    <row r="95" spans="1:36" s="393" customFormat="1" ht="32.450000000000003" customHeight="1">
      <c r="A95" s="397" t="s">
        <v>116</v>
      </c>
      <c r="B95" s="394" t="s">
        <v>247</v>
      </c>
      <c r="C95" s="501" t="s">
        <v>873</v>
      </c>
      <c r="D95" s="396">
        <v>1</v>
      </c>
      <c r="E95" s="385">
        <f t="shared" si="32"/>
        <v>1434</v>
      </c>
      <c r="F95" s="368"/>
      <c r="G95" s="368">
        <v>1434</v>
      </c>
      <c r="H95" s="385">
        <f t="shared" si="33"/>
        <v>434</v>
      </c>
      <c r="I95" s="371"/>
      <c r="J95" s="371"/>
      <c r="K95" s="371"/>
      <c r="L95" s="371"/>
      <c r="M95" s="371"/>
      <c r="N95" s="371"/>
      <c r="O95" s="370">
        <v>434</v>
      </c>
      <c r="P95" s="386">
        <f t="shared" si="34"/>
        <v>1000</v>
      </c>
      <c r="Q95" s="371"/>
      <c r="R95" s="371"/>
      <c r="S95" s="371"/>
      <c r="T95" s="371"/>
      <c r="U95" s="371"/>
      <c r="V95" s="371"/>
      <c r="W95" s="371"/>
      <c r="X95" s="371"/>
      <c r="Y95" s="371"/>
      <c r="Z95" s="371"/>
      <c r="AA95" s="371"/>
      <c r="AB95" s="371"/>
      <c r="AC95" s="371"/>
      <c r="AD95" s="371"/>
      <c r="AE95" s="371">
        <v>1000</v>
      </c>
      <c r="AF95" s="385">
        <f t="shared" si="35"/>
        <v>0</v>
      </c>
      <c r="AG95" s="371"/>
      <c r="AH95" s="371"/>
      <c r="AI95" s="387">
        <f t="shared" si="25"/>
        <v>0</v>
      </c>
      <c r="AJ95" s="496"/>
    </row>
    <row r="96" spans="1:36" s="393" customFormat="1" ht="31.5" customHeight="1">
      <c r="A96" s="397" t="s">
        <v>116</v>
      </c>
      <c r="B96" s="394" t="s">
        <v>247</v>
      </c>
      <c r="C96" s="501" t="s">
        <v>522</v>
      </c>
      <c r="D96" s="396">
        <v>1</v>
      </c>
      <c r="E96" s="385">
        <f t="shared" si="32"/>
        <v>150</v>
      </c>
      <c r="F96" s="368">
        <v>150</v>
      </c>
      <c r="G96" s="368"/>
      <c r="H96" s="385">
        <f t="shared" si="33"/>
        <v>0</v>
      </c>
      <c r="I96" s="371"/>
      <c r="J96" s="371"/>
      <c r="K96" s="371"/>
      <c r="L96" s="371"/>
      <c r="M96" s="371"/>
      <c r="N96" s="371"/>
      <c r="O96" s="370"/>
      <c r="P96" s="386">
        <f t="shared" si="34"/>
        <v>0</v>
      </c>
      <c r="Q96" s="371"/>
      <c r="R96" s="371"/>
      <c r="S96" s="371"/>
      <c r="T96" s="371"/>
      <c r="U96" s="371"/>
      <c r="V96" s="371"/>
      <c r="W96" s="371"/>
      <c r="X96" s="371"/>
      <c r="Y96" s="371"/>
      <c r="Z96" s="371"/>
      <c r="AA96" s="371"/>
      <c r="AB96" s="371"/>
      <c r="AC96" s="371"/>
      <c r="AD96" s="371"/>
      <c r="AE96" s="371"/>
      <c r="AF96" s="385">
        <f t="shared" si="35"/>
        <v>150</v>
      </c>
      <c r="AG96" s="371"/>
      <c r="AH96" s="371">
        <v>150</v>
      </c>
      <c r="AI96" s="387">
        <f t="shared" si="25"/>
        <v>0</v>
      </c>
      <c r="AJ96" s="496"/>
    </row>
    <row r="97" spans="1:36" s="410" customFormat="1" ht="24" customHeight="1">
      <c r="A97" s="405" t="s">
        <v>881</v>
      </c>
      <c r="B97" s="406"/>
      <c r="C97" s="407"/>
      <c r="D97" s="408"/>
      <c r="E97" s="409">
        <f t="shared" ref="E97:AH97" si="36">SUM(E98:E101)</f>
        <v>499763</v>
      </c>
      <c r="F97" s="409">
        <f t="shared" si="36"/>
        <v>483540</v>
      </c>
      <c r="G97" s="409">
        <f t="shared" si="36"/>
        <v>16223</v>
      </c>
      <c r="H97" s="409">
        <f t="shared" si="36"/>
        <v>316432</v>
      </c>
      <c r="I97" s="409">
        <f t="shared" si="36"/>
        <v>67306</v>
      </c>
      <c r="J97" s="409">
        <f t="shared" si="36"/>
        <v>45281</v>
      </c>
      <c r="K97" s="409">
        <f t="shared" si="36"/>
        <v>42165</v>
      </c>
      <c r="L97" s="409">
        <f t="shared" si="36"/>
        <v>65500</v>
      </c>
      <c r="M97" s="409">
        <f t="shared" si="36"/>
        <v>32639</v>
      </c>
      <c r="N97" s="409">
        <f t="shared" si="36"/>
        <v>63011</v>
      </c>
      <c r="O97" s="409">
        <f t="shared" si="36"/>
        <v>530</v>
      </c>
      <c r="P97" s="409">
        <f t="shared" si="36"/>
        <v>179434</v>
      </c>
      <c r="Q97" s="409">
        <f t="shared" si="36"/>
        <v>11350</v>
      </c>
      <c r="R97" s="409">
        <f t="shared" si="36"/>
        <v>11847</v>
      </c>
      <c r="S97" s="409">
        <f t="shared" si="36"/>
        <v>10773</v>
      </c>
      <c r="T97" s="409">
        <f t="shared" si="36"/>
        <v>35929</v>
      </c>
      <c r="U97" s="409">
        <f t="shared" si="36"/>
        <v>11025</v>
      </c>
      <c r="V97" s="409">
        <f t="shared" si="36"/>
        <v>15632</v>
      </c>
      <c r="W97" s="409">
        <f t="shared" si="36"/>
        <v>12533</v>
      </c>
      <c r="X97" s="409">
        <f t="shared" si="36"/>
        <v>21039</v>
      </c>
      <c r="Y97" s="409">
        <f t="shared" si="36"/>
        <v>9662</v>
      </c>
      <c r="Z97" s="409">
        <f t="shared" si="36"/>
        <v>9533</v>
      </c>
      <c r="AA97" s="409">
        <f t="shared" si="36"/>
        <v>3735</v>
      </c>
      <c r="AB97" s="409">
        <f t="shared" si="36"/>
        <v>8519</v>
      </c>
      <c r="AC97" s="409">
        <f t="shared" si="36"/>
        <v>11074</v>
      </c>
      <c r="AD97" s="409">
        <f t="shared" si="36"/>
        <v>6494</v>
      </c>
      <c r="AE97" s="409">
        <f t="shared" si="36"/>
        <v>289</v>
      </c>
      <c r="AF97" s="409">
        <f t="shared" si="36"/>
        <v>3897</v>
      </c>
      <c r="AG97" s="409">
        <f t="shared" si="36"/>
        <v>2678</v>
      </c>
      <c r="AH97" s="409">
        <f t="shared" si="36"/>
        <v>1219</v>
      </c>
      <c r="AI97" s="387">
        <f t="shared" si="25"/>
        <v>0</v>
      </c>
      <c r="AJ97" s="496"/>
    </row>
    <row r="98" spans="1:36" s="393" customFormat="1" ht="24" customHeight="1">
      <c r="A98" s="397" t="s">
        <v>116</v>
      </c>
      <c r="B98" s="394" t="s">
        <v>89</v>
      </c>
      <c r="C98" s="501" t="s">
        <v>254</v>
      </c>
      <c r="D98" s="396">
        <v>1</v>
      </c>
      <c r="E98" s="385">
        <f t="shared" ref="E98:E103" si="37">SUM(H98,P98,AF98)</f>
        <v>336110</v>
      </c>
      <c r="F98" s="368">
        <v>336110</v>
      </c>
      <c r="G98" s="368"/>
      <c r="H98" s="385">
        <f t="shared" ref="H98:H103" si="38">SUM(I98:O98)</f>
        <v>232003</v>
      </c>
      <c r="I98" s="371">
        <v>47919</v>
      </c>
      <c r="J98" s="371">
        <v>30050</v>
      </c>
      <c r="K98" s="371">
        <v>36800</v>
      </c>
      <c r="L98" s="371">
        <v>48890</v>
      </c>
      <c r="M98" s="371">
        <v>22144</v>
      </c>
      <c r="N98" s="371">
        <v>46200</v>
      </c>
      <c r="O98" s="370"/>
      <c r="P98" s="386">
        <f t="shared" ref="P98:P103" si="39">SUM(Q98:AE98)</f>
        <v>103127</v>
      </c>
      <c r="Q98" s="371">
        <v>5835</v>
      </c>
      <c r="R98" s="371">
        <v>9500</v>
      </c>
      <c r="S98" s="371">
        <v>6815</v>
      </c>
      <c r="T98" s="371">
        <v>17708</v>
      </c>
      <c r="U98" s="371">
        <v>5440</v>
      </c>
      <c r="V98" s="371">
        <v>9600</v>
      </c>
      <c r="W98" s="371">
        <v>5505</v>
      </c>
      <c r="X98" s="371">
        <v>15300</v>
      </c>
      <c r="Y98" s="371">
        <v>4700</v>
      </c>
      <c r="Z98" s="371">
        <v>3728</v>
      </c>
      <c r="AA98" s="371">
        <v>960</v>
      </c>
      <c r="AB98" s="371">
        <v>5400</v>
      </c>
      <c r="AC98" s="371">
        <v>8660</v>
      </c>
      <c r="AD98" s="371">
        <v>3976</v>
      </c>
      <c r="AE98" s="371"/>
      <c r="AF98" s="385">
        <f t="shared" ref="AF98:AF103" si="40">SUM(AG98:AH98)</f>
        <v>980</v>
      </c>
      <c r="AG98" s="371">
        <v>910</v>
      </c>
      <c r="AH98" s="371">
        <v>70</v>
      </c>
      <c r="AI98" s="387">
        <f t="shared" si="25"/>
        <v>0</v>
      </c>
      <c r="AJ98" s="496"/>
    </row>
    <row r="99" spans="1:36" s="393" customFormat="1" ht="24" customHeight="1">
      <c r="A99" s="397" t="s">
        <v>116</v>
      </c>
      <c r="B99" s="394" t="s">
        <v>89</v>
      </c>
      <c r="C99" s="501" t="s">
        <v>255</v>
      </c>
      <c r="D99" s="396">
        <v>1</v>
      </c>
      <c r="E99" s="385">
        <f t="shared" si="37"/>
        <v>35100</v>
      </c>
      <c r="F99" s="368">
        <v>18877</v>
      </c>
      <c r="G99" s="368">
        <v>16223</v>
      </c>
      <c r="H99" s="385">
        <f t="shared" si="38"/>
        <v>14326</v>
      </c>
      <c r="I99" s="371">
        <v>4630</v>
      </c>
      <c r="J99" s="371">
        <v>1307</v>
      </c>
      <c r="K99" s="371"/>
      <c r="L99" s="371">
        <v>1126</v>
      </c>
      <c r="M99" s="371">
        <v>1845</v>
      </c>
      <c r="N99" s="371">
        <v>5418</v>
      </c>
      <c r="O99" s="370"/>
      <c r="P99" s="386">
        <f t="shared" si="39"/>
        <v>18626</v>
      </c>
      <c r="Q99" s="371">
        <v>1190</v>
      </c>
      <c r="R99" s="371"/>
      <c r="S99" s="371"/>
      <c r="T99" s="371">
        <v>10392</v>
      </c>
      <c r="U99" s="371"/>
      <c r="V99" s="371"/>
      <c r="W99" s="371">
        <v>1694</v>
      </c>
      <c r="X99" s="371"/>
      <c r="Y99" s="371">
        <v>2043</v>
      </c>
      <c r="Z99" s="371">
        <v>1220</v>
      </c>
      <c r="AA99" s="371">
        <v>1233</v>
      </c>
      <c r="AB99" s="371"/>
      <c r="AC99" s="371">
        <v>854</v>
      </c>
      <c r="AD99" s="371"/>
      <c r="AE99" s="371"/>
      <c r="AF99" s="385">
        <f t="shared" si="40"/>
        <v>2148</v>
      </c>
      <c r="AG99" s="371">
        <v>1312</v>
      </c>
      <c r="AH99" s="371">
        <v>836</v>
      </c>
      <c r="AI99" s="387">
        <f t="shared" si="25"/>
        <v>0</v>
      </c>
      <c r="AJ99" s="496"/>
    </row>
    <row r="100" spans="1:36" s="393" customFormat="1" ht="26.45" customHeight="1">
      <c r="A100" s="397" t="s">
        <v>116</v>
      </c>
      <c r="B100" s="394" t="s">
        <v>89</v>
      </c>
      <c r="C100" s="501" t="s">
        <v>256</v>
      </c>
      <c r="D100" s="396">
        <v>1</v>
      </c>
      <c r="E100" s="385">
        <f t="shared" si="37"/>
        <v>68160</v>
      </c>
      <c r="F100" s="368">
        <v>68160</v>
      </c>
      <c r="G100" s="368"/>
      <c r="H100" s="385">
        <f t="shared" si="38"/>
        <v>26504</v>
      </c>
      <c r="I100" s="371">
        <v>5692</v>
      </c>
      <c r="J100" s="371">
        <v>4530</v>
      </c>
      <c r="K100" s="371">
        <v>1158</v>
      </c>
      <c r="L100" s="371">
        <v>5825</v>
      </c>
      <c r="M100" s="371">
        <v>3319</v>
      </c>
      <c r="N100" s="371">
        <v>5450</v>
      </c>
      <c r="O100" s="370">
        <v>530</v>
      </c>
      <c r="P100" s="386">
        <f t="shared" si="39"/>
        <v>41506</v>
      </c>
      <c r="Q100" s="371">
        <v>3201</v>
      </c>
      <c r="R100" s="371">
        <v>1794</v>
      </c>
      <c r="S100" s="371">
        <v>2702</v>
      </c>
      <c r="T100" s="371">
        <v>5120</v>
      </c>
      <c r="U100" s="371">
        <v>4557</v>
      </c>
      <c r="V100" s="371">
        <v>4879</v>
      </c>
      <c r="W100" s="371">
        <v>4062</v>
      </c>
      <c r="X100" s="371">
        <v>4072</v>
      </c>
      <c r="Y100" s="371">
        <v>1951</v>
      </c>
      <c r="Z100" s="371">
        <v>3326</v>
      </c>
      <c r="AA100" s="371">
        <v>806</v>
      </c>
      <c r="AB100" s="371">
        <v>2155</v>
      </c>
      <c r="AC100" s="371">
        <v>941</v>
      </c>
      <c r="AD100" s="371">
        <v>1651</v>
      </c>
      <c r="AE100" s="371">
        <v>289</v>
      </c>
      <c r="AF100" s="385">
        <f t="shared" si="40"/>
        <v>150</v>
      </c>
      <c r="AG100" s="371">
        <v>100</v>
      </c>
      <c r="AH100" s="371">
        <v>50</v>
      </c>
      <c r="AI100" s="387">
        <f t="shared" si="25"/>
        <v>0</v>
      </c>
      <c r="AJ100" s="496"/>
    </row>
    <row r="101" spans="1:36" s="393" customFormat="1" ht="35.1" customHeight="1">
      <c r="A101" s="397" t="s">
        <v>116</v>
      </c>
      <c r="B101" s="394" t="s">
        <v>89</v>
      </c>
      <c r="C101" s="501" t="s">
        <v>257</v>
      </c>
      <c r="D101" s="396">
        <v>1</v>
      </c>
      <c r="E101" s="385">
        <f t="shared" si="37"/>
        <v>60393</v>
      </c>
      <c r="F101" s="368">
        <v>60393</v>
      </c>
      <c r="G101" s="368"/>
      <c r="H101" s="385">
        <f t="shared" si="38"/>
        <v>43599</v>
      </c>
      <c r="I101" s="371">
        <v>9065</v>
      </c>
      <c r="J101" s="371">
        <v>9394</v>
      </c>
      <c r="K101" s="371">
        <v>4207</v>
      </c>
      <c r="L101" s="371">
        <v>9659</v>
      </c>
      <c r="M101" s="371">
        <v>5331</v>
      </c>
      <c r="N101" s="371">
        <v>5943</v>
      </c>
      <c r="O101" s="370"/>
      <c r="P101" s="386">
        <f t="shared" si="39"/>
        <v>16175</v>
      </c>
      <c r="Q101" s="371">
        <v>1124</v>
      </c>
      <c r="R101" s="371">
        <v>553</v>
      </c>
      <c r="S101" s="371">
        <v>1256</v>
      </c>
      <c r="T101" s="371">
        <v>2709</v>
      </c>
      <c r="U101" s="371">
        <v>1028</v>
      </c>
      <c r="V101" s="371">
        <v>1153</v>
      </c>
      <c r="W101" s="371">
        <v>1272</v>
      </c>
      <c r="X101" s="371">
        <v>1667</v>
      </c>
      <c r="Y101" s="371">
        <v>968</v>
      </c>
      <c r="Z101" s="371">
        <v>1259</v>
      </c>
      <c r="AA101" s="371">
        <v>736</v>
      </c>
      <c r="AB101" s="371">
        <v>964</v>
      </c>
      <c r="AC101" s="371">
        <v>619</v>
      </c>
      <c r="AD101" s="371">
        <v>867</v>
      </c>
      <c r="AE101" s="371"/>
      <c r="AF101" s="385">
        <f t="shared" si="40"/>
        <v>619</v>
      </c>
      <c r="AG101" s="371">
        <v>356</v>
      </c>
      <c r="AH101" s="371">
        <v>263</v>
      </c>
      <c r="AI101" s="387">
        <f t="shared" si="25"/>
        <v>0</v>
      </c>
      <c r="AJ101" s="496"/>
    </row>
    <row r="102" spans="1:36" s="418" customFormat="1" ht="32.1" customHeight="1">
      <c r="A102" s="411" t="s">
        <v>116</v>
      </c>
      <c r="B102" s="412" t="s">
        <v>874</v>
      </c>
      <c r="C102" s="413" t="s">
        <v>875</v>
      </c>
      <c r="D102" s="414">
        <v>3</v>
      </c>
      <c r="E102" s="415">
        <f t="shared" si="37"/>
        <v>75360</v>
      </c>
      <c r="F102" s="415"/>
      <c r="G102" s="415">
        <v>75360</v>
      </c>
      <c r="H102" s="415">
        <f t="shared" si="38"/>
        <v>32928</v>
      </c>
      <c r="I102" s="415"/>
      <c r="J102" s="415"/>
      <c r="K102" s="415">
        <v>7968</v>
      </c>
      <c r="L102" s="415"/>
      <c r="M102" s="415">
        <v>8640</v>
      </c>
      <c r="N102" s="415">
        <v>16320</v>
      </c>
      <c r="O102" s="416"/>
      <c r="P102" s="416">
        <f t="shared" si="39"/>
        <v>42432</v>
      </c>
      <c r="Q102" s="415">
        <v>6912</v>
      </c>
      <c r="R102" s="415"/>
      <c r="S102" s="415"/>
      <c r="T102" s="415"/>
      <c r="U102" s="415"/>
      <c r="V102" s="415"/>
      <c r="W102" s="415"/>
      <c r="X102" s="415"/>
      <c r="Y102" s="415">
        <v>19200</v>
      </c>
      <c r="Z102" s="415"/>
      <c r="AA102" s="415">
        <v>16320</v>
      </c>
      <c r="AB102" s="415"/>
      <c r="AC102" s="415"/>
      <c r="AD102" s="415"/>
      <c r="AE102" s="415"/>
      <c r="AF102" s="415">
        <f t="shared" si="40"/>
        <v>0</v>
      </c>
      <c r="AG102" s="415"/>
      <c r="AH102" s="415"/>
      <c r="AI102" s="387">
        <f t="shared" si="25"/>
        <v>0</v>
      </c>
      <c r="AJ102" s="496"/>
    </row>
    <row r="103" spans="1:36" s="418" customFormat="1" ht="36.6" customHeight="1">
      <c r="A103" s="411" t="s">
        <v>116</v>
      </c>
      <c r="B103" s="412" t="s">
        <v>876</v>
      </c>
      <c r="C103" s="413" t="s">
        <v>681</v>
      </c>
      <c r="D103" s="414">
        <v>1</v>
      </c>
      <c r="E103" s="415">
        <f t="shared" si="37"/>
        <v>3365</v>
      </c>
      <c r="F103" s="415">
        <v>3365</v>
      </c>
      <c r="G103" s="415"/>
      <c r="H103" s="415">
        <f t="shared" si="38"/>
        <v>1776</v>
      </c>
      <c r="I103" s="415">
        <v>358</v>
      </c>
      <c r="J103" s="415">
        <v>318</v>
      </c>
      <c r="K103" s="415">
        <v>238</v>
      </c>
      <c r="L103" s="415">
        <v>308</v>
      </c>
      <c r="M103" s="415">
        <v>228</v>
      </c>
      <c r="N103" s="415">
        <v>326</v>
      </c>
      <c r="O103" s="416"/>
      <c r="P103" s="416">
        <f t="shared" si="39"/>
        <v>1493</v>
      </c>
      <c r="Q103" s="415">
        <v>95</v>
      </c>
      <c r="R103" s="415">
        <v>120</v>
      </c>
      <c r="S103" s="415">
        <v>120</v>
      </c>
      <c r="T103" s="415">
        <v>155</v>
      </c>
      <c r="U103" s="415">
        <v>115</v>
      </c>
      <c r="V103" s="415">
        <v>125</v>
      </c>
      <c r="W103" s="415">
        <v>120</v>
      </c>
      <c r="X103" s="415">
        <v>145</v>
      </c>
      <c r="Y103" s="415">
        <v>58</v>
      </c>
      <c r="Z103" s="415">
        <v>95</v>
      </c>
      <c r="AA103" s="415">
        <v>55</v>
      </c>
      <c r="AB103" s="415">
        <v>120</v>
      </c>
      <c r="AC103" s="415">
        <v>115</v>
      </c>
      <c r="AD103" s="415">
        <v>55</v>
      </c>
      <c r="AE103" s="415"/>
      <c r="AF103" s="415">
        <f t="shared" si="40"/>
        <v>96</v>
      </c>
      <c r="AG103" s="415">
        <v>56</v>
      </c>
      <c r="AH103" s="415">
        <v>40</v>
      </c>
      <c r="AI103" s="387">
        <f t="shared" si="25"/>
        <v>0</v>
      </c>
      <c r="AJ103" s="496"/>
    </row>
    <row r="104" spans="1:36" s="404" customFormat="1" ht="30.95" customHeight="1">
      <c r="A104" s="398" t="s">
        <v>1098</v>
      </c>
      <c r="B104" s="399"/>
      <c r="C104" s="400"/>
      <c r="D104" s="401"/>
      <c r="E104" s="402">
        <f t="shared" ref="E104:AH104" si="41">E105+E106+E109</f>
        <v>12948736</v>
      </c>
      <c r="F104" s="402">
        <f t="shared" si="41"/>
        <v>12948736</v>
      </c>
      <c r="G104" s="402">
        <f t="shared" si="41"/>
        <v>0</v>
      </c>
      <c r="H104" s="402">
        <f t="shared" si="41"/>
        <v>8183094</v>
      </c>
      <c r="I104" s="402">
        <f t="shared" si="41"/>
        <v>2322273</v>
      </c>
      <c r="J104" s="402">
        <f t="shared" si="41"/>
        <v>1451433</v>
      </c>
      <c r="K104" s="402">
        <f t="shared" si="41"/>
        <v>1094938</v>
      </c>
      <c r="L104" s="402">
        <f t="shared" si="41"/>
        <v>1062132</v>
      </c>
      <c r="M104" s="402">
        <f t="shared" si="41"/>
        <v>987496</v>
      </c>
      <c r="N104" s="402">
        <f t="shared" si="41"/>
        <v>1264822</v>
      </c>
      <c r="O104" s="402">
        <f t="shared" si="41"/>
        <v>0</v>
      </c>
      <c r="P104" s="402">
        <f t="shared" si="41"/>
        <v>4652478</v>
      </c>
      <c r="Q104" s="402">
        <f t="shared" si="41"/>
        <v>199875</v>
      </c>
      <c r="R104" s="402">
        <f t="shared" si="41"/>
        <v>265958</v>
      </c>
      <c r="S104" s="402">
        <f t="shared" si="41"/>
        <v>337628</v>
      </c>
      <c r="T104" s="402">
        <f t="shared" si="41"/>
        <v>644576</v>
      </c>
      <c r="U104" s="402">
        <f t="shared" si="41"/>
        <v>347529</v>
      </c>
      <c r="V104" s="402">
        <f t="shared" si="41"/>
        <v>466449</v>
      </c>
      <c r="W104" s="402">
        <f t="shared" si="41"/>
        <v>332135</v>
      </c>
      <c r="X104" s="402">
        <f t="shared" si="41"/>
        <v>554240</v>
      </c>
      <c r="Y104" s="402">
        <f t="shared" si="41"/>
        <v>222520</v>
      </c>
      <c r="Z104" s="402">
        <f t="shared" si="41"/>
        <v>230657</v>
      </c>
      <c r="AA104" s="402">
        <f t="shared" si="41"/>
        <v>166052</v>
      </c>
      <c r="AB104" s="402">
        <f t="shared" si="41"/>
        <v>483335</v>
      </c>
      <c r="AC104" s="402">
        <f t="shared" si="41"/>
        <v>155903</v>
      </c>
      <c r="AD104" s="402">
        <f t="shared" si="41"/>
        <v>245621</v>
      </c>
      <c r="AE104" s="402">
        <f t="shared" si="41"/>
        <v>0</v>
      </c>
      <c r="AF104" s="402">
        <f t="shared" si="41"/>
        <v>113164</v>
      </c>
      <c r="AG104" s="402">
        <f t="shared" si="41"/>
        <v>84832</v>
      </c>
      <c r="AH104" s="402">
        <f t="shared" si="41"/>
        <v>28332</v>
      </c>
      <c r="AI104" s="387">
        <f t="shared" si="25"/>
        <v>0</v>
      </c>
      <c r="AJ104" s="496"/>
    </row>
    <row r="105" spans="1:36" s="410" customFormat="1" ht="27.95" customHeight="1">
      <c r="A105" s="411" t="s">
        <v>471</v>
      </c>
      <c r="B105" s="412" t="s">
        <v>275</v>
      </c>
      <c r="C105" s="413" t="s">
        <v>959</v>
      </c>
      <c r="D105" s="414">
        <v>1</v>
      </c>
      <c r="E105" s="415">
        <f>SUM(H105,P105,AF105)</f>
        <v>28800</v>
      </c>
      <c r="F105" s="415">
        <v>28800</v>
      </c>
      <c r="G105" s="415"/>
      <c r="H105" s="415">
        <f>SUM(I105:O105)</f>
        <v>5952</v>
      </c>
      <c r="I105" s="415">
        <v>992</v>
      </c>
      <c r="J105" s="415">
        <v>992</v>
      </c>
      <c r="K105" s="415">
        <v>992</v>
      </c>
      <c r="L105" s="415">
        <v>992</v>
      </c>
      <c r="M105" s="415">
        <v>992</v>
      </c>
      <c r="N105" s="415">
        <v>992</v>
      </c>
      <c r="O105" s="416"/>
      <c r="P105" s="416">
        <f>SUM(Q105:AE105)</f>
        <v>22560</v>
      </c>
      <c r="Q105" s="415">
        <v>1612</v>
      </c>
      <c r="R105" s="415">
        <v>1612</v>
      </c>
      <c r="S105" s="415">
        <v>1611</v>
      </c>
      <c r="T105" s="415">
        <v>1611</v>
      </c>
      <c r="U105" s="415">
        <v>1611</v>
      </c>
      <c r="V105" s="415">
        <v>1611</v>
      </c>
      <c r="W105" s="415">
        <v>1611</v>
      </c>
      <c r="X105" s="415">
        <v>1611</v>
      </c>
      <c r="Y105" s="415">
        <v>1611</v>
      </c>
      <c r="Z105" s="415">
        <v>1612</v>
      </c>
      <c r="AA105" s="415">
        <v>1611</v>
      </c>
      <c r="AB105" s="415">
        <v>1612</v>
      </c>
      <c r="AC105" s="415">
        <v>1612</v>
      </c>
      <c r="AD105" s="415">
        <v>1612</v>
      </c>
      <c r="AE105" s="415"/>
      <c r="AF105" s="415">
        <f>SUM(AG105:AH105)</f>
        <v>288</v>
      </c>
      <c r="AG105" s="415">
        <v>144</v>
      </c>
      <c r="AH105" s="415">
        <v>144</v>
      </c>
      <c r="AI105" s="387">
        <f t="shared" si="25"/>
        <v>0</v>
      </c>
      <c r="AJ105" s="496"/>
    </row>
    <row r="106" spans="1:36" s="410" customFormat="1" ht="24" customHeight="1">
      <c r="A106" s="405" t="s">
        <v>1099</v>
      </c>
      <c r="B106" s="406"/>
      <c r="C106" s="407"/>
      <c r="D106" s="408"/>
      <c r="E106" s="409">
        <f t="shared" ref="E106:AH106" si="42">E107+E108</f>
        <v>10224780</v>
      </c>
      <c r="F106" s="409">
        <f t="shared" si="42"/>
        <v>10224780</v>
      </c>
      <c r="G106" s="409">
        <f t="shared" si="42"/>
        <v>0</v>
      </c>
      <c r="H106" s="409">
        <f t="shared" si="42"/>
        <v>6695330</v>
      </c>
      <c r="I106" s="409">
        <f t="shared" si="42"/>
        <v>1664607</v>
      </c>
      <c r="J106" s="409">
        <f t="shared" si="42"/>
        <v>1237036</v>
      </c>
      <c r="K106" s="409">
        <f t="shared" si="42"/>
        <v>786193</v>
      </c>
      <c r="L106" s="409">
        <f t="shared" si="42"/>
        <v>1035144</v>
      </c>
      <c r="M106" s="409">
        <f t="shared" si="42"/>
        <v>787409</v>
      </c>
      <c r="N106" s="409">
        <f t="shared" si="42"/>
        <v>1184941</v>
      </c>
      <c r="O106" s="409">
        <f t="shared" si="42"/>
        <v>0</v>
      </c>
      <c r="P106" s="409">
        <f t="shared" si="42"/>
        <v>3416856</v>
      </c>
      <c r="Q106" s="409">
        <f t="shared" si="42"/>
        <v>180774</v>
      </c>
      <c r="R106" s="409">
        <f t="shared" si="42"/>
        <v>202216</v>
      </c>
      <c r="S106" s="409">
        <f t="shared" si="42"/>
        <v>258486</v>
      </c>
      <c r="T106" s="409">
        <f t="shared" si="42"/>
        <v>453921</v>
      </c>
      <c r="U106" s="409">
        <f t="shared" si="42"/>
        <v>292057</v>
      </c>
      <c r="V106" s="409">
        <f t="shared" si="42"/>
        <v>358581</v>
      </c>
      <c r="W106" s="409">
        <f t="shared" si="42"/>
        <v>276919</v>
      </c>
      <c r="X106" s="409">
        <f t="shared" si="42"/>
        <v>438161</v>
      </c>
      <c r="Y106" s="409">
        <f t="shared" si="42"/>
        <v>216348</v>
      </c>
      <c r="Z106" s="409">
        <f t="shared" si="42"/>
        <v>217672</v>
      </c>
      <c r="AA106" s="409">
        <f t="shared" si="42"/>
        <v>105508</v>
      </c>
      <c r="AB106" s="409">
        <f t="shared" si="42"/>
        <v>168877</v>
      </c>
      <c r="AC106" s="409">
        <f t="shared" si="42"/>
        <v>151534</v>
      </c>
      <c r="AD106" s="409">
        <f t="shared" si="42"/>
        <v>95802</v>
      </c>
      <c r="AE106" s="409">
        <f t="shared" si="42"/>
        <v>0</v>
      </c>
      <c r="AF106" s="409">
        <f t="shared" si="42"/>
        <v>112594</v>
      </c>
      <c r="AG106" s="409">
        <f t="shared" si="42"/>
        <v>84596</v>
      </c>
      <c r="AH106" s="409">
        <f t="shared" si="42"/>
        <v>27998</v>
      </c>
      <c r="AI106" s="387">
        <f t="shared" si="25"/>
        <v>0</v>
      </c>
      <c r="AJ106" s="496"/>
    </row>
    <row r="107" spans="1:36" s="393" customFormat="1" ht="38.1" customHeight="1">
      <c r="A107" s="397" t="s">
        <v>471</v>
      </c>
      <c r="B107" s="394" t="s">
        <v>277</v>
      </c>
      <c r="C107" s="395" t="s">
        <v>90</v>
      </c>
      <c r="D107" s="396">
        <v>1</v>
      </c>
      <c r="E107" s="385">
        <f>SUM(H107,P107,AF107)</f>
        <v>162000</v>
      </c>
      <c r="F107" s="368">
        <v>162000</v>
      </c>
      <c r="G107" s="368"/>
      <c r="H107" s="385">
        <f>SUM(I107:O107)</f>
        <v>83620</v>
      </c>
      <c r="I107" s="371">
        <v>5767</v>
      </c>
      <c r="J107" s="371">
        <v>15880</v>
      </c>
      <c r="K107" s="371">
        <v>5821</v>
      </c>
      <c r="L107" s="371">
        <v>16300</v>
      </c>
      <c r="M107" s="371">
        <v>13756</v>
      </c>
      <c r="N107" s="371">
        <v>26096</v>
      </c>
      <c r="O107" s="370"/>
      <c r="P107" s="386">
        <f>SUM(Q107:AE107)</f>
        <v>73636</v>
      </c>
      <c r="Q107" s="371">
        <v>5739</v>
      </c>
      <c r="R107" s="371">
        <v>3167</v>
      </c>
      <c r="S107" s="371">
        <v>3410</v>
      </c>
      <c r="T107" s="371">
        <v>5873</v>
      </c>
      <c r="U107" s="371">
        <v>5685</v>
      </c>
      <c r="V107" s="371">
        <v>3620</v>
      </c>
      <c r="W107" s="371">
        <v>3860</v>
      </c>
      <c r="X107" s="371">
        <v>6976</v>
      </c>
      <c r="Y107" s="371">
        <v>7736</v>
      </c>
      <c r="Z107" s="371">
        <v>5575</v>
      </c>
      <c r="AA107" s="371">
        <v>2730</v>
      </c>
      <c r="AB107" s="371">
        <v>14663</v>
      </c>
      <c r="AC107" s="371">
        <v>2562</v>
      </c>
      <c r="AD107" s="371">
        <v>2040</v>
      </c>
      <c r="AE107" s="371"/>
      <c r="AF107" s="385">
        <f>SUM(AG107:AH107)</f>
        <v>4744</v>
      </c>
      <c r="AG107" s="371">
        <v>3041</v>
      </c>
      <c r="AH107" s="371">
        <v>1703</v>
      </c>
      <c r="AI107" s="387">
        <f t="shared" si="25"/>
        <v>0</v>
      </c>
      <c r="AJ107" s="496"/>
    </row>
    <row r="108" spans="1:36" s="438" customFormat="1" ht="27" customHeight="1">
      <c r="A108" s="432" t="s">
        <v>471</v>
      </c>
      <c r="B108" s="433" t="s">
        <v>277</v>
      </c>
      <c r="C108" s="434" t="s">
        <v>635</v>
      </c>
      <c r="D108" s="435">
        <v>9</v>
      </c>
      <c r="E108" s="436">
        <f>SUM(H108,P108,AF108)</f>
        <v>10062780</v>
      </c>
      <c r="F108" s="436">
        <v>10062780</v>
      </c>
      <c r="G108" s="436"/>
      <c r="H108" s="436">
        <f>SUM(I108:O108)</f>
        <v>6611710</v>
      </c>
      <c r="I108" s="436">
        <v>1658840</v>
      </c>
      <c r="J108" s="436">
        <v>1221156</v>
      </c>
      <c r="K108" s="436">
        <v>780372</v>
      </c>
      <c r="L108" s="436">
        <v>1018844</v>
      </c>
      <c r="M108" s="436">
        <v>773653</v>
      </c>
      <c r="N108" s="436">
        <v>1158845</v>
      </c>
      <c r="O108" s="437"/>
      <c r="P108" s="437">
        <f>SUM(Q108:AE108)</f>
        <v>3343220</v>
      </c>
      <c r="Q108" s="436">
        <v>175035</v>
      </c>
      <c r="R108" s="436">
        <v>199049</v>
      </c>
      <c r="S108" s="436">
        <v>255076</v>
      </c>
      <c r="T108" s="436">
        <v>448048</v>
      </c>
      <c r="U108" s="436">
        <v>286372</v>
      </c>
      <c r="V108" s="436">
        <v>354961</v>
      </c>
      <c r="W108" s="436">
        <v>273059</v>
      </c>
      <c r="X108" s="436">
        <v>431185</v>
      </c>
      <c r="Y108" s="436">
        <v>208612</v>
      </c>
      <c r="Z108" s="436">
        <v>212097</v>
      </c>
      <c r="AA108" s="436">
        <v>102778</v>
      </c>
      <c r="AB108" s="436">
        <v>154214</v>
      </c>
      <c r="AC108" s="436">
        <v>148972</v>
      </c>
      <c r="AD108" s="436">
        <v>93762</v>
      </c>
      <c r="AE108" s="436"/>
      <c r="AF108" s="436">
        <f>SUM(AG108:AH108)</f>
        <v>107850</v>
      </c>
      <c r="AG108" s="436">
        <v>81555</v>
      </c>
      <c r="AH108" s="436">
        <v>26295</v>
      </c>
      <c r="AI108" s="387">
        <f t="shared" si="25"/>
        <v>0</v>
      </c>
      <c r="AJ108" s="496"/>
    </row>
    <row r="109" spans="1:36" s="410" customFormat="1" ht="24" customHeight="1">
      <c r="A109" s="405" t="s">
        <v>1165</v>
      </c>
      <c r="B109" s="406"/>
      <c r="C109" s="407"/>
      <c r="D109" s="408"/>
      <c r="E109" s="409">
        <f t="shared" ref="E109:AH109" si="43">E110+E111</f>
        <v>2695156</v>
      </c>
      <c r="F109" s="409">
        <f t="shared" si="43"/>
        <v>2695156</v>
      </c>
      <c r="G109" s="409">
        <f t="shared" si="43"/>
        <v>0</v>
      </c>
      <c r="H109" s="409">
        <f t="shared" si="43"/>
        <v>1481812</v>
      </c>
      <c r="I109" s="409">
        <f t="shared" si="43"/>
        <v>656674</v>
      </c>
      <c r="J109" s="409">
        <f t="shared" si="43"/>
        <v>213405</v>
      </c>
      <c r="K109" s="409">
        <f t="shared" si="43"/>
        <v>307753</v>
      </c>
      <c r="L109" s="409">
        <f t="shared" si="43"/>
        <v>25996</v>
      </c>
      <c r="M109" s="409">
        <f t="shared" si="43"/>
        <v>199095</v>
      </c>
      <c r="N109" s="409">
        <f t="shared" si="43"/>
        <v>78889</v>
      </c>
      <c r="O109" s="409">
        <f t="shared" si="43"/>
        <v>0</v>
      </c>
      <c r="P109" s="409">
        <f t="shared" si="43"/>
        <v>1213062</v>
      </c>
      <c r="Q109" s="409">
        <f t="shared" si="43"/>
        <v>17489</v>
      </c>
      <c r="R109" s="409">
        <f t="shared" si="43"/>
        <v>62130</v>
      </c>
      <c r="S109" s="409">
        <f t="shared" si="43"/>
        <v>77531</v>
      </c>
      <c r="T109" s="409">
        <f t="shared" si="43"/>
        <v>189044</v>
      </c>
      <c r="U109" s="409">
        <f t="shared" si="43"/>
        <v>53861</v>
      </c>
      <c r="V109" s="409">
        <f t="shared" si="43"/>
        <v>106257</v>
      </c>
      <c r="W109" s="409">
        <f t="shared" si="43"/>
        <v>53605</v>
      </c>
      <c r="X109" s="409">
        <f t="shared" si="43"/>
        <v>114468</v>
      </c>
      <c r="Y109" s="409">
        <f t="shared" si="43"/>
        <v>4561</v>
      </c>
      <c r="Z109" s="409">
        <f t="shared" si="43"/>
        <v>11373</v>
      </c>
      <c r="AA109" s="409">
        <f t="shared" si="43"/>
        <v>58933</v>
      </c>
      <c r="AB109" s="409">
        <f t="shared" si="43"/>
        <v>312846</v>
      </c>
      <c r="AC109" s="409">
        <f t="shared" si="43"/>
        <v>2757</v>
      </c>
      <c r="AD109" s="409">
        <f t="shared" si="43"/>
        <v>148207</v>
      </c>
      <c r="AE109" s="409">
        <f t="shared" si="43"/>
        <v>0</v>
      </c>
      <c r="AF109" s="409">
        <f t="shared" si="43"/>
        <v>282</v>
      </c>
      <c r="AG109" s="409">
        <f t="shared" si="43"/>
        <v>92</v>
      </c>
      <c r="AH109" s="409">
        <f t="shared" si="43"/>
        <v>190</v>
      </c>
      <c r="AI109" s="387">
        <f t="shared" si="25"/>
        <v>0</v>
      </c>
      <c r="AJ109" s="496"/>
    </row>
    <row r="110" spans="1:36" s="393" customFormat="1" ht="39.950000000000003" customHeight="1">
      <c r="A110" s="397" t="s">
        <v>471</v>
      </c>
      <c r="B110" s="394" t="s">
        <v>278</v>
      </c>
      <c r="C110" s="395" t="s">
        <v>93</v>
      </c>
      <c r="D110" s="396">
        <v>9</v>
      </c>
      <c r="E110" s="385">
        <f>SUM(H110,P110,AF110)</f>
        <v>2278930</v>
      </c>
      <c r="F110" s="368">
        <v>2278930</v>
      </c>
      <c r="G110" s="368">
        <v>0</v>
      </c>
      <c r="H110" s="385">
        <f>SUM(I110:O110)</f>
        <v>1087110</v>
      </c>
      <c r="I110" s="371">
        <v>564260</v>
      </c>
      <c r="J110" s="371">
        <v>0</v>
      </c>
      <c r="K110" s="371">
        <v>289350</v>
      </c>
      <c r="L110" s="371">
        <v>0</v>
      </c>
      <c r="M110" s="371">
        <v>189120</v>
      </c>
      <c r="N110" s="371">
        <v>44380</v>
      </c>
      <c r="O110" s="370"/>
      <c r="P110" s="386">
        <f>SUM(Q110:AE110)</f>
        <v>1191780</v>
      </c>
      <c r="Q110" s="371">
        <v>15610</v>
      </c>
      <c r="R110" s="371">
        <v>59540</v>
      </c>
      <c r="S110" s="371">
        <v>76290</v>
      </c>
      <c r="T110" s="371">
        <v>187860</v>
      </c>
      <c r="U110" s="371">
        <v>52900</v>
      </c>
      <c r="V110" s="371">
        <v>105770</v>
      </c>
      <c r="W110" s="371">
        <v>51380</v>
      </c>
      <c r="X110" s="371">
        <v>113750</v>
      </c>
      <c r="Y110" s="371">
        <v>3740</v>
      </c>
      <c r="Z110" s="371">
        <v>7970</v>
      </c>
      <c r="AA110" s="371">
        <v>58200</v>
      </c>
      <c r="AB110" s="371">
        <v>311690</v>
      </c>
      <c r="AC110" s="371">
        <v>0</v>
      </c>
      <c r="AD110" s="371">
        <v>147080</v>
      </c>
      <c r="AE110" s="371"/>
      <c r="AF110" s="385">
        <f>SUM(AG110:AH110)</f>
        <v>40</v>
      </c>
      <c r="AG110" s="371">
        <v>0</v>
      </c>
      <c r="AH110" s="371">
        <v>40</v>
      </c>
      <c r="AI110" s="387">
        <f t="shared" si="25"/>
        <v>0</v>
      </c>
      <c r="AJ110" s="496"/>
    </row>
    <row r="111" spans="1:36" s="393" customFormat="1" ht="30.95" customHeight="1">
      <c r="A111" s="397" t="s">
        <v>471</v>
      </c>
      <c r="B111" s="394" t="s">
        <v>278</v>
      </c>
      <c r="C111" s="395" t="s">
        <v>92</v>
      </c>
      <c r="D111" s="396">
        <v>9</v>
      </c>
      <c r="E111" s="385">
        <f>SUM(H111,P111,AF111)</f>
        <v>416226</v>
      </c>
      <c r="F111" s="368">
        <v>416226</v>
      </c>
      <c r="G111" s="368"/>
      <c r="H111" s="385">
        <f>SUM(I111:O111)</f>
        <v>394702</v>
      </c>
      <c r="I111" s="371">
        <v>92414</v>
      </c>
      <c r="J111" s="371">
        <v>213405</v>
      </c>
      <c r="K111" s="371">
        <v>18403</v>
      </c>
      <c r="L111" s="371">
        <v>25996</v>
      </c>
      <c r="M111" s="371">
        <v>9975</v>
      </c>
      <c r="N111" s="371">
        <v>34509</v>
      </c>
      <c r="O111" s="370"/>
      <c r="P111" s="386">
        <f>SUM(Q111:AE111)</f>
        <v>21282</v>
      </c>
      <c r="Q111" s="371">
        <v>1879</v>
      </c>
      <c r="R111" s="371">
        <v>2590</v>
      </c>
      <c r="S111" s="371">
        <v>1241</v>
      </c>
      <c r="T111" s="371">
        <v>1184</v>
      </c>
      <c r="U111" s="371">
        <v>961</v>
      </c>
      <c r="V111" s="371">
        <v>487</v>
      </c>
      <c r="W111" s="371">
        <v>2225</v>
      </c>
      <c r="X111" s="371">
        <v>718</v>
      </c>
      <c r="Y111" s="371">
        <v>821</v>
      </c>
      <c r="Z111" s="371">
        <v>3403</v>
      </c>
      <c r="AA111" s="371">
        <v>733</v>
      </c>
      <c r="AB111" s="371">
        <v>1156</v>
      </c>
      <c r="AC111" s="371">
        <v>2757</v>
      </c>
      <c r="AD111" s="371">
        <v>1127</v>
      </c>
      <c r="AE111" s="371"/>
      <c r="AF111" s="385">
        <f>SUM(AG111:AH111)</f>
        <v>242</v>
      </c>
      <c r="AG111" s="371">
        <v>92</v>
      </c>
      <c r="AH111" s="371">
        <v>150</v>
      </c>
      <c r="AI111" s="387">
        <f t="shared" si="25"/>
        <v>0</v>
      </c>
      <c r="AJ111" s="496"/>
    </row>
    <row r="112" spans="1:36" s="404" customFormat="1" ht="30.95" customHeight="1">
      <c r="A112" s="398" t="s">
        <v>1100</v>
      </c>
      <c r="B112" s="399"/>
      <c r="C112" s="400"/>
      <c r="D112" s="401"/>
      <c r="E112" s="402">
        <f t="shared" ref="E112:AH112" si="44">E113+E139+E148+E157</f>
        <v>50764287</v>
      </c>
      <c r="F112" s="402">
        <f t="shared" si="44"/>
        <v>40149833</v>
      </c>
      <c r="G112" s="402">
        <f t="shared" si="44"/>
        <v>10614454</v>
      </c>
      <c r="H112" s="402">
        <f t="shared" si="44"/>
        <v>30378291</v>
      </c>
      <c r="I112" s="402">
        <f t="shared" si="44"/>
        <v>5864172.8089108365</v>
      </c>
      <c r="J112" s="402">
        <f t="shared" si="44"/>
        <v>4841214.908339344</v>
      </c>
      <c r="K112" s="402">
        <f t="shared" si="44"/>
        <v>2231136.3494423791</v>
      </c>
      <c r="L112" s="402">
        <f t="shared" si="44"/>
        <v>6598003.4081451483</v>
      </c>
      <c r="M112" s="402">
        <f t="shared" si="44"/>
        <v>1976933.5190589803</v>
      </c>
      <c r="N112" s="402">
        <f t="shared" si="44"/>
        <v>2719675.0061033126</v>
      </c>
      <c r="O112" s="402">
        <f t="shared" si="44"/>
        <v>6147155</v>
      </c>
      <c r="P112" s="402">
        <f t="shared" si="44"/>
        <v>19613201</v>
      </c>
      <c r="Q112" s="402">
        <f t="shared" si="44"/>
        <v>952832.62659640028</v>
      </c>
      <c r="R112" s="402">
        <f t="shared" si="44"/>
        <v>1009876.8244544084</v>
      </c>
      <c r="S112" s="402">
        <f t="shared" si="44"/>
        <v>1078518.2182366815</v>
      </c>
      <c r="T112" s="402">
        <f t="shared" si="44"/>
        <v>1501622.4097622135</v>
      </c>
      <c r="U112" s="402">
        <f t="shared" si="44"/>
        <v>1021515.1486219426</v>
      </c>
      <c r="V112" s="402">
        <f t="shared" si="44"/>
        <v>1137863.7157610659</v>
      </c>
      <c r="W112" s="402">
        <f t="shared" si="44"/>
        <v>1050817.8896704137</v>
      </c>
      <c r="X112" s="402">
        <f t="shared" si="44"/>
        <v>1440381.1480694448</v>
      </c>
      <c r="Y112" s="402">
        <f t="shared" si="44"/>
        <v>1000610.4100384624</v>
      </c>
      <c r="Z112" s="402">
        <f t="shared" si="44"/>
        <v>958364.38857604284</v>
      </c>
      <c r="AA112" s="402">
        <f t="shared" si="44"/>
        <v>540601.36628487636</v>
      </c>
      <c r="AB112" s="402">
        <f t="shared" si="44"/>
        <v>696024.78565205378</v>
      </c>
      <c r="AC112" s="402">
        <f t="shared" si="44"/>
        <v>801283.2330903759</v>
      </c>
      <c r="AD112" s="402">
        <f t="shared" si="44"/>
        <v>599727.83518561802</v>
      </c>
      <c r="AE112" s="402">
        <f t="shared" si="44"/>
        <v>5823161</v>
      </c>
      <c r="AF112" s="402">
        <f t="shared" si="44"/>
        <v>772795</v>
      </c>
      <c r="AG112" s="402">
        <f t="shared" si="44"/>
        <v>367684.24063530116</v>
      </c>
      <c r="AH112" s="402">
        <f t="shared" si="44"/>
        <v>405110.75936469884</v>
      </c>
      <c r="AI112" s="387">
        <f t="shared" si="25"/>
        <v>0</v>
      </c>
    </row>
    <row r="113" spans="1:35" s="410" customFormat="1" ht="24" customHeight="1">
      <c r="A113" s="405" t="s">
        <v>1101</v>
      </c>
      <c r="B113" s="406"/>
      <c r="C113" s="407"/>
      <c r="D113" s="408"/>
      <c r="E113" s="409">
        <f t="shared" ref="E113:AH113" si="45">SUM(E114:E138)</f>
        <v>1629964</v>
      </c>
      <c r="F113" s="409">
        <f t="shared" si="45"/>
        <v>1376018</v>
      </c>
      <c r="G113" s="409">
        <f t="shared" si="45"/>
        <v>253946</v>
      </c>
      <c r="H113" s="409">
        <f t="shared" si="45"/>
        <v>612900</v>
      </c>
      <c r="I113" s="409">
        <f t="shared" si="45"/>
        <v>49210</v>
      </c>
      <c r="J113" s="409">
        <f t="shared" si="45"/>
        <v>49710</v>
      </c>
      <c r="K113" s="409">
        <f t="shared" si="45"/>
        <v>23910</v>
      </c>
      <c r="L113" s="409">
        <f t="shared" si="45"/>
        <v>39250</v>
      </c>
      <c r="M113" s="409">
        <f t="shared" si="45"/>
        <v>37030</v>
      </c>
      <c r="N113" s="409">
        <f t="shared" si="45"/>
        <v>29830</v>
      </c>
      <c r="O113" s="409">
        <f t="shared" si="45"/>
        <v>383960</v>
      </c>
      <c r="P113" s="409">
        <f t="shared" si="45"/>
        <v>953524</v>
      </c>
      <c r="Q113" s="409">
        <f t="shared" si="45"/>
        <v>20320</v>
      </c>
      <c r="R113" s="409">
        <f t="shared" si="45"/>
        <v>15470</v>
      </c>
      <c r="S113" s="409">
        <f t="shared" si="45"/>
        <v>19250</v>
      </c>
      <c r="T113" s="409">
        <f t="shared" si="45"/>
        <v>26570</v>
      </c>
      <c r="U113" s="409">
        <f t="shared" si="45"/>
        <v>17477</v>
      </c>
      <c r="V113" s="409">
        <f t="shared" si="45"/>
        <v>19060</v>
      </c>
      <c r="W113" s="409">
        <f t="shared" si="45"/>
        <v>14275</v>
      </c>
      <c r="X113" s="409">
        <f t="shared" si="45"/>
        <v>22870</v>
      </c>
      <c r="Y113" s="409">
        <f t="shared" si="45"/>
        <v>14705</v>
      </c>
      <c r="Z113" s="409">
        <f t="shared" si="45"/>
        <v>11500</v>
      </c>
      <c r="AA113" s="409">
        <f t="shared" si="45"/>
        <v>7455</v>
      </c>
      <c r="AB113" s="409">
        <f t="shared" si="45"/>
        <v>14690</v>
      </c>
      <c r="AC113" s="409">
        <f t="shared" si="45"/>
        <v>14660</v>
      </c>
      <c r="AD113" s="409">
        <f t="shared" si="45"/>
        <v>12920</v>
      </c>
      <c r="AE113" s="409">
        <f t="shared" si="45"/>
        <v>722302</v>
      </c>
      <c r="AF113" s="409">
        <f t="shared" si="45"/>
        <v>63540</v>
      </c>
      <c r="AG113" s="409">
        <f t="shared" si="45"/>
        <v>36331</v>
      </c>
      <c r="AH113" s="409">
        <f t="shared" si="45"/>
        <v>27209</v>
      </c>
      <c r="AI113" s="387">
        <f t="shared" si="25"/>
        <v>0</v>
      </c>
    </row>
    <row r="114" spans="1:35" s="393" customFormat="1" ht="24" customHeight="1">
      <c r="A114" s="397" t="s">
        <v>1</v>
      </c>
      <c r="B114" s="428" t="s">
        <v>433</v>
      </c>
      <c r="C114" s="395" t="s">
        <v>434</v>
      </c>
      <c r="D114" s="396">
        <v>3</v>
      </c>
      <c r="E114" s="385">
        <f t="shared" ref="E114:E138" si="46">SUM(H114,P114,AF114)</f>
        <v>763</v>
      </c>
      <c r="F114" s="368">
        <v>763</v>
      </c>
      <c r="G114" s="368">
        <v>0</v>
      </c>
      <c r="H114" s="385">
        <f t="shared" ref="H114:H138" si="47">SUM(I114:O114)</f>
        <v>0</v>
      </c>
      <c r="I114" s="371">
        <v>0</v>
      </c>
      <c r="J114" s="371">
        <v>0</v>
      </c>
      <c r="K114" s="371">
        <v>0</v>
      </c>
      <c r="L114" s="371">
        <v>0</v>
      </c>
      <c r="M114" s="371">
        <v>0</v>
      </c>
      <c r="N114" s="371">
        <v>0</v>
      </c>
      <c r="O114" s="370">
        <v>0</v>
      </c>
      <c r="P114" s="386">
        <f t="shared" ref="P114:P138" si="48">SUM(Q114:AE114)</f>
        <v>763</v>
      </c>
      <c r="Q114" s="371">
        <v>0</v>
      </c>
      <c r="R114" s="371">
        <v>0</v>
      </c>
      <c r="S114" s="371">
        <v>0</v>
      </c>
      <c r="T114" s="371">
        <v>0</v>
      </c>
      <c r="U114" s="371">
        <v>0</v>
      </c>
      <c r="V114" s="371">
        <v>0</v>
      </c>
      <c r="W114" s="371">
        <v>0</v>
      </c>
      <c r="X114" s="371">
        <v>0</v>
      </c>
      <c r="Y114" s="371">
        <v>0</v>
      </c>
      <c r="Z114" s="371">
        <v>0</v>
      </c>
      <c r="AA114" s="371">
        <v>0</v>
      </c>
      <c r="AB114" s="371">
        <v>0</v>
      </c>
      <c r="AC114" s="371">
        <v>0</v>
      </c>
      <c r="AD114" s="371">
        <v>0</v>
      </c>
      <c r="AE114" s="371">
        <v>763</v>
      </c>
      <c r="AF114" s="385">
        <f t="shared" ref="AF114:AF138" si="49">SUM(AG114:AH114)</f>
        <v>0</v>
      </c>
      <c r="AG114" s="371">
        <v>0</v>
      </c>
      <c r="AH114" s="371">
        <v>0</v>
      </c>
      <c r="AI114" s="387">
        <f t="shared" si="25"/>
        <v>0</v>
      </c>
    </row>
    <row r="115" spans="1:35" s="393" customFormat="1" ht="24" customHeight="1">
      <c r="A115" s="397" t="s">
        <v>1</v>
      </c>
      <c r="B115" s="428" t="s">
        <v>433</v>
      </c>
      <c r="C115" s="395" t="s">
        <v>1115</v>
      </c>
      <c r="D115" s="396">
        <v>3</v>
      </c>
      <c r="E115" s="385">
        <f t="shared" si="46"/>
        <v>1000</v>
      </c>
      <c r="F115" s="368">
        <v>1000</v>
      </c>
      <c r="G115" s="368">
        <v>0</v>
      </c>
      <c r="H115" s="385">
        <f t="shared" si="47"/>
        <v>1000</v>
      </c>
      <c r="I115" s="371">
        <v>0</v>
      </c>
      <c r="J115" s="371">
        <v>0</v>
      </c>
      <c r="K115" s="371">
        <v>0</v>
      </c>
      <c r="L115" s="371">
        <v>0</v>
      </c>
      <c r="M115" s="371">
        <v>0</v>
      </c>
      <c r="N115" s="371">
        <v>0</v>
      </c>
      <c r="O115" s="370">
        <v>1000</v>
      </c>
      <c r="P115" s="386">
        <f t="shared" si="48"/>
        <v>0</v>
      </c>
      <c r="Q115" s="371">
        <v>0</v>
      </c>
      <c r="R115" s="371">
        <v>0</v>
      </c>
      <c r="S115" s="371">
        <v>0</v>
      </c>
      <c r="T115" s="371">
        <v>0</v>
      </c>
      <c r="U115" s="371">
        <v>0</v>
      </c>
      <c r="V115" s="371">
        <v>0</v>
      </c>
      <c r="W115" s="371">
        <v>0</v>
      </c>
      <c r="X115" s="371">
        <v>0</v>
      </c>
      <c r="Y115" s="371">
        <v>0</v>
      </c>
      <c r="Z115" s="371">
        <v>0</v>
      </c>
      <c r="AA115" s="371">
        <v>0</v>
      </c>
      <c r="AB115" s="371">
        <v>0</v>
      </c>
      <c r="AC115" s="371">
        <v>0</v>
      </c>
      <c r="AD115" s="371">
        <v>0</v>
      </c>
      <c r="AE115" s="371">
        <v>0</v>
      </c>
      <c r="AF115" s="385">
        <f t="shared" si="49"/>
        <v>0</v>
      </c>
      <c r="AG115" s="371">
        <v>0</v>
      </c>
      <c r="AH115" s="371">
        <v>0</v>
      </c>
      <c r="AI115" s="387">
        <f t="shared" si="25"/>
        <v>0</v>
      </c>
    </row>
    <row r="116" spans="1:35" s="393" customFormat="1" ht="24" customHeight="1">
      <c r="A116" s="397" t="s">
        <v>1</v>
      </c>
      <c r="B116" s="428" t="s">
        <v>433</v>
      </c>
      <c r="C116" s="395" t="s">
        <v>155</v>
      </c>
      <c r="D116" s="396">
        <v>3</v>
      </c>
      <c r="E116" s="385">
        <f t="shared" si="46"/>
        <v>62900</v>
      </c>
      <c r="F116" s="368">
        <v>52900</v>
      </c>
      <c r="G116" s="368">
        <v>10000</v>
      </c>
      <c r="H116" s="385">
        <f t="shared" si="47"/>
        <v>29500</v>
      </c>
      <c r="I116" s="371">
        <v>0</v>
      </c>
      <c r="J116" s="371">
        <v>0</v>
      </c>
      <c r="K116" s="371">
        <v>0</v>
      </c>
      <c r="L116" s="371">
        <v>0</v>
      </c>
      <c r="M116" s="371">
        <v>0</v>
      </c>
      <c r="N116" s="371">
        <v>0</v>
      </c>
      <c r="O116" s="370">
        <v>29500</v>
      </c>
      <c r="P116" s="386">
        <f t="shared" si="48"/>
        <v>31200</v>
      </c>
      <c r="Q116" s="371">
        <v>0</v>
      </c>
      <c r="R116" s="371">
        <v>0</v>
      </c>
      <c r="S116" s="371">
        <v>0</v>
      </c>
      <c r="T116" s="371">
        <v>0</v>
      </c>
      <c r="U116" s="371">
        <v>0</v>
      </c>
      <c r="V116" s="371">
        <v>0</v>
      </c>
      <c r="W116" s="371">
        <v>0</v>
      </c>
      <c r="X116" s="371">
        <v>0</v>
      </c>
      <c r="Y116" s="371">
        <v>0</v>
      </c>
      <c r="Z116" s="371">
        <v>0</v>
      </c>
      <c r="AA116" s="371">
        <v>0</v>
      </c>
      <c r="AB116" s="371">
        <v>0</v>
      </c>
      <c r="AC116" s="371">
        <v>0</v>
      </c>
      <c r="AD116" s="371">
        <v>0</v>
      </c>
      <c r="AE116" s="371">
        <v>31200</v>
      </c>
      <c r="AF116" s="385">
        <f t="shared" si="49"/>
        <v>2200</v>
      </c>
      <c r="AG116" s="371">
        <v>1100</v>
      </c>
      <c r="AH116" s="371">
        <v>1100</v>
      </c>
      <c r="AI116" s="387">
        <f t="shared" si="25"/>
        <v>0</v>
      </c>
    </row>
    <row r="117" spans="1:35" s="393" customFormat="1" ht="24" customHeight="1">
      <c r="A117" s="397" t="s">
        <v>1</v>
      </c>
      <c r="B117" s="428" t="s">
        <v>433</v>
      </c>
      <c r="C117" s="395" t="s">
        <v>94</v>
      </c>
      <c r="D117" s="396">
        <v>3</v>
      </c>
      <c r="E117" s="385">
        <f t="shared" si="46"/>
        <v>30133</v>
      </c>
      <c r="F117" s="368">
        <v>29493</v>
      </c>
      <c r="G117" s="368">
        <v>640</v>
      </c>
      <c r="H117" s="385">
        <f t="shared" si="47"/>
        <v>21328</v>
      </c>
      <c r="I117" s="371">
        <v>0</v>
      </c>
      <c r="J117" s="371">
        <v>0</v>
      </c>
      <c r="K117" s="371">
        <v>0</v>
      </c>
      <c r="L117" s="371">
        <v>0</v>
      </c>
      <c r="M117" s="371">
        <v>0</v>
      </c>
      <c r="N117" s="371">
        <v>0</v>
      </c>
      <c r="O117" s="370">
        <v>21328</v>
      </c>
      <c r="P117" s="386">
        <f t="shared" si="48"/>
        <v>8805</v>
      </c>
      <c r="Q117" s="371">
        <v>0</v>
      </c>
      <c r="R117" s="371">
        <v>0</v>
      </c>
      <c r="S117" s="371">
        <v>0</v>
      </c>
      <c r="T117" s="371">
        <v>0</v>
      </c>
      <c r="U117" s="371">
        <v>0</v>
      </c>
      <c r="V117" s="371">
        <v>0</v>
      </c>
      <c r="W117" s="371">
        <v>0</v>
      </c>
      <c r="X117" s="371">
        <v>0</v>
      </c>
      <c r="Y117" s="371">
        <v>0</v>
      </c>
      <c r="Z117" s="371">
        <v>0</v>
      </c>
      <c r="AA117" s="371">
        <v>0</v>
      </c>
      <c r="AB117" s="371">
        <v>0</v>
      </c>
      <c r="AC117" s="371">
        <v>0</v>
      </c>
      <c r="AD117" s="371">
        <v>0</v>
      </c>
      <c r="AE117" s="371">
        <v>8805</v>
      </c>
      <c r="AF117" s="385">
        <f t="shared" si="49"/>
        <v>0</v>
      </c>
      <c r="AG117" s="371">
        <v>0</v>
      </c>
      <c r="AH117" s="371">
        <v>0</v>
      </c>
      <c r="AI117" s="387">
        <f t="shared" si="25"/>
        <v>0</v>
      </c>
    </row>
    <row r="118" spans="1:35" s="393" customFormat="1" ht="24" customHeight="1">
      <c r="A118" s="397" t="s">
        <v>1</v>
      </c>
      <c r="B118" s="428" t="s">
        <v>433</v>
      </c>
      <c r="C118" s="395" t="s">
        <v>549</v>
      </c>
      <c r="D118" s="396">
        <v>3</v>
      </c>
      <c r="E118" s="385">
        <f t="shared" si="46"/>
        <v>180252</v>
      </c>
      <c r="F118" s="368">
        <v>145642</v>
      </c>
      <c r="G118" s="368">
        <v>34610</v>
      </c>
      <c r="H118" s="385">
        <f t="shared" si="47"/>
        <v>78101</v>
      </c>
      <c r="I118" s="371">
        <v>0</v>
      </c>
      <c r="J118" s="371">
        <v>0</v>
      </c>
      <c r="K118" s="371">
        <v>0</v>
      </c>
      <c r="L118" s="371">
        <v>0</v>
      </c>
      <c r="M118" s="371">
        <v>0</v>
      </c>
      <c r="N118" s="371">
        <v>0</v>
      </c>
      <c r="O118" s="370">
        <v>78101</v>
      </c>
      <c r="P118" s="386">
        <f t="shared" si="48"/>
        <v>100881</v>
      </c>
      <c r="Q118" s="371">
        <v>0</v>
      </c>
      <c r="R118" s="371">
        <v>0</v>
      </c>
      <c r="S118" s="371">
        <v>0</v>
      </c>
      <c r="T118" s="371">
        <v>0</v>
      </c>
      <c r="U118" s="371">
        <v>0</v>
      </c>
      <c r="V118" s="371">
        <v>0</v>
      </c>
      <c r="W118" s="371">
        <v>0</v>
      </c>
      <c r="X118" s="371">
        <v>0</v>
      </c>
      <c r="Y118" s="371">
        <v>0</v>
      </c>
      <c r="Z118" s="371">
        <v>0</v>
      </c>
      <c r="AA118" s="371">
        <v>0</v>
      </c>
      <c r="AB118" s="371">
        <v>0</v>
      </c>
      <c r="AC118" s="371">
        <v>0</v>
      </c>
      <c r="AD118" s="371">
        <v>0</v>
      </c>
      <c r="AE118" s="371">
        <v>100881</v>
      </c>
      <c r="AF118" s="385">
        <f t="shared" si="49"/>
        <v>1270</v>
      </c>
      <c r="AG118" s="371">
        <v>635</v>
      </c>
      <c r="AH118" s="371">
        <v>635</v>
      </c>
      <c r="AI118" s="387">
        <f t="shared" si="25"/>
        <v>0</v>
      </c>
    </row>
    <row r="119" spans="1:35" s="393" customFormat="1" ht="24" customHeight="1">
      <c r="A119" s="397" t="s">
        <v>1</v>
      </c>
      <c r="B119" s="428" t="s">
        <v>433</v>
      </c>
      <c r="C119" s="395" t="s">
        <v>95</v>
      </c>
      <c r="D119" s="396">
        <v>3</v>
      </c>
      <c r="E119" s="385">
        <f t="shared" si="46"/>
        <v>28667</v>
      </c>
      <c r="F119" s="368">
        <v>28467</v>
      </c>
      <c r="G119" s="368">
        <v>200</v>
      </c>
      <c r="H119" s="385">
        <f t="shared" si="47"/>
        <v>11130</v>
      </c>
      <c r="I119" s="371">
        <v>1310</v>
      </c>
      <c r="J119" s="371">
        <v>660</v>
      </c>
      <c r="K119" s="371">
        <v>1290</v>
      </c>
      <c r="L119" s="371">
        <v>1260</v>
      </c>
      <c r="M119" s="371">
        <v>2550</v>
      </c>
      <c r="N119" s="371">
        <v>1730</v>
      </c>
      <c r="O119" s="370">
        <v>2330</v>
      </c>
      <c r="P119" s="386">
        <f t="shared" si="48"/>
        <v>16537</v>
      </c>
      <c r="Q119" s="371">
        <v>1120</v>
      </c>
      <c r="R119" s="371">
        <v>740</v>
      </c>
      <c r="S119" s="371">
        <v>1480</v>
      </c>
      <c r="T119" s="371">
        <v>1030</v>
      </c>
      <c r="U119" s="371">
        <v>1547</v>
      </c>
      <c r="V119" s="371">
        <v>730</v>
      </c>
      <c r="W119" s="371">
        <v>1025</v>
      </c>
      <c r="X119" s="371">
        <v>1250</v>
      </c>
      <c r="Y119" s="371">
        <v>1175</v>
      </c>
      <c r="Z119" s="371">
        <v>530</v>
      </c>
      <c r="AA119" s="371">
        <v>265</v>
      </c>
      <c r="AB119" s="371">
        <v>480</v>
      </c>
      <c r="AC119" s="371">
        <v>410</v>
      </c>
      <c r="AD119" s="371">
        <v>1120</v>
      </c>
      <c r="AE119" s="371">
        <v>3635</v>
      </c>
      <c r="AF119" s="385">
        <f t="shared" si="49"/>
        <v>1000</v>
      </c>
      <c r="AG119" s="371">
        <v>640</v>
      </c>
      <c r="AH119" s="371">
        <v>360</v>
      </c>
      <c r="AI119" s="387">
        <f t="shared" si="25"/>
        <v>0</v>
      </c>
    </row>
    <row r="120" spans="1:35" s="393" customFormat="1" ht="24" customHeight="1">
      <c r="A120" s="397" t="s">
        <v>1</v>
      </c>
      <c r="B120" s="428" t="s">
        <v>433</v>
      </c>
      <c r="C120" s="395" t="s">
        <v>435</v>
      </c>
      <c r="D120" s="396">
        <v>3</v>
      </c>
      <c r="E120" s="385">
        <f t="shared" si="46"/>
        <v>296741</v>
      </c>
      <c r="F120" s="368">
        <v>288741</v>
      </c>
      <c r="G120" s="368">
        <v>8000</v>
      </c>
      <c r="H120" s="385">
        <f t="shared" si="47"/>
        <v>164719</v>
      </c>
      <c r="I120" s="371">
        <v>34200</v>
      </c>
      <c r="J120" s="371">
        <v>38050</v>
      </c>
      <c r="K120" s="371">
        <v>14620</v>
      </c>
      <c r="L120" s="371">
        <v>26390</v>
      </c>
      <c r="M120" s="371">
        <v>22600</v>
      </c>
      <c r="N120" s="371">
        <v>16900</v>
      </c>
      <c r="O120" s="370">
        <v>11959</v>
      </c>
      <c r="P120" s="386">
        <f t="shared" si="48"/>
        <v>130127</v>
      </c>
      <c r="Q120" s="371">
        <v>9700</v>
      </c>
      <c r="R120" s="371">
        <v>6330</v>
      </c>
      <c r="S120" s="371">
        <v>8470</v>
      </c>
      <c r="T120" s="371">
        <v>16940</v>
      </c>
      <c r="U120" s="371">
        <v>9330</v>
      </c>
      <c r="V120" s="371">
        <v>8430</v>
      </c>
      <c r="W120" s="371">
        <v>5000</v>
      </c>
      <c r="X120" s="371">
        <v>8220</v>
      </c>
      <c r="Y120" s="371">
        <v>3680</v>
      </c>
      <c r="Z120" s="371">
        <v>3370</v>
      </c>
      <c r="AA120" s="371">
        <v>2090</v>
      </c>
      <c r="AB120" s="371">
        <v>6610</v>
      </c>
      <c r="AC120" s="371">
        <v>7700</v>
      </c>
      <c r="AD120" s="371">
        <v>5250</v>
      </c>
      <c r="AE120" s="371">
        <v>29007</v>
      </c>
      <c r="AF120" s="385">
        <f t="shared" si="49"/>
        <v>1895</v>
      </c>
      <c r="AG120" s="371">
        <v>1645</v>
      </c>
      <c r="AH120" s="371">
        <v>250</v>
      </c>
      <c r="AI120" s="387">
        <f t="shared" si="25"/>
        <v>0</v>
      </c>
    </row>
    <row r="121" spans="1:35" s="393" customFormat="1" ht="24" customHeight="1">
      <c r="A121" s="397" t="s">
        <v>1</v>
      </c>
      <c r="B121" s="428" t="s">
        <v>433</v>
      </c>
      <c r="C121" s="395" t="s">
        <v>436</v>
      </c>
      <c r="D121" s="396">
        <v>3</v>
      </c>
      <c r="E121" s="385">
        <f t="shared" si="46"/>
        <v>156183</v>
      </c>
      <c r="F121" s="368">
        <v>155758</v>
      </c>
      <c r="G121" s="368">
        <v>425</v>
      </c>
      <c r="H121" s="385">
        <f t="shared" si="47"/>
        <v>38311</v>
      </c>
      <c r="I121" s="371">
        <v>6500</v>
      </c>
      <c r="J121" s="371">
        <v>500</v>
      </c>
      <c r="K121" s="371">
        <v>5000</v>
      </c>
      <c r="L121" s="371">
        <v>5800</v>
      </c>
      <c r="M121" s="371">
        <v>6200</v>
      </c>
      <c r="N121" s="371">
        <v>6200</v>
      </c>
      <c r="O121" s="370">
        <v>8111</v>
      </c>
      <c r="P121" s="386">
        <f t="shared" si="48"/>
        <v>111472</v>
      </c>
      <c r="Q121" s="371">
        <v>5200</v>
      </c>
      <c r="R121" s="371">
        <v>6300</v>
      </c>
      <c r="S121" s="371">
        <v>6900</v>
      </c>
      <c r="T121" s="371">
        <v>4500</v>
      </c>
      <c r="U121" s="371">
        <v>4500</v>
      </c>
      <c r="V121" s="371">
        <v>7500</v>
      </c>
      <c r="W121" s="371">
        <v>4400</v>
      </c>
      <c r="X121" s="371">
        <v>8300</v>
      </c>
      <c r="Y121" s="371">
        <v>7000</v>
      </c>
      <c r="Z121" s="371">
        <v>5500</v>
      </c>
      <c r="AA121" s="371">
        <v>3500</v>
      </c>
      <c r="AB121" s="371">
        <v>4800</v>
      </c>
      <c r="AC121" s="371">
        <v>5000</v>
      </c>
      <c r="AD121" s="371">
        <v>5000</v>
      </c>
      <c r="AE121" s="371">
        <v>33072</v>
      </c>
      <c r="AF121" s="385">
        <f t="shared" si="49"/>
        <v>6400</v>
      </c>
      <c r="AG121" s="371">
        <v>3650</v>
      </c>
      <c r="AH121" s="371">
        <v>2750</v>
      </c>
      <c r="AI121" s="387">
        <f t="shared" si="25"/>
        <v>0</v>
      </c>
    </row>
    <row r="122" spans="1:35" s="393" customFormat="1" ht="24" customHeight="1">
      <c r="A122" s="397" t="s">
        <v>1</v>
      </c>
      <c r="B122" s="428" t="s">
        <v>433</v>
      </c>
      <c r="C122" s="395" t="s">
        <v>1116</v>
      </c>
      <c r="D122" s="396">
        <v>3</v>
      </c>
      <c r="E122" s="385">
        <f t="shared" si="46"/>
        <v>129914</v>
      </c>
      <c r="F122" s="368">
        <v>123814</v>
      </c>
      <c r="G122" s="368">
        <v>6100</v>
      </c>
      <c r="H122" s="385">
        <f t="shared" si="47"/>
        <v>45672</v>
      </c>
      <c r="I122" s="371">
        <v>3400</v>
      </c>
      <c r="J122" s="371">
        <v>2600</v>
      </c>
      <c r="K122" s="371">
        <v>2600</v>
      </c>
      <c r="L122" s="371">
        <v>3400</v>
      </c>
      <c r="M122" s="371">
        <v>4080</v>
      </c>
      <c r="N122" s="371">
        <v>4000</v>
      </c>
      <c r="O122" s="370">
        <v>25592</v>
      </c>
      <c r="P122" s="386">
        <f t="shared" si="48"/>
        <v>81542</v>
      </c>
      <c r="Q122" s="371">
        <v>2100</v>
      </c>
      <c r="R122" s="371">
        <v>2100</v>
      </c>
      <c r="S122" s="371">
        <v>2400</v>
      </c>
      <c r="T122" s="371">
        <v>2700</v>
      </c>
      <c r="U122" s="371">
        <v>2100</v>
      </c>
      <c r="V122" s="371">
        <v>2400</v>
      </c>
      <c r="W122" s="371">
        <v>2400</v>
      </c>
      <c r="X122" s="371">
        <v>3500</v>
      </c>
      <c r="Y122" s="371">
        <v>2100</v>
      </c>
      <c r="Z122" s="371">
        <v>2100</v>
      </c>
      <c r="AA122" s="371">
        <v>1600</v>
      </c>
      <c r="AB122" s="371">
        <v>2100</v>
      </c>
      <c r="AC122" s="371">
        <v>1550</v>
      </c>
      <c r="AD122" s="371">
        <v>1550</v>
      </c>
      <c r="AE122" s="371">
        <v>50842</v>
      </c>
      <c r="AF122" s="385">
        <f t="shared" si="49"/>
        <v>2700</v>
      </c>
      <c r="AG122" s="371">
        <v>1900</v>
      </c>
      <c r="AH122" s="371">
        <v>800</v>
      </c>
      <c r="AI122" s="387">
        <f t="shared" si="25"/>
        <v>0</v>
      </c>
    </row>
    <row r="123" spans="1:35" s="393" customFormat="1" ht="24" customHeight="1">
      <c r="A123" s="397" t="s">
        <v>1</v>
      </c>
      <c r="B123" s="428" t="s">
        <v>433</v>
      </c>
      <c r="C123" s="395" t="s">
        <v>551</v>
      </c>
      <c r="D123" s="396">
        <v>3</v>
      </c>
      <c r="E123" s="385">
        <f t="shared" si="46"/>
        <v>9580</v>
      </c>
      <c r="F123" s="368">
        <v>9580</v>
      </c>
      <c r="G123" s="368">
        <v>0</v>
      </c>
      <c r="H123" s="385">
        <f t="shared" si="47"/>
        <v>3000</v>
      </c>
      <c r="I123" s="371">
        <v>0</v>
      </c>
      <c r="J123" s="371">
        <v>0</v>
      </c>
      <c r="K123" s="371">
        <v>0</v>
      </c>
      <c r="L123" s="371">
        <v>0</v>
      </c>
      <c r="M123" s="371">
        <v>0</v>
      </c>
      <c r="N123" s="371">
        <v>0</v>
      </c>
      <c r="O123" s="370">
        <v>3000</v>
      </c>
      <c r="P123" s="386">
        <f t="shared" si="48"/>
        <v>6280</v>
      </c>
      <c r="Q123" s="371">
        <v>0</v>
      </c>
      <c r="R123" s="371">
        <v>0</v>
      </c>
      <c r="S123" s="371">
        <v>0</v>
      </c>
      <c r="T123" s="371">
        <v>0</v>
      </c>
      <c r="U123" s="371">
        <v>0</v>
      </c>
      <c r="V123" s="371">
        <v>0</v>
      </c>
      <c r="W123" s="371">
        <v>0</v>
      </c>
      <c r="X123" s="371">
        <v>0</v>
      </c>
      <c r="Y123" s="371">
        <v>0</v>
      </c>
      <c r="Z123" s="371">
        <v>0</v>
      </c>
      <c r="AA123" s="371">
        <v>0</v>
      </c>
      <c r="AB123" s="371">
        <v>0</v>
      </c>
      <c r="AC123" s="371">
        <v>0</v>
      </c>
      <c r="AD123" s="371">
        <v>0</v>
      </c>
      <c r="AE123" s="371">
        <v>6280</v>
      </c>
      <c r="AF123" s="385">
        <f t="shared" si="49"/>
        <v>300</v>
      </c>
      <c r="AG123" s="371">
        <v>150</v>
      </c>
      <c r="AH123" s="371">
        <v>150</v>
      </c>
      <c r="AI123" s="387">
        <f t="shared" si="25"/>
        <v>0</v>
      </c>
    </row>
    <row r="124" spans="1:35" s="393" customFormat="1" ht="24" customHeight="1">
      <c r="A124" s="397" t="s">
        <v>1</v>
      </c>
      <c r="B124" s="428" t="s">
        <v>433</v>
      </c>
      <c r="C124" s="395" t="s">
        <v>437</v>
      </c>
      <c r="D124" s="396">
        <v>3</v>
      </c>
      <c r="E124" s="385">
        <f t="shared" si="46"/>
        <v>7000</v>
      </c>
      <c r="F124" s="368">
        <v>5190</v>
      </c>
      <c r="G124" s="368">
        <v>1810</v>
      </c>
      <c r="H124" s="385">
        <f t="shared" si="47"/>
        <v>1600</v>
      </c>
      <c r="I124" s="371">
        <v>0</v>
      </c>
      <c r="J124" s="371">
        <v>0</v>
      </c>
      <c r="K124" s="371">
        <v>0</v>
      </c>
      <c r="L124" s="371">
        <v>0</v>
      </c>
      <c r="M124" s="371">
        <v>1600</v>
      </c>
      <c r="N124" s="371">
        <v>0</v>
      </c>
      <c r="O124" s="370">
        <v>0</v>
      </c>
      <c r="P124" s="386">
        <f t="shared" si="48"/>
        <v>5400</v>
      </c>
      <c r="Q124" s="371">
        <v>1600</v>
      </c>
      <c r="R124" s="371">
        <v>0</v>
      </c>
      <c r="S124" s="371">
        <v>0</v>
      </c>
      <c r="T124" s="371">
        <v>0</v>
      </c>
      <c r="U124" s="371">
        <v>0</v>
      </c>
      <c r="V124" s="371">
        <v>0</v>
      </c>
      <c r="W124" s="371">
        <v>1450</v>
      </c>
      <c r="X124" s="371">
        <v>1600</v>
      </c>
      <c r="Y124" s="371">
        <v>750</v>
      </c>
      <c r="Z124" s="371">
        <v>0</v>
      </c>
      <c r="AA124" s="371">
        <v>0</v>
      </c>
      <c r="AB124" s="371">
        <v>0</v>
      </c>
      <c r="AC124" s="371">
        <v>0</v>
      </c>
      <c r="AD124" s="371">
        <v>0</v>
      </c>
      <c r="AE124" s="371">
        <v>0</v>
      </c>
      <c r="AF124" s="385">
        <f t="shared" si="49"/>
        <v>0</v>
      </c>
      <c r="AG124" s="371">
        <v>0</v>
      </c>
      <c r="AH124" s="371">
        <v>0</v>
      </c>
      <c r="AI124" s="387">
        <f t="shared" si="25"/>
        <v>0</v>
      </c>
    </row>
    <row r="125" spans="1:35" s="393" customFormat="1" ht="24" customHeight="1">
      <c r="A125" s="397" t="s">
        <v>1</v>
      </c>
      <c r="B125" s="428" t="s">
        <v>433</v>
      </c>
      <c r="C125" s="395" t="s">
        <v>1117</v>
      </c>
      <c r="D125" s="396">
        <v>3</v>
      </c>
      <c r="E125" s="385">
        <f t="shared" si="46"/>
        <v>80000</v>
      </c>
      <c r="F125" s="368">
        <v>50000</v>
      </c>
      <c r="G125" s="368">
        <v>30000</v>
      </c>
      <c r="H125" s="385">
        <f t="shared" si="47"/>
        <v>23932</v>
      </c>
      <c r="I125" s="371">
        <v>0</v>
      </c>
      <c r="J125" s="371">
        <v>0</v>
      </c>
      <c r="K125" s="371">
        <v>0</v>
      </c>
      <c r="L125" s="371">
        <v>0</v>
      </c>
      <c r="M125" s="371">
        <v>0</v>
      </c>
      <c r="N125" s="371">
        <v>0</v>
      </c>
      <c r="O125" s="370">
        <v>23932</v>
      </c>
      <c r="P125" s="386">
        <f t="shared" si="48"/>
        <v>46614</v>
      </c>
      <c r="Q125" s="371">
        <v>0</v>
      </c>
      <c r="R125" s="371">
        <v>0</v>
      </c>
      <c r="S125" s="371">
        <v>0</v>
      </c>
      <c r="T125" s="371">
        <v>0</v>
      </c>
      <c r="U125" s="371">
        <v>0</v>
      </c>
      <c r="V125" s="371">
        <v>0</v>
      </c>
      <c r="W125" s="371">
        <v>0</v>
      </c>
      <c r="X125" s="371">
        <v>0</v>
      </c>
      <c r="Y125" s="371">
        <v>0</v>
      </c>
      <c r="Z125" s="371">
        <v>0</v>
      </c>
      <c r="AA125" s="371">
        <v>0</v>
      </c>
      <c r="AB125" s="371">
        <v>0</v>
      </c>
      <c r="AC125" s="371">
        <v>0</v>
      </c>
      <c r="AD125" s="371">
        <v>0</v>
      </c>
      <c r="AE125" s="371">
        <v>46614</v>
      </c>
      <c r="AF125" s="385">
        <f t="shared" si="49"/>
        <v>9454</v>
      </c>
      <c r="AG125" s="371">
        <v>5000</v>
      </c>
      <c r="AH125" s="371">
        <v>4454</v>
      </c>
      <c r="AI125" s="387">
        <f t="shared" si="25"/>
        <v>0</v>
      </c>
    </row>
    <row r="126" spans="1:35" s="393" customFormat="1" ht="24" customHeight="1">
      <c r="A126" s="397" t="s">
        <v>1</v>
      </c>
      <c r="B126" s="428" t="s">
        <v>433</v>
      </c>
      <c r="C126" s="395" t="s">
        <v>1118</v>
      </c>
      <c r="D126" s="396">
        <v>3</v>
      </c>
      <c r="E126" s="385">
        <f t="shared" si="46"/>
        <v>2000</v>
      </c>
      <c r="F126" s="368">
        <v>2000</v>
      </c>
      <c r="G126" s="368">
        <v>0</v>
      </c>
      <c r="H126" s="385">
        <f t="shared" si="47"/>
        <v>1000</v>
      </c>
      <c r="I126" s="371">
        <v>0</v>
      </c>
      <c r="J126" s="371">
        <v>0</v>
      </c>
      <c r="K126" s="371">
        <v>0</v>
      </c>
      <c r="L126" s="371">
        <v>0</v>
      </c>
      <c r="M126" s="371">
        <v>0</v>
      </c>
      <c r="N126" s="371">
        <v>0</v>
      </c>
      <c r="O126" s="370">
        <v>1000</v>
      </c>
      <c r="P126" s="386">
        <f t="shared" si="48"/>
        <v>1000</v>
      </c>
      <c r="Q126" s="371">
        <v>0</v>
      </c>
      <c r="R126" s="371">
        <v>0</v>
      </c>
      <c r="S126" s="371">
        <v>0</v>
      </c>
      <c r="T126" s="371">
        <v>0</v>
      </c>
      <c r="U126" s="371">
        <v>0</v>
      </c>
      <c r="V126" s="371">
        <v>0</v>
      </c>
      <c r="W126" s="371">
        <v>0</v>
      </c>
      <c r="X126" s="371">
        <v>0</v>
      </c>
      <c r="Y126" s="371">
        <v>0</v>
      </c>
      <c r="Z126" s="371">
        <v>0</v>
      </c>
      <c r="AA126" s="371">
        <v>0</v>
      </c>
      <c r="AB126" s="371">
        <v>0</v>
      </c>
      <c r="AC126" s="371">
        <v>0</v>
      </c>
      <c r="AD126" s="371">
        <v>0</v>
      </c>
      <c r="AE126" s="371">
        <v>1000</v>
      </c>
      <c r="AF126" s="385">
        <f t="shared" si="49"/>
        <v>0</v>
      </c>
      <c r="AG126" s="371">
        <v>0</v>
      </c>
      <c r="AH126" s="371">
        <v>0</v>
      </c>
      <c r="AI126" s="387">
        <f t="shared" si="25"/>
        <v>0</v>
      </c>
    </row>
    <row r="127" spans="1:35" s="393" customFormat="1" ht="33.950000000000003" customHeight="1">
      <c r="A127" s="397" t="s">
        <v>1</v>
      </c>
      <c r="B127" s="428" t="s">
        <v>433</v>
      </c>
      <c r="C127" s="395" t="s">
        <v>552</v>
      </c>
      <c r="D127" s="396">
        <v>3</v>
      </c>
      <c r="E127" s="385">
        <f t="shared" si="46"/>
        <v>25700</v>
      </c>
      <c r="F127" s="368">
        <v>24500</v>
      </c>
      <c r="G127" s="368">
        <v>1200</v>
      </c>
      <c r="H127" s="385">
        <f t="shared" si="47"/>
        <v>8200</v>
      </c>
      <c r="I127" s="371">
        <v>0</v>
      </c>
      <c r="J127" s="371">
        <v>0</v>
      </c>
      <c r="K127" s="371">
        <v>0</v>
      </c>
      <c r="L127" s="371">
        <v>0</v>
      </c>
      <c r="M127" s="371">
        <v>0</v>
      </c>
      <c r="N127" s="371">
        <v>0</v>
      </c>
      <c r="O127" s="370">
        <v>8200</v>
      </c>
      <c r="P127" s="386">
        <f t="shared" si="48"/>
        <v>17500</v>
      </c>
      <c r="Q127" s="371">
        <v>0</v>
      </c>
      <c r="R127" s="371">
        <v>0</v>
      </c>
      <c r="S127" s="371">
        <v>0</v>
      </c>
      <c r="T127" s="371">
        <v>0</v>
      </c>
      <c r="U127" s="371">
        <v>0</v>
      </c>
      <c r="V127" s="371">
        <v>0</v>
      </c>
      <c r="W127" s="371">
        <v>0</v>
      </c>
      <c r="X127" s="371">
        <v>0</v>
      </c>
      <c r="Y127" s="371">
        <v>0</v>
      </c>
      <c r="Z127" s="371">
        <v>0</v>
      </c>
      <c r="AA127" s="371">
        <v>0</v>
      </c>
      <c r="AB127" s="371">
        <v>0</v>
      </c>
      <c r="AC127" s="371">
        <v>0</v>
      </c>
      <c r="AD127" s="371">
        <v>0</v>
      </c>
      <c r="AE127" s="371">
        <v>17500</v>
      </c>
      <c r="AF127" s="385">
        <f t="shared" si="49"/>
        <v>0</v>
      </c>
      <c r="AG127" s="371">
        <v>0</v>
      </c>
      <c r="AH127" s="371">
        <v>0</v>
      </c>
      <c r="AI127" s="387">
        <f t="shared" si="25"/>
        <v>0</v>
      </c>
    </row>
    <row r="128" spans="1:35" s="393" customFormat="1" ht="24" customHeight="1">
      <c r="A128" s="397" t="s">
        <v>1</v>
      </c>
      <c r="B128" s="428" t="s">
        <v>433</v>
      </c>
      <c r="C128" s="395" t="s">
        <v>438</v>
      </c>
      <c r="D128" s="396">
        <v>3</v>
      </c>
      <c r="E128" s="385">
        <f t="shared" si="46"/>
        <v>2074</v>
      </c>
      <c r="F128" s="368">
        <v>2074</v>
      </c>
      <c r="G128" s="368">
        <v>0</v>
      </c>
      <c r="H128" s="385">
        <f t="shared" si="47"/>
        <v>574</v>
      </c>
      <c r="I128" s="371">
        <v>0</v>
      </c>
      <c r="J128" s="371">
        <v>0</v>
      </c>
      <c r="K128" s="371">
        <v>0</v>
      </c>
      <c r="L128" s="371">
        <v>0</v>
      </c>
      <c r="M128" s="371">
        <v>0</v>
      </c>
      <c r="N128" s="371">
        <v>0</v>
      </c>
      <c r="O128" s="370">
        <v>574</v>
      </c>
      <c r="P128" s="386">
        <f t="shared" si="48"/>
        <v>1500</v>
      </c>
      <c r="Q128" s="371">
        <v>0</v>
      </c>
      <c r="R128" s="371">
        <v>0</v>
      </c>
      <c r="S128" s="371">
        <v>0</v>
      </c>
      <c r="T128" s="371">
        <v>0</v>
      </c>
      <c r="U128" s="371">
        <v>0</v>
      </c>
      <c r="V128" s="371">
        <v>0</v>
      </c>
      <c r="W128" s="371">
        <v>0</v>
      </c>
      <c r="X128" s="371">
        <v>0</v>
      </c>
      <c r="Y128" s="371">
        <v>0</v>
      </c>
      <c r="Z128" s="371">
        <v>0</v>
      </c>
      <c r="AA128" s="371">
        <v>0</v>
      </c>
      <c r="AB128" s="371">
        <v>0</v>
      </c>
      <c r="AC128" s="371">
        <v>0</v>
      </c>
      <c r="AD128" s="371">
        <v>0</v>
      </c>
      <c r="AE128" s="371">
        <v>1500</v>
      </c>
      <c r="AF128" s="385">
        <f t="shared" si="49"/>
        <v>0</v>
      </c>
      <c r="AG128" s="371">
        <v>0</v>
      </c>
      <c r="AH128" s="371">
        <v>0</v>
      </c>
      <c r="AI128" s="387">
        <f t="shared" si="25"/>
        <v>0</v>
      </c>
    </row>
    <row r="129" spans="1:35" s="393" customFormat="1" ht="24" customHeight="1">
      <c r="A129" s="397" t="s">
        <v>1</v>
      </c>
      <c r="B129" s="428" t="s">
        <v>433</v>
      </c>
      <c r="C129" s="395" t="s">
        <v>439</v>
      </c>
      <c r="D129" s="396">
        <v>3</v>
      </c>
      <c r="E129" s="385">
        <f t="shared" si="46"/>
        <v>2500</v>
      </c>
      <c r="F129" s="368">
        <v>2500</v>
      </c>
      <c r="G129" s="368">
        <v>0</v>
      </c>
      <c r="H129" s="385">
        <f t="shared" si="47"/>
        <v>2500</v>
      </c>
      <c r="I129" s="371">
        <v>0</v>
      </c>
      <c r="J129" s="371">
        <v>2500</v>
      </c>
      <c r="K129" s="371">
        <v>0</v>
      </c>
      <c r="L129" s="371">
        <v>0</v>
      </c>
      <c r="M129" s="371">
        <v>0</v>
      </c>
      <c r="N129" s="371">
        <v>0</v>
      </c>
      <c r="O129" s="370">
        <v>0</v>
      </c>
      <c r="P129" s="386">
        <f t="shared" si="48"/>
        <v>0</v>
      </c>
      <c r="Q129" s="371">
        <v>0</v>
      </c>
      <c r="R129" s="371">
        <v>0</v>
      </c>
      <c r="S129" s="371">
        <v>0</v>
      </c>
      <c r="T129" s="371">
        <v>0</v>
      </c>
      <c r="U129" s="371">
        <v>0</v>
      </c>
      <c r="V129" s="371">
        <v>0</v>
      </c>
      <c r="W129" s="371">
        <v>0</v>
      </c>
      <c r="X129" s="371">
        <v>0</v>
      </c>
      <c r="Y129" s="371">
        <v>0</v>
      </c>
      <c r="Z129" s="371">
        <v>0</v>
      </c>
      <c r="AA129" s="371">
        <v>0</v>
      </c>
      <c r="AB129" s="371">
        <v>0</v>
      </c>
      <c r="AC129" s="371">
        <v>0</v>
      </c>
      <c r="AD129" s="371">
        <v>0</v>
      </c>
      <c r="AE129" s="371">
        <v>0</v>
      </c>
      <c r="AF129" s="385">
        <f t="shared" si="49"/>
        <v>0</v>
      </c>
      <c r="AG129" s="371">
        <v>0</v>
      </c>
      <c r="AH129" s="371">
        <v>0</v>
      </c>
      <c r="AI129" s="387">
        <f t="shared" si="25"/>
        <v>0</v>
      </c>
    </row>
    <row r="130" spans="1:35" s="393" customFormat="1" ht="36.6" customHeight="1">
      <c r="A130" s="397" t="s">
        <v>1</v>
      </c>
      <c r="B130" s="428" t="s">
        <v>433</v>
      </c>
      <c r="C130" s="395" t="s">
        <v>440</v>
      </c>
      <c r="D130" s="396">
        <v>3</v>
      </c>
      <c r="E130" s="385">
        <f t="shared" si="46"/>
        <v>27416</v>
      </c>
      <c r="F130" s="368">
        <v>24276</v>
      </c>
      <c r="G130" s="368">
        <v>3140</v>
      </c>
      <c r="H130" s="385">
        <f t="shared" si="47"/>
        <v>8485</v>
      </c>
      <c r="I130" s="371">
        <v>0</v>
      </c>
      <c r="J130" s="371">
        <v>0</v>
      </c>
      <c r="K130" s="371">
        <v>0</v>
      </c>
      <c r="L130" s="371">
        <v>0</v>
      </c>
      <c r="M130" s="371">
        <v>0</v>
      </c>
      <c r="N130" s="371">
        <v>0</v>
      </c>
      <c r="O130" s="370">
        <v>8485</v>
      </c>
      <c r="P130" s="386">
        <f t="shared" si="48"/>
        <v>16331</v>
      </c>
      <c r="Q130" s="371">
        <v>0</v>
      </c>
      <c r="R130" s="371">
        <v>0</v>
      </c>
      <c r="S130" s="371">
        <v>0</v>
      </c>
      <c r="T130" s="371">
        <v>0</v>
      </c>
      <c r="U130" s="371">
        <v>0</v>
      </c>
      <c r="V130" s="371">
        <v>0</v>
      </c>
      <c r="W130" s="371">
        <v>0</v>
      </c>
      <c r="X130" s="371">
        <v>0</v>
      </c>
      <c r="Y130" s="371">
        <v>0</v>
      </c>
      <c r="Z130" s="371">
        <v>0</v>
      </c>
      <c r="AA130" s="371">
        <v>0</v>
      </c>
      <c r="AB130" s="371">
        <v>0</v>
      </c>
      <c r="AC130" s="371">
        <v>0</v>
      </c>
      <c r="AD130" s="371">
        <v>0</v>
      </c>
      <c r="AE130" s="371">
        <v>16331</v>
      </c>
      <c r="AF130" s="385">
        <f t="shared" si="49"/>
        <v>2600</v>
      </c>
      <c r="AG130" s="371">
        <v>1300</v>
      </c>
      <c r="AH130" s="371">
        <v>1300</v>
      </c>
      <c r="AI130" s="387">
        <f t="shared" si="25"/>
        <v>0</v>
      </c>
    </row>
    <row r="131" spans="1:35" s="393" customFormat="1" ht="24" customHeight="1">
      <c r="A131" s="397" t="s">
        <v>1</v>
      </c>
      <c r="B131" s="428" t="s">
        <v>433</v>
      </c>
      <c r="C131" s="395" t="s">
        <v>466</v>
      </c>
      <c r="D131" s="396">
        <v>3</v>
      </c>
      <c r="E131" s="385">
        <f t="shared" si="46"/>
        <v>43580</v>
      </c>
      <c r="F131" s="368">
        <v>31080</v>
      </c>
      <c r="G131" s="368">
        <v>12500</v>
      </c>
      <c r="H131" s="385">
        <f t="shared" si="47"/>
        <v>13650</v>
      </c>
      <c r="I131" s="371">
        <v>0</v>
      </c>
      <c r="J131" s="371">
        <v>0</v>
      </c>
      <c r="K131" s="371">
        <v>0</v>
      </c>
      <c r="L131" s="371">
        <v>0</v>
      </c>
      <c r="M131" s="371">
        <v>0</v>
      </c>
      <c r="N131" s="371">
        <v>0</v>
      </c>
      <c r="O131" s="370">
        <v>13650</v>
      </c>
      <c r="P131" s="386">
        <f t="shared" si="48"/>
        <v>26030</v>
      </c>
      <c r="Q131" s="371">
        <v>0</v>
      </c>
      <c r="R131" s="371">
        <v>0</v>
      </c>
      <c r="S131" s="371">
        <v>0</v>
      </c>
      <c r="T131" s="371">
        <v>0</v>
      </c>
      <c r="U131" s="371">
        <v>0</v>
      </c>
      <c r="V131" s="371">
        <v>0</v>
      </c>
      <c r="W131" s="371">
        <v>0</v>
      </c>
      <c r="X131" s="371">
        <v>0</v>
      </c>
      <c r="Y131" s="371">
        <v>0</v>
      </c>
      <c r="Z131" s="371">
        <v>0</v>
      </c>
      <c r="AA131" s="371">
        <v>0</v>
      </c>
      <c r="AB131" s="371">
        <v>0</v>
      </c>
      <c r="AC131" s="371">
        <v>0</v>
      </c>
      <c r="AD131" s="371">
        <v>0</v>
      </c>
      <c r="AE131" s="371">
        <v>26030</v>
      </c>
      <c r="AF131" s="385">
        <f t="shared" si="49"/>
        <v>3900</v>
      </c>
      <c r="AG131" s="371">
        <v>2200</v>
      </c>
      <c r="AH131" s="371">
        <v>1700</v>
      </c>
      <c r="AI131" s="387">
        <f t="shared" si="25"/>
        <v>0</v>
      </c>
    </row>
    <row r="132" spans="1:35" s="393" customFormat="1" ht="33" customHeight="1">
      <c r="A132" s="397" t="s">
        <v>1</v>
      </c>
      <c r="B132" s="428" t="s">
        <v>433</v>
      </c>
      <c r="C132" s="395" t="s">
        <v>441</v>
      </c>
      <c r="D132" s="396">
        <v>3</v>
      </c>
      <c r="E132" s="385">
        <f t="shared" si="46"/>
        <v>216715</v>
      </c>
      <c r="F132" s="368">
        <v>149231</v>
      </c>
      <c r="G132" s="368">
        <v>67484</v>
      </c>
      <c r="H132" s="385">
        <f t="shared" si="47"/>
        <v>63872</v>
      </c>
      <c r="I132" s="371">
        <v>0</v>
      </c>
      <c r="J132" s="371">
        <v>0</v>
      </c>
      <c r="K132" s="371">
        <v>0</v>
      </c>
      <c r="L132" s="371">
        <v>0</v>
      </c>
      <c r="M132" s="371">
        <v>0</v>
      </c>
      <c r="N132" s="371">
        <v>0</v>
      </c>
      <c r="O132" s="370">
        <v>63872</v>
      </c>
      <c r="P132" s="386">
        <f t="shared" si="48"/>
        <v>140042</v>
      </c>
      <c r="Q132" s="371">
        <v>0</v>
      </c>
      <c r="R132" s="371">
        <v>0</v>
      </c>
      <c r="S132" s="371">
        <v>0</v>
      </c>
      <c r="T132" s="371">
        <v>0</v>
      </c>
      <c r="U132" s="371">
        <v>0</v>
      </c>
      <c r="V132" s="371">
        <v>0</v>
      </c>
      <c r="W132" s="371">
        <v>0</v>
      </c>
      <c r="X132" s="371">
        <v>0</v>
      </c>
      <c r="Y132" s="371">
        <v>0</v>
      </c>
      <c r="Z132" s="371">
        <v>0</v>
      </c>
      <c r="AA132" s="371">
        <v>0</v>
      </c>
      <c r="AB132" s="371">
        <v>0</v>
      </c>
      <c r="AC132" s="371">
        <v>0</v>
      </c>
      <c r="AD132" s="371">
        <v>0</v>
      </c>
      <c r="AE132" s="371">
        <v>140042</v>
      </c>
      <c r="AF132" s="385">
        <f t="shared" si="49"/>
        <v>12801</v>
      </c>
      <c r="AG132" s="371">
        <v>6596</v>
      </c>
      <c r="AH132" s="371">
        <v>6205</v>
      </c>
      <c r="AI132" s="387">
        <f t="shared" si="25"/>
        <v>0</v>
      </c>
    </row>
    <row r="133" spans="1:35" s="393" customFormat="1" ht="24" customHeight="1">
      <c r="A133" s="397" t="s">
        <v>1</v>
      </c>
      <c r="B133" s="428" t="s">
        <v>433</v>
      </c>
      <c r="C133" s="395" t="s">
        <v>442</v>
      </c>
      <c r="D133" s="396">
        <v>3</v>
      </c>
      <c r="E133" s="385">
        <f t="shared" si="46"/>
        <v>75180</v>
      </c>
      <c r="F133" s="368">
        <v>42743</v>
      </c>
      <c r="G133" s="368">
        <v>32437</v>
      </c>
      <c r="H133" s="385">
        <f t="shared" si="47"/>
        <v>30346</v>
      </c>
      <c r="I133" s="371">
        <v>0</v>
      </c>
      <c r="J133" s="371">
        <v>0</v>
      </c>
      <c r="K133" s="371">
        <v>0</v>
      </c>
      <c r="L133" s="371">
        <v>0</v>
      </c>
      <c r="M133" s="371">
        <v>0</v>
      </c>
      <c r="N133" s="371">
        <v>0</v>
      </c>
      <c r="O133" s="370">
        <v>30346</v>
      </c>
      <c r="P133" s="386">
        <f t="shared" si="48"/>
        <v>40874</v>
      </c>
      <c r="Q133" s="371">
        <v>0</v>
      </c>
      <c r="R133" s="371">
        <v>0</v>
      </c>
      <c r="S133" s="371">
        <v>0</v>
      </c>
      <c r="T133" s="371">
        <v>0</v>
      </c>
      <c r="U133" s="371">
        <v>0</v>
      </c>
      <c r="V133" s="371">
        <v>0</v>
      </c>
      <c r="W133" s="371">
        <v>0</v>
      </c>
      <c r="X133" s="371">
        <v>0</v>
      </c>
      <c r="Y133" s="371">
        <v>0</v>
      </c>
      <c r="Z133" s="371">
        <v>0</v>
      </c>
      <c r="AA133" s="371">
        <v>0</v>
      </c>
      <c r="AB133" s="371">
        <v>0</v>
      </c>
      <c r="AC133" s="371">
        <v>0</v>
      </c>
      <c r="AD133" s="371">
        <v>0</v>
      </c>
      <c r="AE133" s="371">
        <v>40874</v>
      </c>
      <c r="AF133" s="385">
        <f t="shared" si="49"/>
        <v>3960</v>
      </c>
      <c r="AG133" s="371">
        <v>2010</v>
      </c>
      <c r="AH133" s="371">
        <v>1950</v>
      </c>
      <c r="AI133" s="387">
        <f t="shared" si="25"/>
        <v>0</v>
      </c>
    </row>
    <row r="134" spans="1:35" s="393" customFormat="1" ht="24" customHeight="1">
      <c r="A134" s="397" t="s">
        <v>1</v>
      </c>
      <c r="B134" s="428" t="s">
        <v>433</v>
      </c>
      <c r="C134" s="395" t="s">
        <v>637</v>
      </c>
      <c r="D134" s="396">
        <v>3</v>
      </c>
      <c r="E134" s="385">
        <f t="shared" si="46"/>
        <v>81150</v>
      </c>
      <c r="F134" s="368">
        <v>73900</v>
      </c>
      <c r="G134" s="368">
        <v>7250</v>
      </c>
      <c r="H134" s="385">
        <f t="shared" si="47"/>
        <v>20275</v>
      </c>
      <c r="I134" s="371">
        <v>0</v>
      </c>
      <c r="J134" s="371">
        <v>0</v>
      </c>
      <c r="K134" s="371">
        <v>0</v>
      </c>
      <c r="L134" s="371">
        <v>0</v>
      </c>
      <c r="M134" s="371">
        <v>0</v>
      </c>
      <c r="N134" s="371">
        <v>0</v>
      </c>
      <c r="O134" s="370">
        <v>20275</v>
      </c>
      <c r="P134" s="386">
        <f t="shared" si="48"/>
        <v>59525</v>
      </c>
      <c r="Q134" s="371">
        <v>0</v>
      </c>
      <c r="R134" s="371">
        <v>0</v>
      </c>
      <c r="S134" s="371">
        <v>0</v>
      </c>
      <c r="T134" s="371">
        <v>0</v>
      </c>
      <c r="U134" s="371">
        <v>0</v>
      </c>
      <c r="V134" s="371">
        <v>0</v>
      </c>
      <c r="W134" s="371">
        <v>0</v>
      </c>
      <c r="X134" s="371">
        <v>0</v>
      </c>
      <c r="Y134" s="371">
        <v>0</v>
      </c>
      <c r="Z134" s="371">
        <v>0</v>
      </c>
      <c r="AA134" s="371">
        <v>0</v>
      </c>
      <c r="AB134" s="371">
        <v>0</v>
      </c>
      <c r="AC134" s="371">
        <v>0</v>
      </c>
      <c r="AD134" s="371">
        <v>0</v>
      </c>
      <c r="AE134" s="371">
        <v>59525</v>
      </c>
      <c r="AF134" s="385">
        <f t="shared" si="49"/>
        <v>1350</v>
      </c>
      <c r="AG134" s="371">
        <v>1150</v>
      </c>
      <c r="AH134" s="371">
        <v>200</v>
      </c>
      <c r="AI134" s="387">
        <f t="shared" ref="AI134:AI197" si="50">IF(+F134+G134=E134,0,FALSE)</f>
        <v>0</v>
      </c>
    </row>
    <row r="135" spans="1:35" s="393" customFormat="1" ht="24" customHeight="1">
      <c r="A135" s="397" t="s">
        <v>1</v>
      </c>
      <c r="B135" s="428" t="s">
        <v>433</v>
      </c>
      <c r="C135" s="395" t="s">
        <v>444</v>
      </c>
      <c r="D135" s="396">
        <v>3</v>
      </c>
      <c r="E135" s="385">
        <f t="shared" si="46"/>
        <v>66192</v>
      </c>
      <c r="F135" s="368">
        <v>59792</v>
      </c>
      <c r="G135" s="368">
        <v>6400</v>
      </c>
      <c r="H135" s="385">
        <f t="shared" si="47"/>
        <v>16940</v>
      </c>
      <c r="I135" s="371">
        <v>0</v>
      </c>
      <c r="J135" s="371">
        <v>0</v>
      </c>
      <c r="K135" s="371">
        <v>0</v>
      </c>
      <c r="L135" s="371">
        <v>0</v>
      </c>
      <c r="M135" s="371">
        <v>0</v>
      </c>
      <c r="N135" s="371">
        <v>0</v>
      </c>
      <c r="O135" s="370">
        <v>16940</v>
      </c>
      <c r="P135" s="386">
        <f t="shared" si="48"/>
        <v>43942</v>
      </c>
      <c r="Q135" s="371">
        <v>0</v>
      </c>
      <c r="R135" s="371">
        <v>0</v>
      </c>
      <c r="S135" s="371">
        <v>0</v>
      </c>
      <c r="T135" s="371">
        <v>0</v>
      </c>
      <c r="U135" s="371">
        <v>0</v>
      </c>
      <c r="V135" s="371">
        <v>0</v>
      </c>
      <c r="W135" s="371">
        <v>0</v>
      </c>
      <c r="X135" s="371">
        <v>0</v>
      </c>
      <c r="Y135" s="371">
        <v>0</v>
      </c>
      <c r="Z135" s="371">
        <v>0</v>
      </c>
      <c r="AA135" s="371">
        <v>0</v>
      </c>
      <c r="AB135" s="371">
        <v>0</v>
      </c>
      <c r="AC135" s="371">
        <v>0</v>
      </c>
      <c r="AD135" s="371">
        <v>0</v>
      </c>
      <c r="AE135" s="371">
        <v>43942</v>
      </c>
      <c r="AF135" s="385">
        <f t="shared" si="49"/>
        <v>5310</v>
      </c>
      <c r="AG135" s="371">
        <v>2655</v>
      </c>
      <c r="AH135" s="371">
        <v>2655</v>
      </c>
      <c r="AI135" s="387">
        <f t="shared" si="50"/>
        <v>0</v>
      </c>
    </row>
    <row r="136" spans="1:35" s="393" customFormat="1" ht="34.5" customHeight="1">
      <c r="A136" s="397" t="s">
        <v>1</v>
      </c>
      <c r="B136" s="428" t="s">
        <v>433</v>
      </c>
      <c r="C136" s="395" t="s">
        <v>445</v>
      </c>
      <c r="D136" s="396">
        <v>3</v>
      </c>
      <c r="E136" s="385">
        <f t="shared" si="46"/>
        <v>85624</v>
      </c>
      <c r="F136" s="368">
        <v>53874</v>
      </c>
      <c r="G136" s="368">
        <v>31750</v>
      </c>
      <c r="H136" s="385">
        <f t="shared" si="47"/>
        <v>15765</v>
      </c>
      <c r="I136" s="371">
        <v>0</v>
      </c>
      <c r="J136" s="371">
        <v>0</v>
      </c>
      <c r="K136" s="371">
        <v>0</v>
      </c>
      <c r="L136" s="371">
        <v>0</v>
      </c>
      <c r="M136" s="371">
        <v>0</v>
      </c>
      <c r="N136" s="371">
        <v>0</v>
      </c>
      <c r="O136" s="370">
        <v>15765</v>
      </c>
      <c r="P136" s="386">
        <f t="shared" si="48"/>
        <v>64459</v>
      </c>
      <c r="Q136" s="371">
        <v>0</v>
      </c>
      <c r="R136" s="371">
        <v>0</v>
      </c>
      <c r="S136" s="371">
        <v>0</v>
      </c>
      <c r="T136" s="371">
        <v>0</v>
      </c>
      <c r="U136" s="371">
        <v>0</v>
      </c>
      <c r="V136" s="371">
        <v>0</v>
      </c>
      <c r="W136" s="371">
        <v>0</v>
      </c>
      <c r="X136" s="371">
        <v>0</v>
      </c>
      <c r="Y136" s="371">
        <v>0</v>
      </c>
      <c r="Z136" s="371">
        <v>0</v>
      </c>
      <c r="AA136" s="371">
        <v>0</v>
      </c>
      <c r="AB136" s="371">
        <v>0</v>
      </c>
      <c r="AC136" s="371">
        <v>0</v>
      </c>
      <c r="AD136" s="371">
        <v>0</v>
      </c>
      <c r="AE136" s="371">
        <v>64459</v>
      </c>
      <c r="AF136" s="385">
        <f t="shared" si="49"/>
        <v>5400</v>
      </c>
      <c r="AG136" s="371">
        <v>2700</v>
      </c>
      <c r="AH136" s="371">
        <v>2700</v>
      </c>
      <c r="AI136" s="387">
        <f t="shared" si="50"/>
        <v>0</v>
      </c>
    </row>
    <row r="137" spans="1:35" s="393" customFormat="1" ht="24" customHeight="1">
      <c r="A137" s="397" t="s">
        <v>1</v>
      </c>
      <c r="B137" s="428" t="s">
        <v>433</v>
      </c>
      <c r="C137" s="395" t="s">
        <v>638</v>
      </c>
      <c r="D137" s="396">
        <v>3</v>
      </c>
      <c r="E137" s="385">
        <f t="shared" si="46"/>
        <v>9700</v>
      </c>
      <c r="F137" s="368">
        <v>9700</v>
      </c>
      <c r="G137" s="368">
        <v>0</v>
      </c>
      <c r="H137" s="385">
        <f t="shared" si="47"/>
        <v>8400</v>
      </c>
      <c r="I137" s="371">
        <v>1800</v>
      </c>
      <c r="J137" s="371">
        <v>3400</v>
      </c>
      <c r="K137" s="371">
        <v>400</v>
      </c>
      <c r="L137" s="371">
        <v>1800</v>
      </c>
      <c r="M137" s="371">
        <v>0</v>
      </c>
      <c r="N137" s="371">
        <v>1000</v>
      </c>
      <c r="O137" s="370">
        <v>0</v>
      </c>
      <c r="P137" s="386">
        <f t="shared" si="48"/>
        <v>1300</v>
      </c>
      <c r="Q137" s="371">
        <v>600</v>
      </c>
      <c r="R137" s="371">
        <v>0</v>
      </c>
      <c r="S137" s="371">
        <v>0</v>
      </c>
      <c r="T137" s="371">
        <v>0</v>
      </c>
      <c r="U137" s="371">
        <v>0</v>
      </c>
      <c r="V137" s="371">
        <v>0</v>
      </c>
      <c r="W137" s="371">
        <v>0</v>
      </c>
      <c r="X137" s="371">
        <v>0</v>
      </c>
      <c r="Y137" s="371">
        <v>0</v>
      </c>
      <c r="Z137" s="371">
        <v>0</v>
      </c>
      <c r="AA137" s="371">
        <v>0</v>
      </c>
      <c r="AB137" s="371">
        <v>700</v>
      </c>
      <c r="AC137" s="371">
        <v>0</v>
      </c>
      <c r="AD137" s="371">
        <v>0</v>
      </c>
      <c r="AE137" s="371">
        <v>0</v>
      </c>
      <c r="AF137" s="385">
        <f t="shared" si="49"/>
        <v>0</v>
      </c>
      <c r="AG137" s="371">
        <v>0</v>
      </c>
      <c r="AH137" s="371">
        <v>0</v>
      </c>
      <c r="AI137" s="387">
        <f t="shared" si="50"/>
        <v>0</v>
      </c>
    </row>
    <row r="138" spans="1:35" s="393" customFormat="1" ht="37.5" customHeight="1">
      <c r="A138" s="397" t="s">
        <v>1</v>
      </c>
      <c r="B138" s="428" t="s">
        <v>433</v>
      </c>
      <c r="C138" s="395" t="s">
        <v>639</v>
      </c>
      <c r="D138" s="396">
        <v>3</v>
      </c>
      <c r="E138" s="385">
        <f t="shared" si="46"/>
        <v>9000</v>
      </c>
      <c r="F138" s="368">
        <v>9000</v>
      </c>
      <c r="G138" s="368">
        <v>0</v>
      </c>
      <c r="H138" s="385">
        <f t="shared" si="47"/>
        <v>4600</v>
      </c>
      <c r="I138" s="371">
        <v>2000</v>
      </c>
      <c r="J138" s="371">
        <v>2000</v>
      </c>
      <c r="K138" s="371">
        <v>0</v>
      </c>
      <c r="L138" s="371">
        <v>600</v>
      </c>
      <c r="M138" s="371">
        <v>0</v>
      </c>
      <c r="N138" s="371">
        <v>0</v>
      </c>
      <c r="O138" s="370">
        <v>0</v>
      </c>
      <c r="P138" s="386">
        <f t="shared" si="48"/>
        <v>1400</v>
      </c>
      <c r="Q138" s="371">
        <v>0</v>
      </c>
      <c r="R138" s="371">
        <v>0</v>
      </c>
      <c r="S138" s="371">
        <v>0</v>
      </c>
      <c r="T138" s="371">
        <v>1400</v>
      </c>
      <c r="U138" s="371">
        <v>0</v>
      </c>
      <c r="V138" s="371">
        <v>0</v>
      </c>
      <c r="W138" s="371">
        <v>0</v>
      </c>
      <c r="X138" s="371">
        <v>0</v>
      </c>
      <c r="Y138" s="371">
        <v>0</v>
      </c>
      <c r="Z138" s="371">
        <v>0</v>
      </c>
      <c r="AA138" s="371">
        <v>0</v>
      </c>
      <c r="AB138" s="371">
        <v>0</v>
      </c>
      <c r="AC138" s="371">
        <v>0</v>
      </c>
      <c r="AD138" s="371">
        <v>0</v>
      </c>
      <c r="AE138" s="371">
        <v>0</v>
      </c>
      <c r="AF138" s="385">
        <f t="shared" si="49"/>
        <v>3000</v>
      </c>
      <c r="AG138" s="371">
        <v>3000</v>
      </c>
      <c r="AH138" s="371">
        <v>0</v>
      </c>
      <c r="AI138" s="387">
        <f t="shared" si="50"/>
        <v>0</v>
      </c>
    </row>
    <row r="139" spans="1:35" s="410" customFormat="1" ht="24" customHeight="1">
      <c r="A139" s="405" t="s">
        <v>1120</v>
      </c>
      <c r="B139" s="406"/>
      <c r="C139" s="407"/>
      <c r="D139" s="408"/>
      <c r="E139" s="409">
        <f t="shared" ref="E139:AH139" si="51">SUM(E140:E147)</f>
        <v>43073182</v>
      </c>
      <c r="F139" s="409">
        <f t="shared" si="51"/>
        <v>35458205</v>
      </c>
      <c r="G139" s="409">
        <f t="shared" si="51"/>
        <v>7614977</v>
      </c>
      <c r="H139" s="409">
        <f t="shared" si="51"/>
        <v>25892411</v>
      </c>
      <c r="I139" s="409">
        <f t="shared" si="51"/>
        <v>5723074</v>
      </c>
      <c r="J139" s="409">
        <f t="shared" si="51"/>
        <v>1970738</v>
      </c>
      <c r="K139" s="409">
        <f t="shared" si="51"/>
        <v>2021986</v>
      </c>
      <c r="L139" s="409">
        <f t="shared" si="51"/>
        <v>6308749</v>
      </c>
      <c r="M139" s="409">
        <f t="shared" si="51"/>
        <v>1781750</v>
      </c>
      <c r="N139" s="409">
        <f t="shared" si="51"/>
        <v>2532505</v>
      </c>
      <c r="O139" s="409">
        <f t="shared" si="51"/>
        <v>5553609</v>
      </c>
      <c r="P139" s="409">
        <f t="shared" si="51"/>
        <v>16613436</v>
      </c>
      <c r="Q139" s="409">
        <f t="shared" si="51"/>
        <v>797572</v>
      </c>
      <c r="R139" s="409">
        <f t="shared" si="51"/>
        <v>841272</v>
      </c>
      <c r="S139" s="409">
        <f t="shared" si="51"/>
        <v>960183</v>
      </c>
      <c r="T139" s="409">
        <f t="shared" si="51"/>
        <v>1393018</v>
      </c>
      <c r="U139" s="409">
        <f t="shared" si="51"/>
        <v>901145</v>
      </c>
      <c r="V139" s="409">
        <f t="shared" si="51"/>
        <v>1030032</v>
      </c>
      <c r="W139" s="409">
        <f t="shared" si="51"/>
        <v>924855</v>
      </c>
      <c r="X139" s="409">
        <f t="shared" si="51"/>
        <v>1316648</v>
      </c>
      <c r="Y139" s="409">
        <f t="shared" si="51"/>
        <v>867843</v>
      </c>
      <c r="Z139" s="409">
        <f t="shared" si="51"/>
        <v>842645</v>
      </c>
      <c r="AA139" s="409">
        <f t="shared" si="51"/>
        <v>376801</v>
      </c>
      <c r="AB139" s="409">
        <f t="shared" si="51"/>
        <v>602316</v>
      </c>
      <c r="AC139" s="409">
        <f t="shared" si="51"/>
        <v>611379</v>
      </c>
      <c r="AD139" s="409">
        <f t="shared" si="51"/>
        <v>410925</v>
      </c>
      <c r="AE139" s="409">
        <f t="shared" si="51"/>
        <v>4736802</v>
      </c>
      <c r="AF139" s="409">
        <f t="shared" si="51"/>
        <v>567335</v>
      </c>
      <c r="AG139" s="409">
        <f t="shared" si="51"/>
        <v>308757</v>
      </c>
      <c r="AH139" s="409">
        <f t="shared" si="51"/>
        <v>258578</v>
      </c>
      <c r="AI139" s="387">
        <f t="shared" si="50"/>
        <v>0</v>
      </c>
    </row>
    <row r="140" spans="1:35" s="393" customFormat="1" ht="33.950000000000003" customHeight="1">
      <c r="A140" s="397" t="s">
        <v>1</v>
      </c>
      <c r="B140" s="428" t="s">
        <v>1121</v>
      </c>
      <c r="C140" s="395" t="s">
        <v>449</v>
      </c>
      <c r="D140" s="396">
        <v>3</v>
      </c>
      <c r="E140" s="385">
        <f t="shared" ref="E140:E147" si="52">SUM(H140,P140,AF140)</f>
        <v>1788685</v>
      </c>
      <c r="F140" s="368">
        <v>928107</v>
      </c>
      <c r="G140" s="368">
        <v>860578</v>
      </c>
      <c r="H140" s="385">
        <f t="shared" ref="H140:H147" si="53">SUM(I140:O140)</f>
        <v>1115250</v>
      </c>
      <c r="I140" s="371">
        <v>280444</v>
      </c>
      <c r="J140" s="371">
        <v>225993</v>
      </c>
      <c r="K140" s="371">
        <v>74934</v>
      </c>
      <c r="L140" s="371">
        <v>217503</v>
      </c>
      <c r="M140" s="371">
        <v>90030</v>
      </c>
      <c r="N140" s="371">
        <v>226346</v>
      </c>
      <c r="O140" s="370">
        <v>0</v>
      </c>
      <c r="P140" s="386">
        <f t="shared" ref="P140:P147" si="54">SUM(Q140:AE140)</f>
        <v>615801</v>
      </c>
      <c r="Q140" s="371">
        <v>56213</v>
      </c>
      <c r="R140" s="371">
        <v>36030</v>
      </c>
      <c r="S140" s="371">
        <v>37239</v>
      </c>
      <c r="T140" s="371">
        <v>49141</v>
      </c>
      <c r="U140" s="371">
        <v>33019</v>
      </c>
      <c r="V140" s="371">
        <v>43333</v>
      </c>
      <c r="W140" s="371">
        <v>33090</v>
      </c>
      <c r="X140" s="371">
        <v>77330</v>
      </c>
      <c r="Y140" s="371">
        <v>45738</v>
      </c>
      <c r="Z140" s="371">
        <v>36579</v>
      </c>
      <c r="AA140" s="371">
        <v>30261</v>
      </c>
      <c r="AB140" s="371">
        <v>78678</v>
      </c>
      <c r="AC140" s="371">
        <v>48384</v>
      </c>
      <c r="AD140" s="371">
        <v>10766</v>
      </c>
      <c r="AE140" s="371">
        <v>0</v>
      </c>
      <c r="AF140" s="385">
        <f t="shared" ref="AF140:AF147" si="55">SUM(AG140:AH140)</f>
        <v>57634</v>
      </c>
      <c r="AG140" s="371">
        <v>27616</v>
      </c>
      <c r="AH140" s="371">
        <v>30018</v>
      </c>
      <c r="AI140" s="387">
        <f t="shared" si="50"/>
        <v>0</v>
      </c>
    </row>
    <row r="141" spans="1:35" s="393" customFormat="1" ht="31.5" customHeight="1">
      <c r="A141" s="397" t="s">
        <v>1</v>
      </c>
      <c r="B141" s="428" t="s">
        <v>1121</v>
      </c>
      <c r="C141" s="395" t="s">
        <v>450</v>
      </c>
      <c r="D141" s="396">
        <v>3</v>
      </c>
      <c r="E141" s="385">
        <f t="shared" si="52"/>
        <v>19993366</v>
      </c>
      <c r="F141" s="368">
        <v>14886788</v>
      </c>
      <c r="G141" s="368">
        <v>5106578</v>
      </c>
      <c r="H141" s="385">
        <f t="shared" si="53"/>
        <v>9578211</v>
      </c>
      <c r="I141" s="371">
        <v>814864</v>
      </c>
      <c r="J141" s="371">
        <v>760298</v>
      </c>
      <c r="K141" s="371">
        <v>791827</v>
      </c>
      <c r="L141" s="371">
        <v>1024590</v>
      </c>
      <c r="M141" s="371">
        <v>680285</v>
      </c>
      <c r="N141" s="371">
        <v>867510</v>
      </c>
      <c r="O141" s="370">
        <v>4638837</v>
      </c>
      <c r="P141" s="386">
        <f t="shared" si="54"/>
        <v>10087080</v>
      </c>
      <c r="Q141" s="371">
        <v>359068</v>
      </c>
      <c r="R141" s="371">
        <v>396024</v>
      </c>
      <c r="S141" s="371">
        <v>533143</v>
      </c>
      <c r="T141" s="371">
        <v>613240</v>
      </c>
      <c r="U141" s="371">
        <v>472339</v>
      </c>
      <c r="V141" s="371">
        <v>569106</v>
      </c>
      <c r="W141" s="371">
        <v>553396</v>
      </c>
      <c r="X141" s="371">
        <v>614544</v>
      </c>
      <c r="Y141" s="371">
        <v>482702</v>
      </c>
      <c r="Z141" s="371">
        <v>477665</v>
      </c>
      <c r="AA141" s="371">
        <v>206352</v>
      </c>
      <c r="AB141" s="371">
        <v>259860</v>
      </c>
      <c r="AC141" s="371">
        <v>235339</v>
      </c>
      <c r="AD141" s="371">
        <v>193599</v>
      </c>
      <c r="AE141" s="371">
        <v>4120703</v>
      </c>
      <c r="AF141" s="385">
        <f t="shared" si="55"/>
        <v>328075</v>
      </c>
      <c r="AG141" s="371">
        <v>174714</v>
      </c>
      <c r="AH141" s="371">
        <v>153361</v>
      </c>
      <c r="AI141" s="387">
        <f t="shared" si="50"/>
        <v>0</v>
      </c>
    </row>
    <row r="142" spans="1:35" s="393" customFormat="1" ht="28.5" customHeight="1">
      <c r="A142" s="397" t="s">
        <v>1</v>
      </c>
      <c r="B142" s="428" t="s">
        <v>1121</v>
      </c>
      <c r="C142" s="395" t="s">
        <v>451</v>
      </c>
      <c r="D142" s="396">
        <v>3</v>
      </c>
      <c r="E142" s="385">
        <f t="shared" si="52"/>
        <v>9685634</v>
      </c>
      <c r="F142" s="368">
        <v>8980574</v>
      </c>
      <c r="G142" s="368">
        <v>705060</v>
      </c>
      <c r="H142" s="385">
        <f t="shared" si="53"/>
        <v>6094256</v>
      </c>
      <c r="I142" s="371">
        <v>1233599</v>
      </c>
      <c r="J142" s="371">
        <v>697052</v>
      </c>
      <c r="K142" s="371">
        <v>759484</v>
      </c>
      <c r="L142" s="371">
        <v>1030132</v>
      </c>
      <c r="M142" s="371">
        <v>675547</v>
      </c>
      <c r="N142" s="371">
        <v>1062331</v>
      </c>
      <c r="O142" s="370">
        <v>636111</v>
      </c>
      <c r="P142" s="386">
        <f t="shared" si="54"/>
        <v>3546299</v>
      </c>
      <c r="Q142" s="371">
        <v>220000</v>
      </c>
      <c r="R142" s="371">
        <v>261840</v>
      </c>
      <c r="S142" s="371">
        <v>233741</v>
      </c>
      <c r="T142" s="371">
        <v>531690</v>
      </c>
      <c r="U142" s="371">
        <v>235250</v>
      </c>
      <c r="V142" s="371">
        <v>260330</v>
      </c>
      <c r="W142" s="371">
        <v>205680</v>
      </c>
      <c r="X142" s="371">
        <v>365260</v>
      </c>
      <c r="Y142" s="371">
        <v>144040</v>
      </c>
      <c r="Z142" s="371">
        <v>144370</v>
      </c>
      <c r="AA142" s="371">
        <v>49377</v>
      </c>
      <c r="AB142" s="371">
        <v>147100</v>
      </c>
      <c r="AC142" s="371">
        <v>202400</v>
      </c>
      <c r="AD142" s="371">
        <v>107720</v>
      </c>
      <c r="AE142" s="371">
        <v>437501</v>
      </c>
      <c r="AF142" s="385">
        <f t="shared" si="55"/>
        <v>45079</v>
      </c>
      <c r="AG142" s="371">
        <v>32065</v>
      </c>
      <c r="AH142" s="371">
        <v>13014</v>
      </c>
      <c r="AI142" s="387">
        <f t="shared" si="50"/>
        <v>0</v>
      </c>
    </row>
    <row r="143" spans="1:35" s="393" customFormat="1" ht="31.5" customHeight="1">
      <c r="A143" s="397" t="s">
        <v>1</v>
      </c>
      <c r="B143" s="428" t="s">
        <v>1121</v>
      </c>
      <c r="C143" s="395" t="s">
        <v>452</v>
      </c>
      <c r="D143" s="396">
        <v>3</v>
      </c>
      <c r="E143" s="385">
        <f t="shared" si="52"/>
        <v>695692</v>
      </c>
      <c r="F143" s="368">
        <v>503865</v>
      </c>
      <c r="G143" s="368">
        <v>191827</v>
      </c>
      <c r="H143" s="385">
        <f t="shared" si="53"/>
        <v>291407</v>
      </c>
      <c r="I143" s="371">
        <v>39630</v>
      </c>
      <c r="J143" s="371">
        <v>22160</v>
      </c>
      <c r="K143" s="371">
        <v>21300</v>
      </c>
      <c r="L143" s="371">
        <v>31200</v>
      </c>
      <c r="M143" s="371">
        <v>9300</v>
      </c>
      <c r="N143" s="371">
        <v>35950</v>
      </c>
      <c r="O143" s="370">
        <v>131867</v>
      </c>
      <c r="P143" s="386">
        <f t="shared" si="54"/>
        <v>381797</v>
      </c>
      <c r="Q143" s="371">
        <v>30813</v>
      </c>
      <c r="R143" s="371">
        <v>5960</v>
      </c>
      <c r="S143" s="371">
        <v>3200</v>
      </c>
      <c r="T143" s="371">
        <v>1000</v>
      </c>
      <c r="U143" s="371">
        <v>14200</v>
      </c>
      <c r="V143" s="371">
        <v>1200</v>
      </c>
      <c r="W143" s="371">
        <v>1940</v>
      </c>
      <c r="X143" s="371">
        <v>79813</v>
      </c>
      <c r="Y143" s="371">
        <v>75681</v>
      </c>
      <c r="Z143" s="371">
        <v>61500</v>
      </c>
      <c r="AA143" s="371">
        <v>0</v>
      </c>
      <c r="AB143" s="371">
        <v>4770</v>
      </c>
      <c r="AC143" s="371">
        <v>2200</v>
      </c>
      <c r="AD143" s="371">
        <v>500</v>
      </c>
      <c r="AE143" s="371">
        <v>99020</v>
      </c>
      <c r="AF143" s="385">
        <f t="shared" si="55"/>
        <v>22488</v>
      </c>
      <c r="AG143" s="371">
        <v>11694</v>
      </c>
      <c r="AH143" s="371">
        <v>10794</v>
      </c>
      <c r="AI143" s="387">
        <f t="shared" si="50"/>
        <v>0</v>
      </c>
    </row>
    <row r="144" spans="1:35" s="393" customFormat="1" ht="32.450000000000003" customHeight="1">
      <c r="A144" s="397" t="s">
        <v>1</v>
      </c>
      <c r="B144" s="428" t="s">
        <v>1121</v>
      </c>
      <c r="C144" s="395" t="s">
        <v>453</v>
      </c>
      <c r="D144" s="396">
        <v>3</v>
      </c>
      <c r="E144" s="385">
        <f t="shared" si="52"/>
        <v>1318503</v>
      </c>
      <c r="F144" s="368">
        <v>969030</v>
      </c>
      <c r="G144" s="368">
        <v>349473</v>
      </c>
      <c r="H144" s="385">
        <f t="shared" si="53"/>
        <v>700533</v>
      </c>
      <c r="I144" s="371">
        <v>108994</v>
      </c>
      <c r="J144" s="371">
        <v>112614</v>
      </c>
      <c r="K144" s="371">
        <v>66095</v>
      </c>
      <c r="L144" s="371">
        <v>94217</v>
      </c>
      <c r="M144" s="371">
        <v>57539</v>
      </c>
      <c r="N144" s="371">
        <v>114280</v>
      </c>
      <c r="O144" s="370">
        <v>146794</v>
      </c>
      <c r="P144" s="386">
        <f t="shared" si="54"/>
        <v>584250</v>
      </c>
      <c r="Q144" s="371">
        <v>34735</v>
      </c>
      <c r="R144" s="371">
        <v>35690</v>
      </c>
      <c r="S144" s="371">
        <v>41902</v>
      </c>
      <c r="T144" s="371">
        <v>47328</v>
      </c>
      <c r="U144" s="371">
        <v>39061</v>
      </c>
      <c r="V144" s="371">
        <v>39963</v>
      </c>
      <c r="W144" s="371">
        <v>33949</v>
      </c>
      <c r="X144" s="371">
        <v>44932</v>
      </c>
      <c r="Y144" s="371">
        <v>32875</v>
      </c>
      <c r="Z144" s="371">
        <v>32242</v>
      </c>
      <c r="AA144" s="371">
        <v>23560</v>
      </c>
      <c r="AB144" s="371">
        <v>34902</v>
      </c>
      <c r="AC144" s="371">
        <v>34026</v>
      </c>
      <c r="AD144" s="371">
        <v>29507</v>
      </c>
      <c r="AE144" s="371">
        <v>79578</v>
      </c>
      <c r="AF144" s="385">
        <f t="shared" si="55"/>
        <v>33720</v>
      </c>
      <c r="AG144" s="371">
        <v>19676</v>
      </c>
      <c r="AH144" s="371">
        <v>14044</v>
      </c>
      <c r="AI144" s="387">
        <f t="shared" si="50"/>
        <v>0</v>
      </c>
    </row>
    <row r="145" spans="1:35" s="393" customFormat="1" ht="33" customHeight="1">
      <c r="A145" s="397" t="s">
        <v>1</v>
      </c>
      <c r="B145" s="428" t="s">
        <v>1121</v>
      </c>
      <c r="C145" s="395" t="s">
        <v>454</v>
      </c>
      <c r="D145" s="396">
        <v>3</v>
      </c>
      <c r="E145" s="385">
        <f t="shared" si="52"/>
        <v>2984608</v>
      </c>
      <c r="F145" s="368">
        <v>2653147</v>
      </c>
      <c r="G145" s="368">
        <v>331461</v>
      </c>
      <c r="H145" s="385">
        <f t="shared" si="53"/>
        <v>1506537</v>
      </c>
      <c r="I145" s="371">
        <v>283297</v>
      </c>
      <c r="J145" s="371">
        <v>150621</v>
      </c>
      <c r="K145" s="371">
        <v>308076</v>
      </c>
      <c r="L145" s="371">
        <v>270616</v>
      </c>
      <c r="M145" s="371">
        <v>268989</v>
      </c>
      <c r="N145" s="371">
        <v>224938</v>
      </c>
      <c r="O145" s="370">
        <v>0</v>
      </c>
      <c r="P145" s="386">
        <f t="shared" si="54"/>
        <v>1397732</v>
      </c>
      <c r="Q145" s="371">
        <v>96723</v>
      </c>
      <c r="R145" s="371">
        <v>105708</v>
      </c>
      <c r="S145" s="371">
        <v>110903</v>
      </c>
      <c r="T145" s="371">
        <v>150539</v>
      </c>
      <c r="U145" s="371">
        <v>107254</v>
      </c>
      <c r="V145" s="371">
        <v>116050</v>
      </c>
      <c r="W145" s="371">
        <v>96775</v>
      </c>
      <c r="X145" s="371">
        <v>134704</v>
      </c>
      <c r="Y145" s="371">
        <v>86802</v>
      </c>
      <c r="Z145" s="371">
        <v>90279</v>
      </c>
      <c r="AA145" s="371">
        <v>67251</v>
      </c>
      <c r="AB145" s="371">
        <v>76956</v>
      </c>
      <c r="AC145" s="371">
        <v>88955</v>
      </c>
      <c r="AD145" s="371">
        <v>68833</v>
      </c>
      <c r="AE145" s="371">
        <v>0</v>
      </c>
      <c r="AF145" s="385">
        <f t="shared" si="55"/>
        <v>80339</v>
      </c>
      <c r="AG145" s="371">
        <v>42992</v>
      </c>
      <c r="AH145" s="371">
        <v>37347</v>
      </c>
      <c r="AI145" s="387">
        <f t="shared" si="50"/>
        <v>0</v>
      </c>
    </row>
    <row r="146" spans="1:35" s="393" customFormat="1" ht="33.6" customHeight="1">
      <c r="A146" s="397" t="s">
        <v>1</v>
      </c>
      <c r="B146" s="428" t="s">
        <v>1121</v>
      </c>
      <c r="C146" s="395" t="s">
        <v>455</v>
      </c>
      <c r="D146" s="396">
        <v>3</v>
      </c>
      <c r="E146" s="385">
        <f t="shared" si="52"/>
        <v>49926</v>
      </c>
      <c r="F146" s="368">
        <v>49926</v>
      </c>
      <c r="G146" s="368">
        <v>0</v>
      </c>
      <c r="H146" s="385">
        <f t="shared" si="53"/>
        <v>49449</v>
      </c>
      <c r="I146" s="371">
        <v>45669</v>
      </c>
      <c r="J146" s="371">
        <v>2000</v>
      </c>
      <c r="K146" s="371">
        <v>270</v>
      </c>
      <c r="L146" s="371">
        <v>300</v>
      </c>
      <c r="M146" s="371">
        <v>60</v>
      </c>
      <c r="N146" s="371">
        <v>1150</v>
      </c>
      <c r="O146" s="370">
        <v>0</v>
      </c>
      <c r="P146" s="386">
        <f t="shared" si="54"/>
        <v>477</v>
      </c>
      <c r="Q146" s="371">
        <v>20</v>
      </c>
      <c r="R146" s="371">
        <v>20</v>
      </c>
      <c r="S146" s="371">
        <v>55</v>
      </c>
      <c r="T146" s="371">
        <v>80</v>
      </c>
      <c r="U146" s="371">
        <v>22</v>
      </c>
      <c r="V146" s="371">
        <v>50</v>
      </c>
      <c r="W146" s="371">
        <v>25</v>
      </c>
      <c r="X146" s="371">
        <v>65</v>
      </c>
      <c r="Y146" s="371">
        <v>5</v>
      </c>
      <c r="Z146" s="371">
        <v>10</v>
      </c>
      <c r="AA146" s="371">
        <v>0</v>
      </c>
      <c r="AB146" s="371">
        <v>50</v>
      </c>
      <c r="AC146" s="371">
        <v>75</v>
      </c>
      <c r="AD146" s="371">
        <v>0</v>
      </c>
      <c r="AE146" s="371">
        <v>0</v>
      </c>
      <c r="AF146" s="385">
        <f t="shared" si="55"/>
        <v>0</v>
      </c>
      <c r="AG146" s="371">
        <v>0</v>
      </c>
      <c r="AH146" s="371">
        <v>0</v>
      </c>
      <c r="AI146" s="387">
        <f t="shared" si="50"/>
        <v>0</v>
      </c>
    </row>
    <row r="147" spans="1:35" s="393" customFormat="1" ht="30.95" customHeight="1">
      <c r="A147" s="397" t="s">
        <v>1</v>
      </c>
      <c r="B147" s="428" t="s">
        <v>1121</v>
      </c>
      <c r="C147" s="395" t="s">
        <v>456</v>
      </c>
      <c r="D147" s="396">
        <v>3</v>
      </c>
      <c r="E147" s="385">
        <f t="shared" si="52"/>
        <v>6556768</v>
      </c>
      <c r="F147" s="368">
        <v>6486768</v>
      </c>
      <c r="G147" s="368">
        <v>70000</v>
      </c>
      <c r="H147" s="385">
        <f t="shared" si="53"/>
        <v>6556768</v>
      </c>
      <c r="I147" s="371">
        <v>2916577</v>
      </c>
      <c r="J147" s="371">
        <v>0</v>
      </c>
      <c r="K147" s="371">
        <v>0</v>
      </c>
      <c r="L147" s="371">
        <v>3640191</v>
      </c>
      <c r="M147" s="371">
        <v>0</v>
      </c>
      <c r="N147" s="371">
        <v>0</v>
      </c>
      <c r="O147" s="370">
        <v>0</v>
      </c>
      <c r="P147" s="386">
        <f t="shared" si="54"/>
        <v>0</v>
      </c>
      <c r="Q147" s="371">
        <v>0</v>
      </c>
      <c r="R147" s="371">
        <v>0</v>
      </c>
      <c r="S147" s="371">
        <v>0</v>
      </c>
      <c r="T147" s="371">
        <v>0</v>
      </c>
      <c r="U147" s="371">
        <v>0</v>
      </c>
      <c r="V147" s="371">
        <v>0</v>
      </c>
      <c r="W147" s="371">
        <v>0</v>
      </c>
      <c r="X147" s="371">
        <v>0</v>
      </c>
      <c r="Y147" s="371">
        <v>0</v>
      </c>
      <c r="Z147" s="371">
        <v>0</v>
      </c>
      <c r="AA147" s="371">
        <v>0</v>
      </c>
      <c r="AB147" s="371">
        <v>0</v>
      </c>
      <c r="AC147" s="371">
        <v>0</v>
      </c>
      <c r="AD147" s="371">
        <v>0</v>
      </c>
      <c r="AE147" s="371">
        <v>0</v>
      </c>
      <c r="AF147" s="385">
        <f t="shared" si="55"/>
        <v>0</v>
      </c>
      <c r="AG147" s="371">
        <v>0</v>
      </c>
      <c r="AH147" s="371">
        <v>0</v>
      </c>
      <c r="AI147" s="387">
        <f t="shared" si="50"/>
        <v>0</v>
      </c>
    </row>
    <row r="148" spans="1:35" s="410" customFormat="1" ht="24" customHeight="1">
      <c r="A148" s="405" t="s">
        <v>1122</v>
      </c>
      <c r="B148" s="406"/>
      <c r="C148" s="407"/>
      <c r="D148" s="408"/>
      <c r="E148" s="409">
        <f t="shared" ref="E148:AH148" si="56">SUM(E149:E156)</f>
        <v>6060565</v>
      </c>
      <c r="F148" s="409">
        <f t="shared" si="56"/>
        <v>3315034</v>
      </c>
      <c r="G148" s="409">
        <f t="shared" si="56"/>
        <v>2745531</v>
      </c>
      <c r="H148" s="409">
        <f t="shared" si="56"/>
        <v>3872404</v>
      </c>
      <c r="I148" s="409">
        <f t="shared" si="56"/>
        <v>91888.80891083616</v>
      </c>
      <c r="J148" s="409">
        <f t="shared" si="56"/>
        <v>2820766.908339344</v>
      </c>
      <c r="K148" s="409">
        <f t="shared" si="56"/>
        <v>185240.3494423792</v>
      </c>
      <c r="L148" s="409">
        <f t="shared" si="56"/>
        <v>250004.40814514787</v>
      </c>
      <c r="M148" s="409">
        <f t="shared" si="56"/>
        <v>158153.51905898019</v>
      </c>
      <c r="N148" s="409">
        <f t="shared" si="56"/>
        <v>157340.00610331242</v>
      </c>
      <c r="O148" s="409">
        <f t="shared" si="56"/>
        <v>209010</v>
      </c>
      <c r="P148" s="409">
        <f t="shared" si="56"/>
        <v>2046241</v>
      </c>
      <c r="Q148" s="409">
        <f t="shared" si="56"/>
        <v>134940.62659640028</v>
      </c>
      <c r="R148" s="409">
        <f t="shared" si="56"/>
        <v>153134.82445440831</v>
      </c>
      <c r="S148" s="409">
        <f t="shared" si="56"/>
        <v>99085.218236681612</v>
      </c>
      <c r="T148" s="409">
        <f t="shared" si="56"/>
        <v>82034.409762213385</v>
      </c>
      <c r="U148" s="409">
        <f t="shared" si="56"/>
        <v>102893.14862194267</v>
      </c>
      <c r="V148" s="409">
        <f t="shared" si="56"/>
        <v>88771.715761065891</v>
      </c>
      <c r="W148" s="409">
        <f t="shared" si="56"/>
        <v>111687.88967041373</v>
      </c>
      <c r="X148" s="409">
        <f t="shared" si="56"/>
        <v>100863.14806944474</v>
      </c>
      <c r="Y148" s="409">
        <f t="shared" si="56"/>
        <v>118062.41003846236</v>
      </c>
      <c r="Z148" s="409">
        <f t="shared" si="56"/>
        <v>104219.38857604284</v>
      </c>
      <c r="AA148" s="409">
        <f t="shared" si="56"/>
        <v>156345.36628487642</v>
      </c>
      <c r="AB148" s="409">
        <f t="shared" si="56"/>
        <v>79018.785652053804</v>
      </c>
      <c r="AC148" s="409">
        <f t="shared" si="56"/>
        <v>175244.2330903759</v>
      </c>
      <c r="AD148" s="409">
        <f t="shared" si="56"/>
        <v>175882.83518561805</v>
      </c>
      <c r="AE148" s="409">
        <f t="shared" si="56"/>
        <v>364057</v>
      </c>
      <c r="AF148" s="409">
        <f t="shared" si="56"/>
        <v>141920</v>
      </c>
      <c r="AG148" s="409">
        <f t="shared" si="56"/>
        <v>22596.240635301168</v>
      </c>
      <c r="AH148" s="409">
        <f t="shared" si="56"/>
        <v>119323.75936469884</v>
      </c>
      <c r="AI148" s="387">
        <f t="shared" si="50"/>
        <v>0</v>
      </c>
    </row>
    <row r="149" spans="1:35" s="393" customFormat="1" ht="24" customHeight="1">
      <c r="A149" s="397" t="s">
        <v>1</v>
      </c>
      <c r="B149" s="428" t="s">
        <v>1123</v>
      </c>
      <c r="C149" s="395" t="s">
        <v>640</v>
      </c>
      <c r="D149" s="396">
        <v>3</v>
      </c>
      <c r="E149" s="385">
        <f t="shared" ref="E149:E157" si="57">SUM(H149,P149,AF149)</f>
        <v>1658101</v>
      </c>
      <c r="F149" s="368">
        <v>1151611</v>
      </c>
      <c r="G149" s="368">
        <v>506490</v>
      </c>
      <c r="H149" s="385">
        <f t="shared" ref="H149:H157" si="58">SUM(I149:O149)</f>
        <v>478432</v>
      </c>
      <c r="I149" s="371">
        <v>79663</v>
      </c>
      <c r="J149" s="371">
        <v>70115</v>
      </c>
      <c r="K149" s="371">
        <v>79663</v>
      </c>
      <c r="L149" s="371">
        <v>79663</v>
      </c>
      <c r="M149" s="371">
        <v>84664</v>
      </c>
      <c r="N149" s="371">
        <v>84664</v>
      </c>
      <c r="O149" s="370">
        <v>0</v>
      </c>
      <c r="P149" s="386">
        <f t="shared" ref="P149:P157" si="59">SUM(Q149:AE149)</f>
        <v>1149669</v>
      </c>
      <c r="Q149" s="371">
        <v>77240</v>
      </c>
      <c r="R149" s="371">
        <v>72058</v>
      </c>
      <c r="S149" s="371">
        <v>92059</v>
      </c>
      <c r="T149" s="371">
        <v>77240</v>
      </c>
      <c r="U149" s="371">
        <v>77240</v>
      </c>
      <c r="V149" s="371">
        <v>77240</v>
      </c>
      <c r="W149" s="371">
        <v>92059</v>
      </c>
      <c r="X149" s="371">
        <v>92060</v>
      </c>
      <c r="Y149" s="371">
        <v>92100</v>
      </c>
      <c r="Z149" s="371">
        <v>92100</v>
      </c>
      <c r="AA149" s="371">
        <v>92099</v>
      </c>
      <c r="AB149" s="371">
        <v>72058</v>
      </c>
      <c r="AC149" s="371">
        <v>72058</v>
      </c>
      <c r="AD149" s="371">
        <v>72058</v>
      </c>
      <c r="AE149" s="371">
        <v>0</v>
      </c>
      <c r="AF149" s="385">
        <f t="shared" ref="AF149:AF157" si="60">SUM(AG149:AH149)</f>
        <v>30000</v>
      </c>
      <c r="AG149" s="371">
        <v>15000</v>
      </c>
      <c r="AH149" s="371">
        <v>15000</v>
      </c>
      <c r="AI149" s="387">
        <f t="shared" si="50"/>
        <v>0</v>
      </c>
    </row>
    <row r="150" spans="1:35" s="393" customFormat="1" ht="24" customHeight="1">
      <c r="A150" s="397" t="s">
        <v>1</v>
      </c>
      <c r="B150" s="428" t="s">
        <v>1123</v>
      </c>
      <c r="C150" s="395" t="s">
        <v>641</v>
      </c>
      <c r="D150" s="396">
        <v>3</v>
      </c>
      <c r="E150" s="385">
        <f t="shared" si="57"/>
        <v>15155</v>
      </c>
      <c r="F150" s="368">
        <v>8625</v>
      </c>
      <c r="G150" s="368">
        <v>6530</v>
      </c>
      <c r="H150" s="385">
        <f t="shared" si="58"/>
        <v>2997</v>
      </c>
      <c r="I150" s="371">
        <v>186</v>
      </c>
      <c r="J150" s="371">
        <v>750</v>
      </c>
      <c r="K150" s="371">
        <v>186</v>
      </c>
      <c r="L150" s="371">
        <v>750</v>
      </c>
      <c r="M150" s="371">
        <v>375</v>
      </c>
      <c r="N150" s="371">
        <v>750</v>
      </c>
      <c r="O150" s="370">
        <v>0</v>
      </c>
      <c r="P150" s="386">
        <f t="shared" si="59"/>
        <v>11758</v>
      </c>
      <c r="Q150" s="371">
        <v>905</v>
      </c>
      <c r="R150" s="371">
        <v>450</v>
      </c>
      <c r="S150" s="371">
        <v>905</v>
      </c>
      <c r="T150" s="371">
        <v>1360</v>
      </c>
      <c r="U150" s="371">
        <v>905</v>
      </c>
      <c r="V150" s="371">
        <v>905</v>
      </c>
      <c r="W150" s="371">
        <v>450</v>
      </c>
      <c r="X150" s="371">
        <v>905</v>
      </c>
      <c r="Y150" s="371">
        <v>905</v>
      </c>
      <c r="Z150" s="371">
        <v>905</v>
      </c>
      <c r="AA150" s="371">
        <v>450</v>
      </c>
      <c r="AB150" s="371">
        <v>905</v>
      </c>
      <c r="AC150" s="371">
        <v>904</v>
      </c>
      <c r="AD150" s="371">
        <v>904</v>
      </c>
      <c r="AE150" s="371">
        <v>0</v>
      </c>
      <c r="AF150" s="385">
        <f t="shared" si="60"/>
        <v>400</v>
      </c>
      <c r="AG150" s="371">
        <v>200</v>
      </c>
      <c r="AH150" s="371">
        <v>200</v>
      </c>
      <c r="AI150" s="387">
        <f t="shared" si="50"/>
        <v>0</v>
      </c>
    </row>
    <row r="151" spans="1:35" s="393" customFormat="1" ht="24" customHeight="1">
      <c r="A151" s="397" t="s">
        <v>1</v>
      </c>
      <c r="B151" s="428" t="s">
        <v>1123</v>
      </c>
      <c r="C151" s="395" t="s">
        <v>1119</v>
      </c>
      <c r="D151" s="396">
        <v>3</v>
      </c>
      <c r="E151" s="385">
        <f t="shared" si="57"/>
        <v>46260</v>
      </c>
      <c r="F151" s="368">
        <v>6260</v>
      </c>
      <c r="G151" s="368">
        <v>40000</v>
      </c>
      <c r="H151" s="385">
        <f t="shared" si="58"/>
        <v>12260</v>
      </c>
      <c r="I151" s="371">
        <v>2040</v>
      </c>
      <c r="J151" s="371">
        <v>0</v>
      </c>
      <c r="K151" s="371">
        <v>4090</v>
      </c>
      <c r="L151" s="371">
        <v>2040</v>
      </c>
      <c r="M151" s="371">
        <v>0</v>
      </c>
      <c r="N151" s="371">
        <v>4090</v>
      </c>
      <c r="O151" s="370">
        <v>0</v>
      </c>
      <c r="P151" s="386">
        <f t="shared" si="59"/>
        <v>34000</v>
      </c>
      <c r="Q151" s="371">
        <v>2720</v>
      </c>
      <c r="R151" s="371">
        <v>4080</v>
      </c>
      <c r="S151" s="371">
        <v>2720</v>
      </c>
      <c r="T151" s="371">
        <v>0</v>
      </c>
      <c r="U151" s="371">
        <v>5440</v>
      </c>
      <c r="V151" s="371">
        <v>0</v>
      </c>
      <c r="W151" s="371">
        <v>1360</v>
      </c>
      <c r="X151" s="371">
        <v>4080</v>
      </c>
      <c r="Y151" s="371">
        <v>6800</v>
      </c>
      <c r="Z151" s="371">
        <v>6800</v>
      </c>
      <c r="AA151" s="371">
        <v>0</v>
      </c>
      <c r="AB151" s="371">
        <v>0</v>
      </c>
      <c r="AC151" s="371">
        <v>0</v>
      </c>
      <c r="AD151" s="371">
        <v>0</v>
      </c>
      <c r="AE151" s="371">
        <v>0</v>
      </c>
      <c r="AF151" s="385">
        <f t="shared" si="60"/>
        <v>0</v>
      </c>
      <c r="AG151" s="371">
        <v>0</v>
      </c>
      <c r="AH151" s="371">
        <v>0</v>
      </c>
      <c r="AI151" s="387">
        <f t="shared" si="50"/>
        <v>0</v>
      </c>
    </row>
    <row r="152" spans="1:35" s="393" customFormat="1" ht="24" customHeight="1">
      <c r="A152" s="397" t="s">
        <v>1</v>
      </c>
      <c r="B152" s="428" t="s">
        <v>1123</v>
      </c>
      <c r="C152" s="395" t="s">
        <v>642</v>
      </c>
      <c r="D152" s="396">
        <v>3</v>
      </c>
      <c r="E152" s="385">
        <f t="shared" si="57"/>
        <v>65681.999999999985</v>
      </c>
      <c r="F152" s="368">
        <v>65681.999999999985</v>
      </c>
      <c r="G152" s="368">
        <v>0</v>
      </c>
      <c r="H152" s="385">
        <f t="shared" si="58"/>
        <v>17303</v>
      </c>
      <c r="I152" s="371">
        <v>3176.8089108361542</v>
      </c>
      <c r="J152" s="371">
        <v>2789.9083393441715</v>
      </c>
      <c r="K152" s="371">
        <v>2058.3494423791826</v>
      </c>
      <c r="L152" s="371">
        <v>3162.4081451478669</v>
      </c>
      <c r="M152" s="371">
        <v>2991.5190589801923</v>
      </c>
      <c r="N152" s="371">
        <v>3124.0061033124348</v>
      </c>
      <c r="O152" s="370">
        <v>0</v>
      </c>
      <c r="P152" s="386">
        <f t="shared" si="59"/>
        <v>45258.999999999985</v>
      </c>
      <c r="Q152" s="371">
        <v>2322.6265964002632</v>
      </c>
      <c r="R152" s="371">
        <v>3046.8244544082954</v>
      </c>
      <c r="S152" s="371">
        <v>3263.2182366816119</v>
      </c>
      <c r="T152" s="371">
        <v>3434.4097622133909</v>
      </c>
      <c r="U152" s="371">
        <v>4170.1486219426661</v>
      </c>
      <c r="V152" s="371">
        <v>3426.7157610658946</v>
      </c>
      <c r="W152" s="371">
        <v>2818.8896704137346</v>
      </c>
      <c r="X152" s="371">
        <v>3818.1480694447378</v>
      </c>
      <c r="Y152" s="371">
        <v>3610.4100384623539</v>
      </c>
      <c r="Z152" s="371">
        <v>3862.3885760428379</v>
      </c>
      <c r="AA152" s="371">
        <v>3586.3662848764302</v>
      </c>
      <c r="AB152" s="371">
        <v>2695.7856520538039</v>
      </c>
      <c r="AC152" s="371">
        <v>2282.2330903759103</v>
      </c>
      <c r="AD152" s="371">
        <v>2920.8351856180529</v>
      </c>
      <c r="AE152" s="371">
        <v>0</v>
      </c>
      <c r="AF152" s="385">
        <f t="shared" si="60"/>
        <v>3120</v>
      </c>
      <c r="AG152" s="371">
        <v>1621.2406353011688</v>
      </c>
      <c r="AH152" s="371">
        <v>1498.7593646988314</v>
      </c>
      <c r="AI152" s="387">
        <f t="shared" si="50"/>
        <v>0</v>
      </c>
    </row>
    <row r="153" spans="1:35" s="393" customFormat="1" ht="24" customHeight="1">
      <c r="A153" s="397" t="s">
        <v>1</v>
      </c>
      <c r="B153" s="428" t="s">
        <v>1123</v>
      </c>
      <c r="C153" s="395" t="s">
        <v>467</v>
      </c>
      <c r="D153" s="396">
        <v>3</v>
      </c>
      <c r="E153" s="385">
        <f t="shared" si="57"/>
        <v>56544</v>
      </c>
      <c r="F153" s="368">
        <v>56544</v>
      </c>
      <c r="G153" s="368">
        <v>0</v>
      </c>
      <c r="H153" s="385">
        <f t="shared" si="58"/>
        <v>25744</v>
      </c>
      <c r="I153" s="371">
        <v>6711</v>
      </c>
      <c r="J153" s="371">
        <v>5411</v>
      </c>
      <c r="K153" s="371">
        <v>6711</v>
      </c>
      <c r="L153" s="371">
        <v>0</v>
      </c>
      <c r="M153" s="371">
        <v>6711</v>
      </c>
      <c r="N153" s="371">
        <v>200</v>
      </c>
      <c r="O153" s="370">
        <v>0</v>
      </c>
      <c r="P153" s="386">
        <f t="shared" si="59"/>
        <v>30800</v>
      </c>
      <c r="Q153" s="371">
        <v>30000</v>
      </c>
      <c r="R153" s="371">
        <v>0</v>
      </c>
      <c r="S153" s="371">
        <v>0</v>
      </c>
      <c r="T153" s="371">
        <v>0</v>
      </c>
      <c r="U153" s="371">
        <v>0</v>
      </c>
      <c r="V153" s="371">
        <v>0</v>
      </c>
      <c r="W153" s="371">
        <v>0</v>
      </c>
      <c r="X153" s="371">
        <v>0</v>
      </c>
      <c r="Y153" s="371">
        <v>800</v>
      </c>
      <c r="Z153" s="371">
        <v>0</v>
      </c>
      <c r="AA153" s="371">
        <v>0</v>
      </c>
      <c r="AB153" s="371">
        <v>0</v>
      </c>
      <c r="AC153" s="371">
        <v>0</v>
      </c>
      <c r="AD153" s="371">
        <v>0</v>
      </c>
      <c r="AE153" s="371">
        <v>0</v>
      </c>
      <c r="AF153" s="385">
        <f t="shared" si="60"/>
        <v>0</v>
      </c>
      <c r="AG153" s="371">
        <v>0</v>
      </c>
      <c r="AH153" s="371">
        <v>0</v>
      </c>
      <c r="AI153" s="387">
        <f t="shared" si="50"/>
        <v>0</v>
      </c>
    </row>
    <row r="154" spans="1:35" s="393" customFormat="1" ht="24" customHeight="1">
      <c r="A154" s="397" t="s">
        <v>1</v>
      </c>
      <c r="B154" s="428" t="s">
        <v>1123</v>
      </c>
      <c r="C154" s="395" t="s">
        <v>461</v>
      </c>
      <c r="D154" s="396">
        <v>3</v>
      </c>
      <c r="E154" s="385">
        <f t="shared" si="57"/>
        <v>37212</v>
      </c>
      <c r="F154" s="368">
        <v>37212</v>
      </c>
      <c r="G154" s="368">
        <v>0</v>
      </c>
      <c r="H154" s="385">
        <f t="shared" si="58"/>
        <v>35827</v>
      </c>
      <c r="I154" s="371">
        <v>112</v>
      </c>
      <c r="J154" s="371">
        <v>90</v>
      </c>
      <c r="K154" s="371">
        <v>112</v>
      </c>
      <c r="L154" s="371">
        <v>35289</v>
      </c>
      <c r="M154" s="371">
        <v>112</v>
      </c>
      <c r="N154" s="371">
        <v>112</v>
      </c>
      <c r="O154" s="370">
        <v>0</v>
      </c>
      <c r="P154" s="386">
        <f t="shared" si="59"/>
        <v>1385</v>
      </c>
      <c r="Q154" s="371">
        <v>0</v>
      </c>
      <c r="R154" s="371">
        <v>0</v>
      </c>
      <c r="S154" s="371">
        <v>138</v>
      </c>
      <c r="T154" s="371">
        <v>0</v>
      </c>
      <c r="U154" s="371">
        <v>138</v>
      </c>
      <c r="V154" s="371">
        <v>0</v>
      </c>
      <c r="W154" s="371">
        <v>0</v>
      </c>
      <c r="X154" s="371">
        <v>0</v>
      </c>
      <c r="Y154" s="371">
        <v>347</v>
      </c>
      <c r="Z154" s="371">
        <v>552</v>
      </c>
      <c r="AA154" s="371">
        <v>210</v>
      </c>
      <c r="AB154" s="371">
        <v>0</v>
      </c>
      <c r="AC154" s="371">
        <v>0</v>
      </c>
      <c r="AD154" s="371">
        <v>0</v>
      </c>
      <c r="AE154" s="371">
        <v>0</v>
      </c>
      <c r="AF154" s="385">
        <f t="shared" si="60"/>
        <v>0</v>
      </c>
      <c r="AG154" s="371">
        <v>0</v>
      </c>
      <c r="AH154" s="371">
        <v>0</v>
      </c>
      <c r="AI154" s="387">
        <f t="shared" si="50"/>
        <v>0</v>
      </c>
    </row>
    <row r="155" spans="1:35" s="393" customFormat="1" ht="24" customHeight="1">
      <c r="A155" s="397" t="s">
        <v>1</v>
      </c>
      <c r="B155" s="428" t="s">
        <v>1123</v>
      </c>
      <c r="C155" s="395" t="s">
        <v>462</v>
      </c>
      <c r="D155" s="396">
        <v>3</v>
      </c>
      <c r="E155" s="385">
        <f t="shared" si="57"/>
        <v>1440000</v>
      </c>
      <c r="F155" s="368">
        <v>0</v>
      </c>
      <c r="G155" s="368">
        <v>1440000</v>
      </c>
      <c r="H155" s="385">
        <f t="shared" si="58"/>
        <v>558230</v>
      </c>
      <c r="I155" s="371">
        <v>0</v>
      </c>
      <c r="J155" s="371">
        <v>0</v>
      </c>
      <c r="K155" s="371">
        <v>92420</v>
      </c>
      <c r="L155" s="371">
        <v>129100</v>
      </c>
      <c r="M155" s="371">
        <v>63300</v>
      </c>
      <c r="N155" s="371">
        <v>64400</v>
      </c>
      <c r="O155" s="370">
        <v>209010</v>
      </c>
      <c r="P155" s="386">
        <f t="shared" si="59"/>
        <v>773370</v>
      </c>
      <c r="Q155" s="371">
        <v>21753</v>
      </c>
      <c r="R155" s="371">
        <v>73500</v>
      </c>
      <c r="S155" s="371">
        <v>0</v>
      </c>
      <c r="T155" s="371">
        <v>0</v>
      </c>
      <c r="U155" s="371">
        <v>15000</v>
      </c>
      <c r="V155" s="371">
        <v>7200</v>
      </c>
      <c r="W155" s="371">
        <v>15000</v>
      </c>
      <c r="X155" s="371">
        <v>0</v>
      </c>
      <c r="Y155" s="371">
        <v>13500</v>
      </c>
      <c r="Z155" s="371">
        <v>0</v>
      </c>
      <c r="AA155" s="371">
        <v>60000</v>
      </c>
      <c r="AB155" s="371">
        <v>3360</v>
      </c>
      <c r="AC155" s="371">
        <v>100000</v>
      </c>
      <c r="AD155" s="371">
        <v>100000</v>
      </c>
      <c r="AE155" s="371">
        <v>364057</v>
      </c>
      <c r="AF155" s="385">
        <f t="shared" si="60"/>
        <v>108400</v>
      </c>
      <c r="AG155" s="371">
        <v>5775</v>
      </c>
      <c r="AH155" s="371">
        <v>102625</v>
      </c>
      <c r="AI155" s="387">
        <f t="shared" si="50"/>
        <v>0</v>
      </c>
    </row>
    <row r="156" spans="1:35" s="393" customFormat="1" ht="24" customHeight="1">
      <c r="A156" s="397" t="s">
        <v>1</v>
      </c>
      <c r="B156" s="428" t="s">
        <v>1123</v>
      </c>
      <c r="C156" s="395" t="s">
        <v>643</v>
      </c>
      <c r="D156" s="396">
        <v>3</v>
      </c>
      <c r="E156" s="385">
        <f t="shared" si="57"/>
        <v>2741611</v>
      </c>
      <c r="F156" s="368">
        <v>1989100</v>
      </c>
      <c r="G156" s="368">
        <v>752511</v>
      </c>
      <c r="H156" s="385">
        <f t="shared" si="58"/>
        <v>2741611</v>
      </c>
      <c r="I156" s="371">
        <v>0</v>
      </c>
      <c r="J156" s="371">
        <v>2741611</v>
      </c>
      <c r="K156" s="371">
        <v>0</v>
      </c>
      <c r="L156" s="371">
        <v>0</v>
      </c>
      <c r="M156" s="371">
        <v>0</v>
      </c>
      <c r="N156" s="371">
        <v>0</v>
      </c>
      <c r="O156" s="370">
        <v>0</v>
      </c>
      <c r="P156" s="386">
        <f t="shared" si="59"/>
        <v>0</v>
      </c>
      <c r="Q156" s="371">
        <v>0</v>
      </c>
      <c r="R156" s="371">
        <v>0</v>
      </c>
      <c r="S156" s="371">
        <v>0</v>
      </c>
      <c r="T156" s="371">
        <v>0</v>
      </c>
      <c r="U156" s="371">
        <v>0</v>
      </c>
      <c r="V156" s="371">
        <v>0</v>
      </c>
      <c r="W156" s="371">
        <v>0</v>
      </c>
      <c r="X156" s="371">
        <v>0</v>
      </c>
      <c r="Y156" s="371">
        <v>0</v>
      </c>
      <c r="Z156" s="371">
        <v>0</v>
      </c>
      <c r="AA156" s="371">
        <v>0</v>
      </c>
      <c r="AB156" s="371">
        <v>0</v>
      </c>
      <c r="AC156" s="371">
        <v>0</v>
      </c>
      <c r="AD156" s="371">
        <v>0</v>
      </c>
      <c r="AE156" s="371">
        <v>0</v>
      </c>
      <c r="AF156" s="385">
        <f t="shared" si="60"/>
        <v>0</v>
      </c>
      <c r="AG156" s="371">
        <v>0</v>
      </c>
      <c r="AH156" s="371">
        <v>0</v>
      </c>
      <c r="AI156" s="387">
        <f t="shared" si="50"/>
        <v>0</v>
      </c>
    </row>
    <row r="157" spans="1:35" s="410" customFormat="1" ht="24" customHeight="1">
      <c r="A157" s="411" t="s">
        <v>1</v>
      </c>
      <c r="B157" s="430" t="s">
        <v>1124</v>
      </c>
      <c r="C157" s="413" t="s">
        <v>645</v>
      </c>
      <c r="D157" s="414">
        <v>3</v>
      </c>
      <c r="E157" s="415">
        <f t="shared" si="57"/>
        <v>576</v>
      </c>
      <c r="F157" s="415">
        <v>576</v>
      </c>
      <c r="G157" s="415">
        <v>0</v>
      </c>
      <c r="H157" s="415">
        <f t="shared" si="58"/>
        <v>576</v>
      </c>
      <c r="I157" s="415">
        <v>0</v>
      </c>
      <c r="J157" s="415">
        <v>0</v>
      </c>
      <c r="K157" s="415">
        <v>0</v>
      </c>
      <c r="L157" s="415">
        <v>0</v>
      </c>
      <c r="M157" s="415">
        <v>0</v>
      </c>
      <c r="N157" s="415">
        <v>0</v>
      </c>
      <c r="O157" s="416">
        <v>576</v>
      </c>
      <c r="P157" s="416">
        <f t="shared" si="59"/>
        <v>0</v>
      </c>
      <c r="Q157" s="415">
        <v>0</v>
      </c>
      <c r="R157" s="415">
        <v>0</v>
      </c>
      <c r="S157" s="415">
        <v>0</v>
      </c>
      <c r="T157" s="415">
        <v>0</v>
      </c>
      <c r="U157" s="415">
        <v>0</v>
      </c>
      <c r="V157" s="415">
        <v>0</v>
      </c>
      <c r="W157" s="415">
        <v>0</v>
      </c>
      <c r="X157" s="415">
        <v>0</v>
      </c>
      <c r="Y157" s="415">
        <v>0</v>
      </c>
      <c r="Z157" s="415">
        <v>0</v>
      </c>
      <c r="AA157" s="415">
        <v>0</v>
      </c>
      <c r="AB157" s="415">
        <v>0</v>
      </c>
      <c r="AC157" s="415">
        <v>0</v>
      </c>
      <c r="AD157" s="415">
        <v>0</v>
      </c>
      <c r="AE157" s="415">
        <v>0</v>
      </c>
      <c r="AF157" s="415">
        <f t="shared" si="60"/>
        <v>0</v>
      </c>
      <c r="AG157" s="415">
        <v>0</v>
      </c>
      <c r="AH157" s="415">
        <v>0</v>
      </c>
      <c r="AI157" s="387">
        <f t="shared" si="50"/>
        <v>0</v>
      </c>
    </row>
    <row r="158" spans="1:35" s="404" customFormat="1" ht="24" customHeight="1">
      <c r="A158" s="398" t="s">
        <v>915</v>
      </c>
      <c r="B158" s="399"/>
      <c r="C158" s="400"/>
      <c r="D158" s="401"/>
      <c r="E158" s="402">
        <f t="shared" ref="E158:AH158" si="61">SUM(E159:E172)</f>
        <v>108277</v>
      </c>
      <c r="F158" s="402">
        <f t="shared" si="61"/>
        <v>108277</v>
      </c>
      <c r="G158" s="402">
        <f t="shared" si="61"/>
        <v>0</v>
      </c>
      <c r="H158" s="402">
        <f t="shared" si="61"/>
        <v>66956</v>
      </c>
      <c r="I158" s="402">
        <f t="shared" si="61"/>
        <v>14064</v>
      </c>
      <c r="J158" s="402">
        <f t="shared" si="61"/>
        <v>1140</v>
      </c>
      <c r="K158" s="402">
        <f t="shared" si="61"/>
        <v>8913</v>
      </c>
      <c r="L158" s="402">
        <f t="shared" si="61"/>
        <v>15813</v>
      </c>
      <c r="M158" s="402">
        <f t="shared" si="61"/>
        <v>14886</v>
      </c>
      <c r="N158" s="402">
        <f t="shared" si="61"/>
        <v>12140</v>
      </c>
      <c r="O158" s="402">
        <f t="shared" si="61"/>
        <v>0</v>
      </c>
      <c r="P158" s="402">
        <f t="shared" si="61"/>
        <v>40904</v>
      </c>
      <c r="Q158" s="402">
        <f t="shared" si="61"/>
        <v>2168</v>
      </c>
      <c r="R158" s="402">
        <f t="shared" si="61"/>
        <v>2447</v>
      </c>
      <c r="S158" s="402">
        <f t="shared" si="61"/>
        <v>4767</v>
      </c>
      <c r="T158" s="402">
        <f t="shared" si="61"/>
        <v>5901</v>
      </c>
      <c r="U158" s="402">
        <f t="shared" si="61"/>
        <v>2359</v>
      </c>
      <c r="V158" s="402">
        <f t="shared" si="61"/>
        <v>4257</v>
      </c>
      <c r="W158" s="402">
        <f t="shared" si="61"/>
        <v>4174</v>
      </c>
      <c r="X158" s="402">
        <f t="shared" si="61"/>
        <v>5293</v>
      </c>
      <c r="Y158" s="402">
        <f t="shared" si="61"/>
        <v>1629</v>
      </c>
      <c r="Z158" s="402">
        <f t="shared" si="61"/>
        <v>2135</v>
      </c>
      <c r="AA158" s="402">
        <f t="shared" si="61"/>
        <v>308</v>
      </c>
      <c r="AB158" s="402">
        <f t="shared" si="61"/>
        <v>2228</v>
      </c>
      <c r="AC158" s="402">
        <f t="shared" si="61"/>
        <v>1542</v>
      </c>
      <c r="AD158" s="402">
        <f t="shared" si="61"/>
        <v>1696</v>
      </c>
      <c r="AE158" s="402">
        <f t="shared" si="61"/>
        <v>0</v>
      </c>
      <c r="AF158" s="402">
        <f t="shared" si="61"/>
        <v>417</v>
      </c>
      <c r="AG158" s="402">
        <f t="shared" si="61"/>
        <v>195</v>
      </c>
      <c r="AH158" s="402">
        <f t="shared" si="61"/>
        <v>222</v>
      </c>
      <c r="AI158" s="387">
        <f t="shared" si="50"/>
        <v>0</v>
      </c>
    </row>
    <row r="159" spans="1:35" s="410" customFormat="1" ht="34.5" customHeight="1">
      <c r="A159" s="429" t="s">
        <v>237</v>
      </c>
      <c r="B159" s="430" t="s">
        <v>238</v>
      </c>
      <c r="C159" s="413" t="s">
        <v>654</v>
      </c>
      <c r="D159" s="414">
        <v>1</v>
      </c>
      <c r="E159" s="415">
        <f t="shared" ref="E159:E172" si="62">SUM(H159,P159,AF159)</f>
        <v>80580</v>
      </c>
      <c r="F159" s="415">
        <v>80580</v>
      </c>
      <c r="G159" s="415"/>
      <c r="H159" s="415">
        <f t="shared" ref="H159:H172" si="63">SUM(I159:O159)</f>
        <v>47362</v>
      </c>
      <c r="I159" s="415">
        <v>13008</v>
      </c>
      <c r="J159" s="415">
        <v>1140</v>
      </c>
      <c r="K159" s="415">
        <v>8913</v>
      </c>
      <c r="L159" s="415">
        <v>6213</v>
      </c>
      <c r="M159" s="415">
        <v>7206</v>
      </c>
      <c r="N159" s="415">
        <v>10882</v>
      </c>
      <c r="O159" s="416"/>
      <c r="P159" s="416">
        <f t="shared" ref="P159:P172" si="64">SUM(Q159:AE159)</f>
        <v>32801</v>
      </c>
      <c r="Q159" s="415">
        <v>2168</v>
      </c>
      <c r="R159" s="415">
        <v>1967</v>
      </c>
      <c r="S159" s="415">
        <v>2847</v>
      </c>
      <c r="T159" s="415">
        <v>3745</v>
      </c>
      <c r="U159" s="415">
        <v>2297</v>
      </c>
      <c r="V159" s="415">
        <v>3105</v>
      </c>
      <c r="W159" s="415">
        <v>3034</v>
      </c>
      <c r="X159" s="415">
        <v>5101</v>
      </c>
      <c r="Y159" s="415">
        <v>1629</v>
      </c>
      <c r="Z159" s="415">
        <v>1914</v>
      </c>
      <c r="AA159" s="415">
        <v>308</v>
      </c>
      <c r="AB159" s="415">
        <v>2228</v>
      </c>
      <c r="AC159" s="415">
        <v>1062</v>
      </c>
      <c r="AD159" s="415">
        <v>1396</v>
      </c>
      <c r="AE159" s="415">
        <v>0</v>
      </c>
      <c r="AF159" s="415">
        <f t="shared" ref="AF159:AF172" si="65">SUM(AG159:AH159)</f>
        <v>417</v>
      </c>
      <c r="AG159" s="415">
        <v>195</v>
      </c>
      <c r="AH159" s="415">
        <v>222</v>
      </c>
      <c r="AI159" s="502">
        <f t="shared" si="50"/>
        <v>0</v>
      </c>
    </row>
    <row r="160" spans="1:35" s="393" customFormat="1" ht="34.5" customHeight="1">
      <c r="A160" s="427" t="s">
        <v>237</v>
      </c>
      <c r="B160" s="503" t="s">
        <v>655</v>
      </c>
      <c r="C160" s="366" t="s">
        <v>656</v>
      </c>
      <c r="D160" s="396">
        <v>1</v>
      </c>
      <c r="E160" s="385">
        <f t="shared" si="62"/>
        <v>1056</v>
      </c>
      <c r="F160" s="368">
        <v>1056</v>
      </c>
      <c r="G160" s="368"/>
      <c r="H160" s="385">
        <f t="shared" si="63"/>
        <v>1056</v>
      </c>
      <c r="I160" s="371">
        <v>1056</v>
      </c>
      <c r="J160" s="371"/>
      <c r="K160" s="371"/>
      <c r="L160" s="371"/>
      <c r="M160" s="371"/>
      <c r="N160" s="371"/>
      <c r="O160" s="370"/>
      <c r="P160" s="386">
        <f t="shared" si="64"/>
        <v>0</v>
      </c>
      <c r="Q160" s="371"/>
      <c r="R160" s="371"/>
      <c r="S160" s="371"/>
      <c r="T160" s="371"/>
      <c r="U160" s="371"/>
      <c r="V160" s="371"/>
      <c r="W160" s="371"/>
      <c r="X160" s="371"/>
      <c r="Y160" s="371"/>
      <c r="Z160" s="371"/>
      <c r="AA160" s="371"/>
      <c r="AB160" s="371"/>
      <c r="AC160" s="371"/>
      <c r="AD160" s="371"/>
      <c r="AE160" s="371"/>
      <c r="AF160" s="385">
        <f t="shared" si="65"/>
        <v>0</v>
      </c>
      <c r="AG160" s="371"/>
      <c r="AH160" s="371"/>
      <c r="AI160" s="387">
        <f t="shared" si="50"/>
        <v>0</v>
      </c>
    </row>
    <row r="161" spans="1:35" s="393" customFormat="1" ht="31.5" customHeight="1">
      <c r="A161" s="427" t="s">
        <v>237</v>
      </c>
      <c r="B161" s="503" t="s">
        <v>913</v>
      </c>
      <c r="C161" s="366" t="s">
        <v>656</v>
      </c>
      <c r="D161" s="396">
        <v>1</v>
      </c>
      <c r="E161" s="385">
        <f t="shared" si="62"/>
        <v>960</v>
      </c>
      <c r="F161" s="368">
        <v>960</v>
      </c>
      <c r="G161" s="368"/>
      <c r="H161" s="385">
        <f t="shared" si="63"/>
        <v>0</v>
      </c>
      <c r="I161" s="371"/>
      <c r="J161" s="371"/>
      <c r="K161" s="371"/>
      <c r="L161" s="371"/>
      <c r="M161" s="371"/>
      <c r="N161" s="371"/>
      <c r="O161" s="370"/>
      <c r="P161" s="386">
        <f t="shared" si="64"/>
        <v>960</v>
      </c>
      <c r="Q161" s="371"/>
      <c r="R161" s="371">
        <v>480</v>
      </c>
      <c r="S161" s="371"/>
      <c r="T161" s="371"/>
      <c r="U161" s="371"/>
      <c r="V161" s="371"/>
      <c r="W161" s="371"/>
      <c r="X161" s="371"/>
      <c r="Y161" s="371"/>
      <c r="Z161" s="371"/>
      <c r="AA161" s="371"/>
      <c r="AB161" s="371"/>
      <c r="AC161" s="371">
        <v>480</v>
      </c>
      <c r="AD161" s="371"/>
      <c r="AE161" s="371"/>
      <c r="AF161" s="385">
        <f t="shared" si="65"/>
        <v>0</v>
      </c>
      <c r="AG161" s="371"/>
      <c r="AH161" s="371"/>
      <c r="AI161" s="387">
        <f t="shared" si="50"/>
        <v>0</v>
      </c>
    </row>
    <row r="162" spans="1:35" s="393" customFormat="1" ht="32.450000000000003" customHeight="1">
      <c r="A162" s="427" t="s">
        <v>237</v>
      </c>
      <c r="B162" s="503" t="s">
        <v>658</v>
      </c>
      <c r="C162" s="366" t="s">
        <v>656</v>
      </c>
      <c r="D162" s="396">
        <v>1</v>
      </c>
      <c r="E162" s="385">
        <f t="shared" si="62"/>
        <v>1920</v>
      </c>
      <c r="F162" s="368">
        <v>1920</v>
      </c>
      <c r="G162" s="368"/>
      <c r="H162" s="385">
        <f t="shared" si="63"/>
        <v>0</v>
      </c>
      <c r="I162" s="371"/>
      <c r="J162" s="371"/>
      <c r="K162" s="371"/>
      <c r="L162" s="371"/>
      <c r="M162" s="371"/>
      <c r="N162" s="371"/>
      <c r="O162" s="370"/>
      <c r="P162" s="386">
        <f t="shared" si="64"/>
        <v>1920</v>
      </c>
      <c r="Q162" s="371"/>
      <c r="R162" s="371"/>
      <c r="S162" s="371">
        <v>1920</v>
      </c>
      <c r="T162" s="371"/>
      <c r="U162" s="371"/>
      <c r="V162" s="371"/>
      <c r="W162" s="371"/>
      <c r="X162" s="371"/>
      <c r="Y162" s="371"/>
      <c r="Z162" s="371"/>
      <c r="AA162" s="371"/>
      <c r="AB162" s="371"/>
      <c r="AC162" s="371"/>
      <c r="AD162" s="371"/>
      <c r="AE162" s="371"/>
      <c r="AF162" s="385">
        <f t="shared" si="65"/>
        <v>0</v>
      </c>
      <c r="AG162" s="371"/>
      <c r="AH162" s="371"/>
      <c r="AI162" s="387">
        <f t="shared" si="50"/>
        <v>0</v>
      </c>
    </row>
    <row r="163" spans="1:35" s="393" customFormat="1" ht="33.950000000000003" customHeight="1">
      <c r="A163" s="427" t="s">
        <v>237</v>
      </c>
      <c r="B163" s="503" t="s">
        <v>659</v>
      </c>
      <c r="C163" s="366" t="s">
        <v>656</v>
      </c>
      <c r="D163" s="396">
        <v>1</v>
      </c>
      <c r="E163" s="385">
        <f t="shared" si="62"/>
        <v>9600</v>
      </c>
      <c r="F163" s="368">
        <v>9600</v>
      </c>
      <c r="G163" s="368"/>
      <c r="H163" s="385">
        <f t="shared" si="63"/>
        <v>9600</v>
      </c>
      <c r="I163" s="371"/>
      <c r="J163" s="371"/>
      <c r="K163" s="371"/>
      <c r="L163" s="371">
        <v>9600</v>
      </c>
      <c r="M163" s="371"/>
      <c r="N163" s="371"/>
      <c r="O163" s="370"/>
      <c r="P163" s="386">
        <f t="shared" si="64"/>
        <v>0</v>
      </c>
      <c r="Q163" s="371"/>
      <c r="R163" s="371"/>
      <c r="S163" s="371"/>
      <c r="T163" s="371"/>
      <c r="U163" s="371"/>
      <c r="V163" s="371"/>
      <c r="W163" s="371"/>
      <c r="X163" s="371"/>
      <c r="Y163" s="371"/>
      <c r="Z163" s="371"/>
      <c r="AA163" s="371"/>
      <c r="AB163" s="371"/>
      <c r="AC163" s="371"/>
      <c r="AD163" s="371"/>
      <c r="AE163" s="371"/>
      <c r="AF163" s="385">
        <f t="shared" si="65"/>
        <v>0</v>
      </c>
      <c r="AG163" s="371"/>
      <c r="AH163" s="371"/>
      <c r="AI163" s="387">
        <f t="shared" si="50"/>
        <v>0</v>
      </c>
    </row>
    <row r="164" spans="1:35" s="393" customFormat="1" ht="35.1" customHeight="1">
      <c r="A164" s="427" t="s">
        <v>237</v>
      </c>
      <c r="B164" s="503" t="s">
        <v>661</v>
      </c>
      <c r="C164" s="366" t="s">
        <v>656</v>
      </c>
      <c r="D164" s="396">
        <v>1</v>
      </c>
      <c r="E164" s="385">
        <f t="shared" si="62"/>
        <v>62</v>
      </c>
      <c r="F164" s="368">
        <v>62</v>
      </c>
      <c r="G164" s="368"/>
      <c r="H164" s="385">
        <f t="shared" si="63"/>
        <v>0</v>
      </c>
      <c r="I164" s="371"/>
      <c r="J164" s="371"/>
      <c r="K164" s="371"/>
      <c r="L164" s="371"/>
      <c r="M164" s="371"/>
      <c r="N164" s="371"/>
      <c r="O164" s="370"/>
      <c r="P164" s="386">
        <f t="shared" si="64"/>
        <v>62</v>
      </c>
      <c r="Q164" s="371"/>
      <c r="R164" s="371"/>
      <c r="S164" s="371"/>
      <c r="T164" s="371"/>
      <c r="U164" s="371">
        <v>62</v>
      </c>
      <c r="V164" s="371"/>
      <c r="W164" s="371"/>
      <c r="X164" s="371"/>
      <c r="Y164" s="371"/>
      <c r="Z164" s="371"/>
      <c r="AA164" s="371"/>
      <c r="AB164" s="371"/>
      <c r="AC164" s="371"/>
      <c r="AD164" s="371"/>
      <c r="AE164" s="371"/>
      <c r="AF164" s="385">
        <f t="shared" si="65"/>
        <v>0</v>
      </c>
      <c r="AG164" s="371"/>
      <c r="AH164" s="371"/>
      <c r="AI164" s="387">
        <f t="shared" si="50"/>
        <v>0</v>
      </c>
    </row>
    <row r="165" spans="1:35" s="393" customFormat="1" ht="33.6" customHeight="1">
      <c r="A165" s="427" t="s">
        <v>237</v>
      </c>
      <c r="B165" s="503" t="s">
        <v>663</v>
      </c>
      <c r="C165" s="366" t="s">
        <v>656</v>
      </c>
      <c r="D165" s="396">
        <v>1</v>
      </c>
      <c r="E165" s="385">
        <f t="shared" si="62"/>
        <v>2156</v>
      </c>
      <c r="F165" s="368">
        <v>2156</v>
      </c>
      <c r="G165" s="368"/>
      <c r="H165" s="385">
        <f t="shared" si="63"/>
        <v>0</v>
      </c>
      <c r="I165" s="371"/>
      <c r="J165" s="371"/>
      <c r="K165" s="371"/>
      <c r="L165" s="371"/>
      <c r="M165" s="371"/>
      <c r="N165" s="371"/>
      <c r="O165" s="370"/>
      <c r="P165" s="386">
        <f t="shared" si="64"/>
        <v>2156</v>
      </c>
      <c r="Q165" s="371"/>
      <c r="R165" s="371"/>
      <c r="S165" s="371"/>
      <c r="T165" s="371">
        <v>2156</v>
      </c>
      <c r="U165" s="371"/>
      <c r="V165" s="371"/>
      <c r="W165" s="371"/>
      <c r="X165" s="371"/>
      <c r="Y165" s="371"/>
      <c r="Z165" s="371"/>
      <c r="AA165" s="371"/>
      <c r="AB165" s="371"/>
      <c r="AC165" s="371"/>
      <c r="AD165" s="371"/>
      <c r="AE165" s="371"/>
      <c r="AF165" s="385">
        <f t="shared" si="65"/>
        <v>0</v>
      </c>
      <c r="AG165" s="371"/>
      <c r="AH165" s="371"/>
      <c r="AI165" s="387">
        <f t="shared" si="50"/>
        <v>0</v>
      </c>
    </row>
    <row r="166" spans="1:35" s="393" customFormat="1" ht="35.450000000000003" customHeight="1">
      <c r="A166" s="427" t="s">
        <v>237</v>
      </c>
      <c r="B166" s="503" t="s">
        <v>664</v>
      </c>
      <c r="C166" s="366" t="s">
        <v>656</v>
      </c>
      <c r="D166" s="396">
        <v>1</v>
      </c>
      <c r="E166" s="385">
        <f t="shared" si="62"/>
        <v>1152</v>
      </c>
      <c r="F166" s="368">
        <v>1152</v>
      </c>
      <c r="G166" s="368"/>
      <c r="H166" s="385">
        <f t="shared" si="63"/>
        <v>0</v>
      </c>
      <c r="I166" s="371"/>
      <c r="J166" s="371"/>
      <c r="K166" s="371"/>
      <c r="L166" s="371"/>
      <c r="M166" s="371"/>
      <c r="N166" s="371"/>
      <c r="O166" s="370"/>
      <c r="P166" s="386">
        <f t="shared" si="64"/>
        <v>1152</v>
      </c>
      <c r="Q166" s="371"/>
      <c r="R166" s="371"/>
      <c r="S166" s="371"/>
      <c r="T166" s="371"/>
      <c r="U166" s="371"/>
      <c r="V166" s="371">
        <v>1152</v>
      </c>
      <c r="W166" s="371"/>
      <c r="X166" s="371"/>
      <c r="Y166" s="371"/>
      <c r="Z166" s="371"/>
      <c r="AA166" s="371"/>
      <c r="AB166" s="371"/>
      <c r="AC166" s="371"/>
      <c r="AD166" s="371"/>
      <c r="AE166" s="371"/>
      <c r="AF166" s="385">
        <f t="shared" si="65"/>
        <v>0</v>
      </c>
      <c r="AG166" s="371"/>
      <c r="AH166" s="371"/>
      <c r="AI166" s="387">
        <f t="shared" si="50"/>
        <v>0</v>
      </c>
    </row>
    <row r="167" spans="1:35" s="393" customFormat="1" ht="35.1" customHeight="1">
      <c r="A167" s="427" t="s">
        <v>237</v>
      </c>
      <c r="B167" s="503" t="s">
        <v>665</v>
      </c>
      <c r="C167" s="366" t="s">
        <v>656</v>
      </c>
      <c r="D167" s="396">
        <v>1</v>
      </c>
      <c r="E167" s="385">
        <f t="shared" si="62"/>
        <v>1440</v>
      </c>
      <c r="F167" s="368">
        <v>1440</v>
      </c>
      <c r="G167" s="368"/>
      <c r="H167" s="385">
        <f t="shared" si="63"/>
        <v>0</v>
      </c>
      <c r="I167" s="371"/>
      <c r="J167" s="371"/>
      <c r="K167" s="371"/>
      <c r="L167" s="371"/>
      <c r="M167" s="371"/>
      <c r="N167" s="371"/>
      <c r="O167" s="370"/>
      <c r="P167" s="386">
        <f t="shared" si="64"/>
        <v>1440</v>
      </c>
      <c r="Q167" s="371"/>
      <c r="R167" s="371"/>
      <c r="S167" s="371"/>
      <c r="T167" s="371"/>
      <c r="U167" s="371"/>
      <c r="V167" s="371"/>
      <c r="W167" s="371">
        <v>1140</v>
      </c>
      <c r="X167" s="371"/>
      <c r="Y167" s="371"/>
      <c r="Z167" s="371"/>
      <c r="AA167" s="371"/>
      <c r="AB167" s="371"/>
      <c r="AC167" s="371"/>
      <c r="AD167" s="371">
        <v>300</v>
      </c>
      <c r="AE167" s="371"/>
      <c r="AF167" s="385">
        <f t="shared" si="65"/>
        <v>0</v>
      </c>
      <c r="AG167" s="371"/>
      <c r="AH167" s="371"/>
      <c r="AI167" s="387">
        <f t="shared" si="50"/>
        <v>0</v>
      </c>
    </row>
    <row r="168" spans="1:35" s="393" customFormat="1" ht="36.6" customHeight="1">
      <c r="A168" s="427" t="s">
        <v>237</v>
      </c>
      <c r="B168" s="503" t="s">
        <v>666</v>
      </c>
      <c r="C168" s="366" t="s">
        <v>656</v>
      </c>
      <c r="D168" s="396">
        <v>1</v>
      </c>
      <c r="E168" s="385">
        <f t="shared" si="62"/>
        <v>7680</v>
      </c>
      <c r="F168" s="368">
        <v>7680</v>
      </c>
      <c r="G168" s="368"/>
      <c r="H168" s="385">
        <f t="shared" si="63"/>
        <v>7680</v>
      </c>
      <c r="I168" s="371"/>
      <c r="J168" s="371"/>
      <c r="K168" s="371"/>
      <c r="L168" s="371"/>
      <c r="M168" s="371">
        <v>7680</v>
      </c>
      <c r="N168" s="371"/>
      <c r="O168" s="370"/>
      <c r="P168" s="386">
        <f t="shared" si="64"/>
        <v>0</v>
      </c>
      <c r="Q168" s="371"/>
      <c r="R168" s="371"/>
      <c r="S168" s="371"/>
      <c r="T168" s="371"/>
      <c r="U168" s="371"/>
      <c r="V168" s="371"/>
      <c r="W168" s="371"/>
      <c r="X168" s="371"/>
      <c r="Y168" s="371"/>
      <c r="Z168" s="371"/>
      <c r="AA168" s="371"/>
      <c r="AB168" s="371"/>
      <c r="AC168" s="371"/>
      <c r="AD168" s="371"/>
      <c r="AE168" s="371"/>
      <c r="AF168" s="385">
        <f t="shared" si="65"/>
        <v>0</v>
      </c>
      <c r="AG168" s="371"/>
      <c r="AH168" s="371"/>
      <c r="AI168" s="387">
        <f t="shared" si="50"/>
        <v>0</v>
      </c>
    </row>
    <row r="169" spans="1:35" s="393" customFormat="1" ht="32.450000000000003" customHeight="1">
      <c r="A169" s="427" t="s">
        <v>237</v>
      </c>
      <c r="B169" s="503" t="s">
        <v>914</v>
      </c>
      <c r="C169" s="366" t="s">
        <v>656</v>
      </c>
      <c r="D169" s="396">
        <v>1</v>
      </c>
      <c r="E169" s="385">
        <f t="shared" si="62"/>
        <v>317</v>
      </c>
      <c r="F169" s="368">
        <v>317</v>
      </c>
      <c r="G169" s="368"/>
      <c r="H169" s="385">
        <f t="shared" si="63"/>
        <v>317</v>
      </c>
      <c r="I169" s="371"/>
      <c r="J169" s="371"/>
      <c r="K169" s="371"/>
      <c r="L169" s="371"/>
      <c r="M169" s="371"/>
      <c r="N169" s="371">
        <v>317</v>
      </c>
      <c r="O169" s="370"/>
      <c r="P169" s="386">
        <f t="shared" si="64"/>
        <v>0</v>
      </c>
      <c r="Q169" s="371"/>
      <c r="R169" s="371"/>
      <c r="S169" s="371"/>
      <c r="T169" s="371"/>
      <c r="U169" s="371"/>
      <c r="V169" s="371"/>
      <c r="W169" s="371"/>
      <c r="X169" s="371"/>
      <c r="Y169" s="371"/>
      <c r="Z169" s="371"/>
      <c r="AA169" s="371"/>
      <c r="AB169" s="371"/>
      <c r="AC169" s="371"/>
      <c r="AD169" s="371"/>
      <c r="AE169" s="371"/>
      <c r="AF169" s="385">
        <f t="shared" si="65"/>
        <v>0</v>
      </c>
      <c r="AG169" s="371"/>
      <c r="AH169" s="371"/>
      <c r="AI169" s="387">
        <f t="shared" si="50"/>
        <v>0</v>
      </c>
    </row>
    <row r="170" spans="1:35" s="393" customFormat="1" ht="35.1" customHeight="1">
      <c r="A170" s="427" t="s">
        <v>237</v>
      </c>
      <c r="B170" s="503" t="s">
        <v>667</v>
      </c>
      <c r="C170" s="366" t="s">
        <v>656</v>
      </c>
      <c r="D170" s="396">
        <v>1</v>
      </c>
      <c r="E170" s="385">
        <f t="shared" si="62"/>
        <v>941</v>
      </c>
      <c r="F170" s="368">
        <v>941</v>
      </c>
      <c r="G170" s="368"/>
      <c r="H170" s="385">
        <f t="shared" si="63"/>
        <v>941</v>
      </c>
      <c r="I170" s="371"/>
      <c r="J170" s="371"/>
      <c r="K170" s="371"/>
      <c r="L170" s="371"/>
      <c r="M170" s="371"/>
      <c r="N170" s="371">
        <v>941</v>
      </c>
      <c r="O170" s="370"/>
      <c r="P170" s="386">
        <f t="shared" si="64"/>
        <v>0</v>
      </c>
      <c r="Q170" s="371"/>
      <c r="R170" s="371"/>
      <c r="S170" s="371"/>
      <c r="T170" s="371"/>
      <c r="U170" s="371"/>
      <c r="V170" s="371"/>
      <c r="W170" s="371"/>
      <c r="X170" s="371"/>
      <c r="Y170" s="371"/>
      <c r="Z170" s="371"/>
      <c r="AA170" s="371"/>
      <c r="AB170" s="371"/>
      <c r="AC170" s="371"/>
      <c r="AD170" s="371"/>
      <c r="AE170" s="371"/>
      <c r="AF170" s="385">
        <f t="shared" si="65"/>
        <v>0</v>
      </c>
      <c r="AG170" s="371"/>
      <c r="AH170" s="371"/>
      <c r="AI170" s="387">
        <f t="shared" si="50"/>
        <v>0</v>
      </c>
    </row>
    <row r="171" spans="1:35" s="393" customFormat="1" ht="33" customHeight="1">
      <c r="A171" s="427" t="s">
        <v>237</v>
      </c>
      <c r="B171" s="503" t="s">
        <v>668</v>
      </c>
      <c r="C171" s="366" t="s">
        <v>656</v>
      </c>
      <c r="D171" s="396">
        <v>1</v>
      </c>
      <c r="E171" s="385">
        <f t="shared" si="62"/>
        <v>192</v>
      </c>
      <c r="F171" s="368">
        <v>192</v>
      </c>
      <c r="G171" s="368"/>
      <c r="H171" s="385">
        <f t="shared" si="63"/>
        <v>0</v>
      </c>
      <c r="I171" s="371"/>
      <c r="J171" s="371"/>
      <c r="K171" s="371"/>
      <c r="L171" s="371"/>
      <c r="M171" s="371"/>
      <c r="N171" s="371"/>
      <c r="O171" s="370"/>
      <c r="P171" s="386">
        <f t="shared" si="64"/>
        <v>192</v>
      </c>
      <c r="Q171" s="371"/>
      <c r="R171" s="371"/>
      <c r="S171" s="371"/>
      <c r="T171" s="371"/>
      <c r="U171" s="371"/>
      <c r="V171" s="371"/>
      <c r="W171" s="371"/>
      <c r="X171" s="371">
        <v>192</v>
      </c>
      <c r="Y171" s="371"/>
      <c r="Z171" s="371"/>
      <c r="AA171" s="371"/>
      <c r="AB171" s="371"/>
      <c r="AC171" s="371"/>
      <c r="AD171" s="371"/>
      <c r="AE171" s="371"/>
      <c r="AF171" s="385">
        <f t="shared" si="65"/>
        <v>0</v>
      </c>
      <c r="AG171" s="371"/>
      <c r="AH171" s="371"/>
      <c r="AI171" s="387">
        <f t="shared" si="50"/>
        <v>0</v>
      </c>
    </row>
    <row r="172" spans="1:35" s="393" customFormat="1" ht="33.950000000000003" customHeight="1">
      <c r="A172" s="427" t="s">
        <v>237</v>
      </c>
      <c r="B172" s="503" t="s">
        <v>669</v>
      </c>
      <c r="C172" s="366" t="s">
        <v>656</v>
      </c>
      <c r="D172" s="396">
        <v>1</v>
      </c>
      <c r="E172" s="385">
        <f t="shared" si="62"/>
        <v>221</v>
      </c>
      <c r="F172" s="368">
        <v>221</v>
      </c>
      <c r="G172" s="368"/>
      <c r="H172" s="385">
        <f t="shared" si="63"/>
        <v>0</v>
      </c>
      <c r="I172" s="371"/>
      <c r="J172" s="371"/>
      <c r="K172" s="371"/>
      <c r="L172" s="371"/>
      <c r="M172" s="371"/>
      <c r="N172" s="371"/>
      <c r="O172" s="370"/>
      <c r="P172" s="386">
        <f t="shared" si="64"/>
        <v>221</v>
      </c>
      <c r="Q172" s="371"/>
      <c r="R172" s="371"/>
      <c r="S172" s="371"/>
      <c r="T172" s="371"/>
      <c r="U172" s="371"/>
      <c r="V172" s="371"/>
      <c r="W172" s="371"/>
      <c r="X172" s="371"/>
      <c r="Y172" s="371"/>
      <c r="Z172" s="371">
        <v>221</v>
      </c>
      <c r="AA172" s="371"/>
      <c r="AB172" s="371"/>
      <c r="AC172" s="371"/>
      <c r="AD172" s="371"/>
      <c r="AE172" s="371"/>
      <c r="AF172" s="385">
        <f t="shared" si="65"/>
        <v>0</v>
      </c>
      <c r="AG172" s="371"/>
      <c r="AH172" s="371"/>
      <c r="AI172" s="387">
        <f t="shared" si="50"/>
        <v>0</v>
      </c>
    </row>
    <row r="173" spans="1:35" s="404" customFormat="1" ht="24" customHeight="1">
      <c r="A173" s="398" t="s">
        <v>922</v>
      </c>
      <c r="B173" s="399"/>
      <c r="C173" s="400"/>
      <c r="D173" s="401"/>
      <c r="E173" s="402">
        <f t="shared" ref="E173:AH173" si="66">E174+E175</f>
        <v>964080</v>
      </c>
      <c r="F173" s="402">
        <f t="shared" si="66"/>
        <v>434978</v>
      </c>
      <c r="G173" s="402">
        <f t="shared" si="66"/>
        <v>529102</v>
      </c>
      <c r="H173" s="402">
        <f t="shared" si="66"/>
        <v>274492</v>
      </c>
      <c r="I173" s="402">
        <f t="shared" si="66"/>
        <v>100</v>
      </c>
      <c r="J173" s="402">
        <f t="shared" si="66"/>
        <v>0</v>
      </c>
      <c r="K173" s="402">
        <f t="shared" si="66"/>
        <v>0</v>
      </c>
      <c r="L173" s="402">
        <f t="shared" si="66"/>
        <v>60786</v>
      </c>
      <c r="M173" s="402">
        <f t="shared" si="66"/>
        <v>141392</v>
      </c>
      <c r="N173" s="402">
        <f t="shared" si="66"/>
        <v>10326</v>
      </c>
      <c r="O173" s="402">
        <f t="shared" si="66"/>
        <v>61888</v>
      </c>
      <c r="P173" s="402">
        <f t="shared" si="66"/>
        <v>192914</v>
      </c>
      <c r="Q173" s="402">
        <f t="shared" si="66"/>
        <v>3000</v>
      </c>
      <c r="R173" s="402">
        <f t="shared" si="66"/>
        <v>0</v>
      </c>
      <c r="S173" s="402">
        <f t="shared" si="66"/>
        <v>0</v>
      </c>
      <c r="T173" s="402">
        <f t="shared" si="66"/>
        <v>30688</v>
      </c>
      <c r="U173" s="402">
        <f t="shared" si="66"/>
        <v>13020</v>
      </c>
      <c r="V173" s="402">
        <f t="shared" si="66"/>
        <v>38155</v>
      </c>
      <c r="W173" s="402">
        <f t="shared" si="66"/>
        <v>4659</v>
      </c>
      <c r="X173" s="402">
        <f t="shared" si="66"/>
        <v>14139</v>
      </c>
      <c r="Y173" s="402">
        <f t="shared" si="66"/>
        <v>0</v>
      </c>
      <c r="Z173" s="402">
        <f t="shared" si="66"/>
        <v>0</v>
      </c>
      <c r="AA173" s="402">
        <f t="shared" si="66"/>
        <v>12273</v>
      </c>
      <c r="AB173" s="402">
        <f t="shared" si="66"/>
        <v>24980</v>
      </c>
      <c r="AC173" s="402">
        <f t="shared" si="66"/>
        <v>0</v>
      </c>
      <c r="AD173" s="402">
        <f t="shared" si="66"/>
        <v>0</v>
      </c>
      <c r="AE173" s="402">
        <f t="shared" si="66"/>
        <v>52000</v>
      </c>
      <c r="AF173" s="402">
        <f t="shared" si="66"/>
        <v>496674</v>
      </c>
      <c r="AG173" s="402">
        <f t="shared" si="66"/>
        <v>367924</v>
      </c>
      <c r="AH173" s="402">
        <f t="shared" si="66"/>
        <v>128750</v>
      </c>
      <c r="AI173" s="387">
        <f t="shared" si="50"/>
        <v>0</v>
      </c>
    </row>
    <row r="174" spans="1:35" s="410" customFormat="1" ht="35.1" customHeight="1">
      <c r="A174" s="411" t="s">
        <v>916</v>
      </c>
      <c r="B174" s="412" t="s">
        <v>600</v>
      </c>
      <c r="C174" s="413" t="s">
        <v>917</v>
      </c>
      <c r="D174" s="414">
        <v>4</v>
      </c>
      <c r="E174" s="415">
        <f>SUM(H174,P174,AF174)</f>
        <v>127678</v>
      </c>
      <c r="F174" s="415">
        <v>127678</v>
      </c>
      <c r="G174" s="415"/>
      <c r="H174" s="415">
        <f>SUM(I174:O174)</f>
        <v>127678</v>
      </c>
      <c r="I174" s="415"/>
      <c r="J174" s="415"/>
      <c r="K174" s="415"/>
      <c r="L174" s="415"/>
      <c r="M174" s="415">
        <v>127678</v>
      </c>
      <c r="N174" s="415"/>
      <c r="O174" s="416"/>
      <c r="P174" s="416">
        <f>SUM(Q174:AE174)</f>
        <v>0</v>
      </c>
      <c r="Q174" s="415"/>
      <c r="R174" s="415"/>
      <c r="S174" s="415"/>
      <c r="T174" s="415"/>
      <c r="U174" s="415"/>
      <c r="V174" s="415"/>
      <c r="W174" s="415"/>
      <c r="X174" s="415"/>
      <c r="Y174" s="415"/>
      <c r="Z174" s="415"/>
      <c r="AA174" s="415"/>
      <c r="AB174" s="415"/>
      <c r="AC174" s="415"/>
      <c r="AD174" s="415"/>
      <c r="AE174" s="415"/>
      <c r="AF174" s="415">
        <f>SUM(AG174:AH174)</f>
        <v>0</v>
      </c>
      <c r="AG174" s="415"/>
      <c r="AH174" s="415"/>
      <c r="AI174" s="387">
        <f t="shared" si="50"/>
        <v>0</v>
      </c>
    </row>
    <row r="175" spans="1:35" s="410" customFormat="1" ht="22.5" customHeight="1">
      <c r="A175" s="405" t="s">
        <v>1102</v>
      </c>
      <c r="B175" s="406"/>
      <c r="C175" s="407"/>
      <c r="D175" s="408"/>
      <c r="E175" s="409">
        <f t="shared" ref="E175:AH175" si="67">SUM(E176:E186)</f>
        <v>836402</v>
      </c>
      <c r="F175" s="409">
        <f t="shared" si="67"/>
        <v>307300</v>
      </c>
      <c r="G175" s="409">
        <f t="shared" si="67"/>
        <v>529102</v>
      </c>
      <c r="H175" s="409">
        <f t="shared" si="67"/>
        <v>146814</v>
      </c>
      <c r="I175" s="409">
        <f t="shared" si="67"/>
        <v>100</v>
      </c>
      <c r="J175" s="409">
        <f t="shared" si="67"/>
        <v>0</v>
      </c>
      <c r="K175" s="409">
        <f t="shared" si="67"/>
        <v>0</v>
      </c>
      <c r="L175" s="409">
        <f t="shared" si="67"/>
        <v>60786</v>
      </c>
      <c r="M175" s="409">
        <f t="shared" si="67"/>
        <v>13714</v>
      </c>
      <c r="N175" s="409">
        <f t="shared" si="67"/>
        <v>10326</v>
      </c>
      <c r="O175" s="409">
        <f t="shared" si="67"/>
        <v>61888</v>
      </c>
      <c r="P175" s="409">
        <f t="shared" si="67"/>
        <v>192914</v>
      </c>
      <c r="Q175" s="409">
        <f t="shared" si="67"/>
        <v>3000</v>
      </c>
      <c r="R175" s="409">
        <f t="shared" si="67"/>
        <v>0</v>
      </c>
      <c r="S175" s="409">
        <f t="shared" si="67"/>
        <v>0</v>
      </c>
      <c r="T175" s="409">
        <f t="shared" si="67"/>
        <v>30688</v>
      </c>
      <c r="U175" s="409">
        <f t="shared" si="67"/>
        <v>13020</v>
      </c>
      <c r="V175" s="409">
        <f t="shared" si="67"/>
        <v>38155</v>
      </c>
      <c r="W175" s="409">
        <f t="shared" si="67"/>
        <v>4659</v>
      </c>
      <c r="X175" s="409">
        <f t="shared" si="67"/>
        <v>14139</v>
      </c>
      <c r="Y175" s="409">
        <f t="shared" si="67"/>
        <v>0</v>
      </c>
      <c r="Z175" s="409">
        <f t="shared" si="67"/>
        <v>0</v>
      </c>
      <c r="AA175" s="409">
        <f t="shared" si="67"/>
        <v>12273</v>
      </c>
      <c r="AB175" s="409">
        <f t="shared" si="67"/>
        <v>24980</v>
      </c>
      <c r="AC175" s="409">
        <f t="shared" si="67"/>
        <v>0</v>
      </c>
      <c r="AD175" s="409">
        <f t="shared" si="67"/>
        <v>0</v>
      </c>
      <c r="AE175" s="409">
        <f t="shared" si="67"/>
        <v>52000</v>
      </c>
      <c r="AF175" s="409">
        <f t="shared" si="67"/>
        <v>496674</v>
      </c>
      <c r="AG175" s="409">
        <f t="shared" si="67"/>
        <v>367924</v>
      </c>
      <c r="AH175" s="409">
        <f t="shared" si="67"/>
        <v>128750</v>
      </c>
      <c r="AI175" s="387">
        <f t="shared" si="50"/>
        <v>0</v>
      </c>
    </row>
    <row r="176" spans="1:35" s="393" customFormat="1" ht="24" customHeight="1">
      <c r="A176" s="397" t="s">
        <v>916</v>
      </c>
      <c r="B176" s="394" t="s">
        <v>918</v>
      </c>
      <c r="C176" s="395" t="s">
        <v>468</v>
      </c>
      <c r="D176" s="396">
        <v>4</v>
      </c>
      <c r="E176" s="385">
        <f t="shared" ref="E176:E186" si="68">SUM(H176,P176,AF176)</f>
        <v>250</v>
      </c>
      <c r="F176" s="368"/>
      <c r="G176" s="368">
        <v>250</v>
      </c>
      <c r="H176" s="385">
        <f t="shared" ref="H176:H186" si="69">SUM(I176:O176)</f>
        <v>0</v>
      </c>
      <c r="I176" s="371"/>
      <c r="J176" s="371"/>
      <c r="K176" s="371"/>
      <c r="L176" s="371"/>
      <c r="M176" s="371"/>
      <c r="N176" s="371"/>
      <c r="O176" s="370"/>
      <c r="P176" s="386">
        <f t="shared" ref="P176:P186" si="70">SUM(Q176:AE176)</f>
        <v>0</v>
      </c>
      <c r="Q176" s="371"/>
      <c r="R176" s="371"/>
      <c r="S176" s="371"/>
      <c r="T176" s="371"/>
      <c r="U176" s="371"/>
      <c r="V176" s="371"/>
      <c r="W176" s="371"/>
      <c r="X176" s="371"/>
      <c r="Y176" s="371"/>
      <c r="Z176" s="371"/>
      <c r="AA176" s="371"/>
      <c r="AB176" s="371"/>
      <c r="AC176" s="371"/>
      <c r="AD176" s="371"/>
      <c r="AE176" s="371"/>
      <c r="AF176" s="385">
        <f t="shared" ref="AF176:AF186" si="71">SUM(AG176:AH176)</f>
        <v>250</v>
      </c>
      <c r="AG176" s="371"/>
      <c r="AH176" s="371">
        <v>250</v>
      </c>
      <c r="AI176" s="387">
        <f t="shared" si="50"/>
        <v>0</v>
      </c>
    </row>
    <row r="177" spans="1:35" s="393" customFormat="1" ht="24" customHeight="1">
      <c r="A177" s="397" t="s">
        <v>916</v>
      </c>
      <c r="B177" s="394" t="s">
        <v>918</v>
      </c>
      <c r="C177" s="395" t="s">
        <v>469</v>
      </c>
      <c r="D177" s="396">
        <v>4</v>
      </c>
      <c r="E177" s="385">
        <f t="shared" si="68"/>
        <v>224000</v>
      </c>
      <c r="F177" s="368">
        <v>224000</v>
      </c>
      <c r="G177" s="368"/>
      <c r="H177" s="385">
        <f t="shared" si="69"/>
        <v>0</v>
      </c>
      <c r="I177" s="371"/>
      <c r="J177" s="371"/>
      <c r="K177" s="371"/>
      <c r="L177" s="371"/>
      <c r="M177" s="371"/>
      <c r="N177" s="371"/>
      <c r="O177" s="370"/>
      <c r="P177" s="386">
        <f t="shared" si="70"/>
        <v>0</v>
      </c>
      <c r="Q177" s="371"/>
      <c r="R177" s="371"/>
      <c r="S177" s="371"/>
      <c r="T177" s="371"/>
      <c r="U177" s="371"/>
      <c r="V177" s="371"/>
      <c r="W177" s="371"/>
      <c r="X177" s="371"/>
      <c r="Y177" s="371"/>
      <c r="Z177" s="371"/>
      <c r="AA177" s="371"/>
      <c r="AB177" s="371"/>
      <c r="AC177" s="371"/>
      <c r="AD177" s="371"/>
      <c r="AE177" s="371"/>
      <c r="AF177" s="385">
        <f t="shared" si="71"/>
        <v>224000</v>
      </c>
      <c r="AG177" s="371">
        <v>160000</v>
      </c>
      <c r="AH177" s="371">
        <v>64000</v>
      </c>
      <c r="AI177" s="387">
        <f t="shared" si="50"/>
        <v>0</v>
      </c>
    </row>
    <row r="178" spans="1:35" s="393" customFormat="1" ht="24" customHeight="1">
      <c r="A178" s="397" t="s">
        <v>916</v>
      </c>
      <c r="B178" s="394" t="s">
        <v>918</v>
      </c>
      <c r="C178" s="395" t="s">
        <v>203</v>
      </c>
      <c r="D178" s="396">
        <v>4</v>
      </c>
      <c r="E178" s="385">
        <f t="shared" si="68"/>
        <v>4000</v>
      </c>
      <c r="F178" s="368"/>
      <c r="G178" s="368">
        <v>4000</v>
      </c>
      <c r="H178" s="385">
        <f t="shared" si="69"/>
        <v>0</v>
      </c>
      <c r="I178" s="371"/>
      <c r="J178" s="371"/>
      <c r="K178" s="371"/>
      <c r="L178" s="371"/>
      <c r="M178" s="371"/>
      <c r="N178" s="371"/>
      <c r="O178" s="370"/>
      <c r="P178" s="386">
        <f t="shared" si="70"/>
        <v>4000</v>
      </c>
      <c r="Q178" s="371"/>
      <c r="R178" s="371"/>
      <c r="S178" s="371"/>
      <c r="T178" s="371"/>
      <c r="U178" s="371"/>
      <c r="V178" s="371"/>
      <c r="W178" s="371"/>
      <c r="X178" s="371"/>
      <c r="Y178" s="371"/>
      <c r="Z178" s="371"/>
      <c r="AA178" s="371"/>
      <c r="AB178" s="371"/>
      <c r="AC178" s="371"/>
      <c r="AD178" s="371"/>
      <c r="AE178" s="371">
        <v>4000</v>
      </c>
      <c r="AF178" s="385">
        <f t="shared" si="71"/>
        <v>0</v>
      </c>
      <c r="AG178" s="371"/>
      <c r="AH178" s="371"/>
      <c r="AI178" s="387">
        <f t="shared" si="50"/>
        <v>0</v>
      </c>
    </row>
    <row r="179" spans="1:35" s="393" customFormat="1" ht="24" customHeight="1">
      <c r="A179" s="397" t="s">
        <v>916</v>
      </c>
      <c r="B179" s="394" t="s">
        <v>918</v>
      </c>
      <c r="C179" s="395" t="s">
        <v>204</v>
      </c>
      <c r="D179" s="396">
        <v>4</v>
      </c>
      <c r="E179" s="385">
        <f t="shared" si="68"/>
        <v>205045</v>
      </c>
      <c r="F179" s="368"/>
      <c r="G179" s="368">
        <v>205045</v>
      </c>
      <c r="H179" s="385">
        <f t="shared" si="69"/>
        <v>0</v>
      </c>
      <c r="I179" s="371"/>
      <c r="J179" s="371"/>
      <c r="K179" s="371"/>
      <c r="L179" s="371"/>
      <c r="M179" s="371"/>
      <c r="N179" s="371"/>
      <c r="O179" s="370"/>
      <c r="P179" s="386">
        <f t="shared" si="70"/>
        <v>0</v>
      </c>
      <c r="Q179" s="371"/>
      <c r="R179" s="371"/>
      <c r="S179" s="371"/>
      <c r="T179" s="371"/>
      <c r="U179" s="371"/>
      <c r="V179" s="371"/>
      <c r="W179" s="371"/>
      <c r="X179" s="371"/>
      <c r="Y179" s="371"/>
      <c r="Z179" s="371"/>
      <c r="AA179" s="371"/>
      <c r="AB179" s="371"/>
      <c r="AC179" s="371"/>
      <c r="AD179" s="371"/>
      <c r="AE179" s="371"/>
      <c r="AF179" s="385">
        <f t="shared" si="71"/>
        <v>205045</v>
      </c>
      <c r="AG179" s="371">
        <v>182045</v>
      </c>
      <c r="AH179" s="371">
        <v>23000</v>
      </c>
      <c r="AI179" s="387">
        <f t="shared" si="50"/>
        <v>0</v>
      </c>
    </row>
    <row r="180" spans="1:35" s="393" customFormat="1" ht="24" customHeight="1">
      <c r="A180" s="397" t="s">
        <v>916</v>
      </c>
      <c r="B180" s="394" t="s">
        <v>918</v>
      </c>
      <c r="C180" s="395" t="s">
        <v>919</v>
      </c>
      <c r="D180" s="396">
        <v>4</v>
      </c>
      <c r="E180" s="385">
        <f t="shared" si="68"/>
        <v>62483</v>
      </c>
      <c r="F180" s="368"/>
      <c r="G180" s="368">
        <v>62483</v>
      </c>
      <c r="H180" s="385">
        <f t="shared" si="69"/>
        <v>0</v>
      </c>
      <c r="I180" s="371"/>
      <c r="J180" s="371"/>
      <c r="K180" s="371"/>
      <c r="L180" s="371"/>
      <c r="M180" s="371"/>
      <c r="N180" s="371"/>
      <c r="O180" s="370"/>
      <c r="P180" s="386">
        <f t="shared" si="70"/>
        <v>7483</v>
      </c>
      <c r="Q180" s="371"/>
      <c r="R180" s="371"/>
      <c r="S180" s="371"/>
      <c r="T180" s="371"/>
      <c r="U180" s="371"/>
      <c r="V180" s="371"/>
      <c r="W180" s="371"/>
      <c r="X180" s="371"/>
      <c r="Y180" s="371"/>
      <c r="Z180" s="371"/>
      <c r="AA180" s="371">
        <v>7483</v>
      </c>
      <c r="AB180" s="371"/>
      <c r="AC180" s="371"/>
      <c r="AD180" s="371"/>
      <c r="AE180" s="371"/>
      <c r="AF180" s="385">
        <f t="shared" si="71"/>
        <v>55000</v>
      </c>
      <c r="AG180" s="371">
        <v>15000</v>
      </c>
      <c r="AH180" s="371">
        <v>40000</v>
      </c>
      <c r="AI180" s="387">
        <f t="shared" si="50"/>
        <v>0</v>
      </c>
    </row>
    <row r="181" spans="1:35" s="393" customFormat="1" ht="30.6" customHeight="1">
      <c r="A181" s="397" t="s">
        <v>916</v>
      </c>
      <c r="B181" s="394" t="s">
        <v>918</v>
      </c>
      <c r="C181" s="395" t="s">
        <v>604</v>
      </c>
      <c r="D181" s="396">
        <v>4</v>
      </c>
      <c r="E181" s="385">
        <f t="shared" si="68"/>
        <v>9379</v>
      </c>
      <c r="F181" s="368"/>
      <c r="G181" s="368">
        <v>9379</v>
      </c>
      <c r="H181" s="385">
        <f t="shared" si="69"/>
        <v>0</v>
      </c>
      <c r="I181" s="371"/>
      <c r="J181" s="371"/>
      <c r="K181" s="371"/>
      <c r="L181" s="371"/>
      <c r="M181" s="371"/>
      <c r="N181" s="371"/>
      <c r="O181" s="370"/>
      <c r="P181" s="386">
        <f t="shared" si="70"/>
        <v>0</v>
      </c>
      <c r="Q181" s="371"/>
      <c r="R181" s="371"/>
      <c r="S181" s="371"/>
      <c r="T181" s="371"/>
      <c r="U181" s="371"/>
      <c r="V181" s="371"/>
      <c r="W181" s="371"/>
      <c r="X181" s="371"/>
      <c r="Y181" s="371"/>
      <c r="Z181" s="371"/>
      <c r="AA181" s="371"/>
      <c r="AB181" s="371"/>
      <c r="AC181" s="371"/>
      <c r="AD181" s="371"/>
      <c r="AE181" s="371"/>
      <c r="AF181" s="385">
        <f t="shared" si="71"/>
        <v>9379</v>
      </c>
      <c r="AG181" s="371">
        <v>9379</v>
      </c>
      <c r="AH181" s="371"/>
      <c r="AI181" s="387">
        <f t="shared" si="50"/>
        <v>0</v>
      </c>
    </row>
    <row r="182" spans="1:35" s="393" customFormat="1" ht="35.450000000000003" customHeight="1">
      <c r="A182" s="397" t="s">
        <v>916</v>
      </c>
      <c r="B182" s="394" t="s">
        <v>918</v>
      </c>
      <c r="C182" s="395" t="s">
        <v>920</v>
      </c>
      <c r="D182" s="396">
        <v>4</v>
      </c>
      <c r="E182" s="385">
        <f t="shared" si="68"/>
        <v>92000</v>
      </c>
      <c r="F182" s="368">
        <v>46000</v>
      </c>
      <c r="G182" s="368">
        <v>46000</v>
      </c>
      <c r="H182" s="385">
        <f t="shared" si="69"/>
        <v>46000</v>
      </c>
      <c r="I182" s="371"/>
      <c r="J182" s="371"/>
      <c r="K182" s="371"/>
      <c r="L182" s="371"/>
      <c r="M182" s="371"/>
      <c r="N182" s="371"/>
      <c r="O182" s="370">
        <v>46000</v>
      </c>
      <c r="P182" s="386">
        <f t="shared" si="70"/>
        <v>43000</v>
      </c>
      <c r="Q182" s="371"/>
      <c r="R182" s="371"/>
      <c r="S182" s="371"/>
      <c r="T182" s="371"/>
      <c r="U182" s="371"/>
      <c r="V182" s="371"/>
      <c r="W182" s="371"/>
      <c r="X182" s="371"/>
      <c r="Y182" s="371"/>
      <c r="Z182" s="371"/>
      <c r="AA182" s="371"/>
      <c r="AB182" s="371"/>
      <c r="AC182" s="371"/>
      <c r="AD182" s="371"/>
      <c r="AE182" s="371">
        <v>43000</v>
      </c>
      <c r="AF182" s="385">
        <f t="shared" si="71"/>
        <v>3000</v>
      </c>
      <c r="AG182" s="371">
        <v>1500</v>
      </c>
      <c r="AH182" s="371">
        <v>1500</v>
      </c>
      <c r="AI182" s="387">
        <f t="shared" si="50"/>
        <v>0</v>
      </c>
    </row>
    <row r="183" spans="1:35" s="393" customFormat="1" ht="29.1" customHeight="1">
      <c r="A183" s="397" t="s">
        <v>916</v>
      </c>
      <c r="B183" s="394" t="s">
        <v>918</v>
      </c>
      <c r="C183" s="395" t="s">
        <v>208</v>
      </c>
      <c r="D183" s="396">
        <v>4</v>
      </c>
      <c r="E183" s="385">
        <f t="shared" si="68"/>
        <v>4050</v>
      </c>
      <c r="F183" s="368"/>
      <c r="G183" s="368">
        <v>4050</v>
      </c>
      <c r="H183" s="385">
        <f t="shared" si="69"/>
        <v>0</v>
      </c>
      <c r="I183" s="371"/>
      <c r="J183" s="371"/>
      <c r="K183" s="371"/>
      <c r="L183" s="371"/>
      <c r="M183" s="371"/>
      <c r="N183" s="371"/>
      <c r="O183" s="370"/>
      <c r="P183" s="386">
        <f t="shared" si="70"/>
        <v>4050</v>
      </c>
      <c r="Q183" s="371"/>
      <c r="R183" s="371"/>
      <c r="S183" s="371"/>
      <c r="T183" s="371"/>
      <c r="U183" s="371"/>
      <c r="V183" s="371"/>
      <c r="W183" s="371"/>
      <c r="X183" s="371"/>
      <c r="Y183" s="371"/>
      <c r="Z183" s="371"/>
      <c r="AA183" s="371">
        <v>4050</v>
      </c>
      <c r="AB183" s="371"/>
      <c r="AC183" s="371"/>
      <c r="AD183" s="371"/>
      <c r="AE183" s="371"/>
      <c r="AF183" s="385">
        <f t="shared" si="71"/>
        <v>0</v>
      </c>
      <c r="AG183" s="371"/>
      <c r="AH183" s="371"/>
      <c r="AI183" s="387">
        <f t="shared" si="50"/>
        <v>0</v>
      </c>
    </row>
    <row r="184" spans="1:35" s="393" customFormat="1" ht="32.450000000000003" customHeight="1">
      <c r="A184" s="397" t="s">
        <v>916</v>
      </c>
      <c r="B184" s="394" t="s">
        <v>918</v>
      </c>
      <c r="C184" s="395" t="s">
        <v>606</v>
      </c>
      <c r="D184" s="396">
        <v>4</v>
      </c>
      <c r="E184" s="385">
        <f t="shared" si="68"/>
        <v>115200</v>
      </c>
      <c r="F184" s="368"/>
      <c r="G184" s="368">
        <v>115200</v>
      </c>
      <c r="H184" s="385">
        <f t="shared" si="69"/>
        <v>65200</v>
      </c>
      <c r="I184" s="371"/>
      <c r="J184" s="371"/>
      <c r="K184" s="371"/>
      <c r="L184" s="371">
        <v>49286</v>
      </c>
      <c r="M184" s="371"/>
      <c r="N184" s="371">
        <v>7326</v>
      </c>
      <c r="O184" s="370">
        <v>8588</v>
      </c>
      <c r="P184" s="386">
        <f t="shared" si="70"/>
        <v>50000</v>
      </c>
      <c r="Q184" s="371"/>
      <c r="R184" s="371"/>
      <c r="S184" s="371"/>
      <c r="T184" s="371"/>
      <c r="U184" s="371">
        <v>13020</v>
      </c>
      <c r="V184" s="371"/>
      <c r="W184" s="371"/>
      <c r="X184" s="371">
        <v>12000</v>
      </c>
      <c r="Y184" s="371"/>
      <c r="Z184" s="371"/>
      <c r="AA184" s="371"/>
      <c r="AB184" s="371">
        <v>24980</v>
      </c>
      <c r="AC184" s="371"/>
      <c r="AD184" s="371"/>
      <c r="AE184" s="371"/>
      <c r="AF184" s="385">
        <f t="shared" si="71"/>
        <v>0</v>
      </c>
      <c r="AG184" s="371"/>
      <c r="AH184" s="371"/>
      <c r="AI184" s="387">
        <f t="shared" si="50"/>
        <v>0</v>
      </c>
    </row>
    <row r="185" spans="1:35" s="393" customFormat="1" ht="32.450000000000003" customHeight="1">
      <c r="A185" s="397" t="s">
        <v>916</v>
      </c>
      <c r="B185" s="394" t="s">
        <v>918</v>
      </c>
      <c r="C185" s="395" t="s">
        <v>607</v>
      </c>
      <c r="D185" s="396">
        <v>4</v>
      </c>
      <c r="E185" s="385">
        <f t="shared" si="68"/>
        <v>28800</v>
      </c>
      <c r="F185" s="368"/>
      <c r="G185" s="368">
        <v>28800</v>
      </c>
      <c r="H185" s="385">
        <f t="shared" si="69"/>
        <v>23800</v>
      </c>
      <c r="I185" s="371"/>
      <c r="J185" s="371"/>
      <c r="K185" s="371"/>
      <c r="L185" s="371">
        <v>10000</v>
      </c>
      <c r="M185" s="371">
        <v>10000</v>
      </c>
      <c r="N185" s="371"/>
      <c r="O185" s="370">
        <v>3800</v>
      </c>
      <c r="P185" s="386">
        <f t="shared" si="70"/>
        <v>5000</v>
      </c>
      <c r="Q185" s="371"/>
      <c r="R185" s="371"/>
      <c r="S185" s="371"/>
      <c r="T185" s="371"/>
      <c r="U185" s="371"/>
      <c r="V185" s="371"/>
      <c r="W185" s="371"/>
      <c r="X185" s="371"/>
      <c r="Y185" s="371"/>
      <c r="Z185" s="371"/>
      <c r="AA185" s="371"/>
      <c r="AB185" s="371"/>
      <c r="AC185" s="371"/>
      <c r="AD185" s="371"/>
      <c r="AE185" s="371">
        <v>5000</v>
      </c>
      <c r="AF185" s="385">
        <f t="shared" si="71"/>
        <v>0</v>
      </c>
      <c r="AG185" s="371"/>
      <c r="AH185" s="371"/>
      <c r="AI185" s="387">
        <f t="shared" si="50"/>
        <v>0</v>
      </c>
    </row>
    <row r="186" spans="1:35" s="393" customFormat="1" ht="39" customHeight="1">
      <c r="A186" s="397" t="s">
        <v>916</v>
      </c>
      <c r="B186" s="394" t="s">
        <v>918</v>
      </c>
      <c r="C186" s="395" t="s">
        <v>921</v>
      </c>
      <c r="D186" s="396">
        <v>4</v>
      </c>
      <c r="E186" s="385">
        <f t="shared" si="68"/>
        <v>91195</v>
      </c>
      <c r="F186" s="368">
        <v>37300</v>
      </c>
      <c r="G186" s="368">
        <v>53895</v>
      </c>
      <c r="H186" s="385">
        <f t="shared" si="69"/>
        <v>11814</v>
      </c>
      <c r="I186" s="371">
        <v>100</v>
      </c>
      <c r="J186" s="371"/>
      <c r="K186" s="371"/>
      <c r="L186" s="371">
        <v>1500</v>
      </c>
      <c r="M186" s="371">
        <v>3714</v>
      </c>
      <c r="N186" s="371">
        <v>3000</v>
      </c>
      <c r="O186" s="370">
        <v>3500</v>
      </c>
      <c r="P186" s="386">
        <f t="shared" si="70"/>
        <v>79381</v>
      </c>
      <c r="Q186" s="371">
        <v>3000</v>
      </c>
      <c r="R186" s="371"/>
      <c r="S186" s="371"/>
      <c r="T186" s="371">
        <v>30688</v>
      </c>
      <c r="U186" s="371"/>
      <c r="V186" s="371">
        <v>38155</v>
      </c>
      <c r="W186" s="371">
        <v>4659</v>
      </c>
      <c r="X186" s="371">
        <v>2139</v>
      </c>
      <c r="Y186" s="371"/>
      <c r="Z186" s="371"/>
      <c r="AA186" s="371">
        <v>740</v>
      </c>
      <c r="AB186" s="371"/>
      <c r="AC186" s="371"/>
      <c r="AD186" s="371"/>
      <c r="AE186" s="371"/>
      <c r="AF186" s="385">
        <f t="shared" si="71"/>
        <v>0</v>
      </c>
      <c r="AG186" s="371"/>
      <c r="AH186" s="371"/>
      <c r="AI186" s="387">
        <f t="shared" si="50"/>
        <v>0</v>
      </c>
    </row>
    <row r="187" spans="1:35" s="404" customFormat="1" ht="24" customHeight="1">
      <c r="A187" s="398" t="s">
        <v>939</v>
      </c>
      <c r="B187" s="399"/>
      <c r="C187" s="400"/>
      <c r="D187" s="401"/>
      <c r="E187" s="402">
        <f t="shared" ref="E187:AH187" si="72">E188+E217</f>
        <v>28728055</v>
      </c>
      <c r="F187" s="402">
        <f t="shared" si="72"/>
        <v>5321681</v>
      </c>
      <c r="G187" s="402">
        <f t="shared" si="72"/>
        <v>23406374</v>
      </c>
      <c r="H187" s="402">
        <f t="shared" si="72"/>
        <v>23512861</v>
      </c>
      <c r="I187" s="402">
        <f t="shared" si="72"/>
        <v>1789188</v>
      </c>
      <c r="J187" s="402">
        <f t="shared" si="72"/>
        <v>5575714</v>
      </c>
      <c r="K187" s="402">
        <f t="shared" si="72"/>
        <v>1721530</v>
      </c>
      <c r="L187" s="402">
        <f t="shared" si="72"/>
        <v>6820530</v>
      </c>
      <c r="M187" s="402">
        <f t="shared" si="72"/>
        <v>378030</v>
      </c>
      <c r="N187" s="402">
        <f t="shared" si="72"/>
        <v>6999019</v>
      </c>
      <c r="O187" s="402">
        <f t="shared" si="72"/>
        <v>228850</v>
      </c>
      <c r="P187" s="402">
        <f t="shared" si="72"/>
        <v>4483867</v>
      </c>
      <c r="Q187" s="402">
        <f t="shared" si="72"/>
        <v>293285</v>
      </c>
      <c r="R187" s="402">
        <f t="shared" si="72"/>
        <v>283285</v>
      </c>
      <c r="S187" s="402">
        <f t="shared" si="72"/>
        <v>316285</v>
      </c>
      <c r="T187" s="402">
        <f t="shared" si="72"/>
        <v>592285</v>
      </c>
      <c r="U187" s="402">
        <f t="shared" si="72"/>
        <v>235285</v>
      </c>
      <c r="V187" s="402">
        <f t="shared" si="72"/>
        <v>293285</v>
      </c>
      <c r="W187" s="402">
        <f t="shared" si="72"/>
        <v>343285</v>
      </c>
      <c r="X187" s="402">
        <f t="shared" si="72"/>
        <v>403585</v>
      </c>
      <c r="Y187" s="402">
        <f t="shared" si="72"/>
        <v>392973</v>
      </c>
      <c r="Z187" s="402">
        <f t="shared" si="72"/>
        <v>443207</v>
      </c>
      <c r="AA187" s="402">
        <f t="shared" si="72"/>
        <v>104555</v>
      </c>
      <c r="AB187" s="402">
        <f t="shared" si="72"/>
        <v>43285</v>
      </c>
      <c r="AC187" s="402">
        <f t="shared" si="72"/>
        <v>43285</v>
      </c>
      <c r="AD187" s="402">
        <f t="shared" si="72"/>
        <v>130285</v>
      </c>
      <c r="AE187" s="402">
        <f t="shared" si="72"/>
        <v>565697</v>
      </c>
      <c r="AF187" s="402">
        <f t="shared" si="72"/>
        <v>731327</v>
      </c>
      <c r="AG187" s="402">
        <f t="shared" si="72"/>
        <v>161066</v>
      </c>
      <c r="AH187" s="402">
        <f t="shared" si="72"/>
        <v>570261</v>
      </c>
      <c r="AI187" s="387">
        <f t="shared" si="50"/>
        <v>0</v>
      </c>
    </row>
    <row r="188" spans="1:35" s="410" customFormat="1" ht="22.5" customHeight="1">
      <c r="A188" s="405" t="s">
        <v>1103</v>
      </c>
      <c r="B188" s="406"/>
      <c r="C188" s="407"/>
      <c r="D188" s="408"/>
      <c r="E188" s="409">
        <f t="shared" ref="E188:AH188" si="73">SUM(E189:E216)</f>
        <v>22910993</v>
      </c>
      <c r="F188" s="409">
        <f t="shared" si="73"/>
        <v>3893681</v>
      </c>
      <c r="G188" s="409">
        <f t="shared" si="73"/>
        <v>19017312</v>
      </c>
      <c r="H188" s="409">
        <f t="shared" si="73"/>
        <v>21579683</v>
      </c>
      <c r="I188" s="409">
        <f t="shared" si="73"/>
        <v>1533658</v>
      </c>
      <c r="J188" s="409">
        <f t="shared" si="73"/>
        <v>5320184</v>
      </c>
      <c r="K188" s="409">
        <f t="shared" si="73"/>
        <v>1466000</v>
      </c>
      <c r="L188" s="409">
        <f t="shared" si="73"/>
        <v>6565000</v>
      </c>
      <c r="M188" s="409">
        <f t="shared" si="73"/>
        <v>122500</v>
      </c>
      <c r="N188" s="409">
        <f t="shared" si="73"/>
        <v>6363491</v>
      </c>
      <c r="O188" s="409">
        <f t="shared" si="73"/>
        <v>208850</v>
      </c>
      <c r="P188" s="409">
        <f t="shared" si="73"/>
        <v>694115</v>
      </c>
      <c r="Q188" s="409">
        <f t="shared" si="73"/>
        <v>0</v>
      </c>
      <c r="R188" s="409">
        <f t="shared" si="73"/>
        <v>0</v>
      </c>
      <c r="S188" s="409">
        <f t="shared" si="73"/>
        <v>0</v>
      </c>
      <c r="T188" s="409">
        <f t="shared" si="73"/>
        <v>0</v>
      </c>
      <c r="U188" s="409">
        <f t="shared" si="73"/>
        <v>0</v>
      </c>
      <c r="V188" s="409">
        <f t="shared" si="73"/>
        <v>0</v>
      </c>
      <c r="W188" s="409">
        <f t="shared" si="73"/>
        <v>0</v>
      </c>
      <c r="X188" s="409">
        <f t="shared" si="73"/>
        <v>35300</v>
      </c>
      <c r="Y188" s="409">
        <f t="shared" si="73"/>
        <v>294688</v>
      </c>
      <c r="Z188" s="409">
        <f t="shared" si="73"/>
        <v>0</v>
      </c>
      <c r="AA188" s="409">
        <f t="shared" si="73"/>
        <v>11270</v>
      </c>
      <c r="AB188" s="409">
        <f t="shared" si="73"/>
        <v>0</v>
      </c>
      <c r="AC188" s="409">
        <f t="shared" si="73"/>
        <v>0</v>
      </c>
      <c r="AD188" s="409">
        <f t="shared" si="73"/>
        <v>87000</v>
      </c>
      <c r="AE188" s="409">
        <f t="shared" si="73"/>
        <v>265857</v>
      </c>
      <c r="AF188" s="409">
        <f t="shared" si="73"/>
        <v>637195</v>
      </c>
      <c r="AG188" s="409">
        <f t="shared" si="73"/>
        <v>114000</v>
      </c>
      <c r="AH188" s="409">
        <f t="shared" si="73"/>
        <v>523195</v>
      </c>
      <c r="AI188" s="387">
        <f t="shared" si="50"/>
        <v>0</v>
      </c>
    </row>
    <row r="189" spans="1:35" s="393" customFormat="1" ht="24" customHeight="1">
      <c r="A189" s="427" t="s">
        <v>923</v>
      </c>
      <c r="B189" s="428" t="s">
        <v>70</v>
      </c>
      <c r="C189" s="395" t="s">
        <v>924</v>
      </c>
      <c r="D189" s="396">
        <v>4</v>
      </c>
      <c r="E189" s="385">
        <f t="shared" ref="E189:E216" si="74">SUM(H189,P189,AF189)</f>
        <v>336000</v>
      </c>
      <c r="F189" s="368">
        <v>134400</v>
      </c>
      <c r="G189" s="368">
        <v>201600</v>
      </c>
      <c r="H189" s="385">
        <f t="shared" ref="H189:H216" si="75">SUM(I189:O189)</f>
        <v>155000</v>
      </c>
      <c r="I189" s="371"/>
      <c r="J189" s="371"/>
      <c r="K189" s="371"/>
      <c r="L189" s="371"/>
      <c r="M189" s="371"/>
      <c r="N189" s="371"/>
      <c r="O189" s="370">
        <v>155000</v>
      </c>
      <c r="P189" s="386">
        <f t="shared" ref="P189:P216" si="76">SUM(Q189:AE189)</f>
        <v>168000</v>
      </c>
      <c r="Q189" s="371"/>
      <c r="R189" s="371"/>
      <c r="S189" s="371"/>
      <c r="T189" s="371"/>
      <c r="U189" s="371"/>
      <c r="V189" s="371"/>
      <c r="W189" s="371"/>
      <c r="X189" s="371"/>
      <c r="Y189" s="371"/>
      <c r="Z189" s="371"/>
      <c r="AA189" s="371"/>
      <c r="AB189" s="371"/>
      <c r="AC189" s="371"/>
      <c r="AD189" s="371"/>
      <c r="AE189" s="371">
        <v>168000</v>
      </c>
      <c r="AF189" s="385">
        <f t="shared" ref="AF189:AF216" si="77">SUM(AG189:AH189)</f>
        <v>13000</v>
      </c>
      <c r="AG189" s="371">
        <v>11000</v>
      </c>
      <c r="AH189" s="371">
        <v>2000</v>
      </c>
      <c r="AI189" s="387">
        <f t="shared" si="50"/>
        <v>0</v>
      </c>
    </row>
    <row r="190" spans="1:35" s="393" customFormat="1" ht="31.5" customHeight="1">
      <c r="A190" s="427" t="s">
        <v>923</v>
      </c>
      <c r="B190" s="428" t="s">
        <v>70</v>
      </c>
      <c r="C190" s="395" t="s">
        <v>612</v>
      </c>
      <c r="D190" s="396">
        <v>9</v>
      </c>
      <c r="E190" s="385">
        <f t="shared" si="74"/>
        <v>3475775</v>
      </c>
      <c r="F190" s="368">
        <v>3475775</v>
      </c>
      <c r="G190" s="368"/>
      <c r="H190" s="385">
        <f t="shared" si="75"/>
        <v>3475775</v>
      </c>
      <c r="I190" s="371"/>
      <c r="J190" s="371">
        <v>2939184</v>
      </c>
      <c r="K190" s="371"/>
      <c r="L190" s="371"/>
      <c r="M190" s="371"/>
      <c r="N190" s="371">
        <v>536591</v>
      </c>
      <c r="O190" s="370"/>
      <c r="P190" s="386">
        <f t="shared" si="76"/>
        <v>0</v>
      </c>
      <c r="Q190" s="371"/>
      <c r="R190" s="371"/>
      <c r="S190" s="371"/>
      <c r="T190" s="371"/>
      <c r="U190" s="371"/>
      <c r="V190" s="371"/>
      <c r="W190" s="371"/>
      <c r="X190" s="371"/>
      <c r="Y190" s="371"/>
      <c r="Z190" s="371"/>
      <c r="AA190" s="371"/>
      <c r="AB190" s="371"/>
      <c r="AC190" s="371"/>
      <c r="AD190" s="371"/>
      <c r="AE190" s="371"/>
      <c r="AF190" s="385">
        <f t="shared" si="77"/>
        <v>0</v>
      </c>
      <c r="AG190" s="371"/>
      <c r="AH190" s="371"/>
      <c r="AI190" s="387">
        <f t="shared" si="50"/>
        <v>0</v>
      </c>
    </row>
    <row r="191" spans="1:35" s="393" customFormat="1" ht="24.95" customHeight="1">
      <c r="A191" s="427" t="s">
        <v>923</v>
      </c>
      <c r="B191" s="428" t="s">
        <v>70</v>
      </c>
      <c r="C191" s="395" t="s">
        <v>211</v>
      </c>
      <c r="D191" s="396">
        <v>4</v>
      </c>
      <c r="E191" s="385">
        <f t="shared" si="74"/>
        <v>147707</v>
      </c>
      <c r="F191" s="368">
        <v>147707</v>
      </c>
      <c r="G191" s="368"/>
      <c r="H191" s="385">
        <f t="shared" si="75"/>
        <v>48850</v>
      </c>
      <c r="I191" s="371"/>
      <c r="J191" s="371"/>
      <c r="K191" s="371"/>
      <c r="L191" s="371"/>
      <c r="M191" s="371"/>
      <c r="N191" s="371"/>
      <c r="O191" s="370">
        <v>48850</v>
      </c>
      <c r="P191" s="386">
        <f t="shared" si="76"/>
        <v>92857</v>
      </c>
      <c r="Q191" s="371"/>
      <c r="R191" s="371"/>
      <c r="S191" s="371"/>
      <c r="T191" s="371"/>
      <c r="U191" s="371"/>
      <c r="V191" s="371"/>
      <c r="W191" s="371"/>
      <c r="X191" s="371"/>
      <c r="Y191" s="371"/>
      <c r="Z191" s="371"/>
      <c r="AA191" s="371"/>
      <c r="AB191" s="371"/>
      <c r="AC191" s="371"/>
      <c r="AD191" s="371"/>
      <c r="AE191" s="371">
        <v>92857</v>
      </c>
      <c r="AF191" s="385">
        <f t="shared" si="77"/>
        <v>6000</v>
      </c>
      <c r="AG191" s="371">
        <v>3000</v>
      </c>
      <c r="AH191" s="371">
        <v>3000</v>
      </c>
      <c r="AI191" s="387">
        <f t="shared" si="50"/>
        <v>0</v>
      </c>
    </row>
    <row r="192" spans="1:35" s="393" customFormat="1" ht="48" customHeight="1">
      <c r="A192" s="427" t="s">
        <v>923</v>
      </c>
      <c r="B192" s="428" t="s">
        <v>925</v>
      </c>
      <c r="C192" s="395" t="s">
        <v>926</v>
      </c>
      <c r="D192" s="396">
        <v>4</v>
      </c>
      <c r="E192" s="385">
        <f t="shared" si="74"/>
        <v>147538</v>
      </c>
      <c r="F192" s="368">
        <v>133538</v>
      </c>
      <c r="G192" s="368">
        <v>14000</v>
      </c>
      <c r="H192" s="385">
        <f t="shared" si="75"/>
        <v>0</v>
      </c>
      <c r="I192" s="371"/>
      <c r="J192" s="371"/>
      <c r="K192" s="371"/>
      <c r="L192" s="371"/>
      <c r="M192" s="371"/>
      <c r="N192" s="371"/>
      <c r="O192" s="370"/>
      <c r="P192" s="386">
        <f t="shared" si="76"/>
        <v>50906</v>
      </c>
      <c r="Q192" s="371"/>
      <c r="R192" s="371"/>
      <c r="S192" s="371"/>
      <c r="T192" s="371"/>
      <c r="U192" s="371"/>
      <c r="V192" s="371"/>
      <c r="W192" s="371"/>
      <c r="X192" s="371">
        <v>17300</v>
      </c>
      <c r="Y192" s="371">
        <v>19336</v>
      </c>
      <c r="Z192" s="371"/>
      <c r="AA192" s="371">
        <v>11270</v>
      </c>
      <c r="AB192" s="371"/>
      <c r="AC192" s="371"/>
      <c r="AD192" s="371"/>
      <c r="AE192" s="371">
        <v>3000</v>
      </c>
      <c r="AF192" s="385">
        <f t="shared" si="77"/>
        <v>96632</v>
      </c>
      <c r="AG192" s="371"/>
      <c r="AH192" s="371">
        <v>96632</v>
      </c>
      <c r="AI192" s="387">
        <f t="shared" si="50"/>
        <v>0</v>
      </c>
    </row>
    <row r="193" spans="1:35" s="393" customFormat="1" ht="38.1" customHeight="1">
      <c r="A193" s="427" t="s">
        <v>923</v>
      </c>
      <c r="B193" s="428" t="s">
        <v>925</v>
      </c>
      <c r="C193" s="395" t="s">
        <v>609</v>
      </c>
      <c r="D193" s="396">
        <v>4</v>
      </c>
      <c r="E193" s="385">
        <f t="shared" si="74"/>
        <v>275352</v>
      </c>
      <c r="F193" s="368"/>
      <c r="G193" s="368">
        <v>275352</v>
      </c>
      <c r="H193" s="385">
        <f t="shared" si="75"/>
        <v>0</v>
      </c>
      <c r="I193" s="371"/>
      <c r="J193" s="371"/>
      <c r="K193" s="371"/>
      <c r="L193" s="371"/>
      <c r="M193" s="371"/>
      <c r="N193" s="371"/>
      <c r="O193" s="370"/>
      <c r="P193" s="386">
        <f t="shared" si="76"/>
        <v>275352</v>
      </c>
      <c r="Q193" s="371"/>
      <c r="R193" s="371"/>
      <c r="S193" s="371"/>
      <c r="T193" s="371"/>
      <c r="U193" s="371"/>
      <c r="V193" s="371"/>
      <c r="W193" s="371"/>
      <c r="X193" s="371"/>
      <c r="Y193" s="371">
        <v>275352</v>
      </c>
      <c r="Z193" s="371"/>
      <c r="AA193" s="371"/>
      <c r="AB193" s="371"/>
      <c r="AC193" s="371"/>
      <c r="AD193" s="371"/>
      <c r="AE193" s="371"/>
      <c r="AF193" s="385">
        <f t="shared" si="77"/>
        <v>0</v>
      </c>
      <c r="AG193" s="371"/>
      <c r="AH193" s="371"/>
      <c r="AI193" s="387">
        <f t="shared" si="50"/>
        <v>0</v>
      </c>
    </row>
    <row r="194" spans="1:35" s="393" customFormat="1" ht="39.950000000000003" customHeight="1">
      <c r="A194" s="427" t="s">
        <v>923</v>
      </c>
      <c r="B194" s="428" t="s">
        <v>925</v>
      </c>
      <c r="C194" s="395" t="s">
        <v>610</v>
      </c>
      <c r="D194" s="396">
        <v>4</v>
      </c>
      <c r="E194" s="385">
        <f t="shared" si="74"/>
        <v>18000</v>
      </c>
      <c r="F194" s="368"/>
      <c r="G194" s="368">
        <v>18000</v>
      </c>
      <c r="H194" s="385">
        <f t="shared" si="75"/>
        <v>0</v>
      </c>
      <c r="I194" s="371"/>
      <c r="J194" s="371"/>
      <c r="K194" s="371"/>
      <c r="L194" s="371"/>
      <c r="M194" s="371"/>
      <c r="N194" s="371"/>
      <c r="O194" s="370"/>
      <c r="P194" s="386">
        <f t="shared" si="76"/>
        <v>18000</v>
      </c>
      <c r="Q194" s="371"/>
      <c r="R194" s="371"/>
      <c r="S194" s="371"/>
      <c r="T194" s="371"/>
      <c r="U194" s="371"/>
      <c r="V194" s="371"/>
      <c r="W194" s="371"/>
      <c r="X194" s="371">
        <v>18000</v>
      </c>
      <c r="Y194" s="371"/>
      <c r="Z194" s="371"/>
      <c r="AA194" s="371"/>
      <c r="AB194" s="371"/>
      <c r="AC194" s="371"/>
      <c r="AD194" s="371"/>
      <c r="AE194" s="371"/>
      <c r="AF194" s="385">
        <f t="shared" si="77"/>
        <v>0</v>
      </c>
      <c r="AG194" s="371"/>
      <c r="AH194" s="371"/>
      <c r="AI194" s="387">
        <f t="shared" si="50"/>
        <v>0</v>
      </c>
    </row>
    <row r="195" spans="1:35" s="393" customFormat="1" ht="39.950000000000003" customHeight="1">
      <c r="A195" s="427" t="s">
        <v>923</v>
      </c>
      <c r="B195" s="428" t="s">
        <v>70</v>
      </c>
      <c r="C195" s="395" t="s">
        <v>927</v>
      </c>
      <c r="D195" s="396">
        <v>4</v>
      </c>
      <c r="E195" s="385">
        <f t="shared" si="74"/>
        <v>1538000</v>
      </c>
      <c r="F195" s="368"/>
      <c r="G195" s="368">
        <v>1538000</v>
      </c>
      <c r="H195" s="385">
        <f t="shared" si="75"/>
        <v>1538000</v>
      </c>
      <c r="I195" s="371"/>
      <c r="J195" s="371">
        <v>1538000</v>
      </c>
      <c r="K195" s="371"/>
      <c r="L195" s="371"/>
      <c r="M195" s="371"/>
      <c r="N195" s="371"/>
      <c r="O195" s="370"/>
      <c r="P195" s="386">
        <f t="shared" si="76"/>
        <v>0</v>
      </c>
      <c r="Q195" s="371"/>
      <c r="R195" s="371"/>
      <c r="S195" s="371"/>
      <c r="T195" s="371"/>
      <c r="U195" s="371"/>
      <c r="V195" s="371"/>
      <c r="W195" s="371"/>
      <c r="X195" s="371"/>
      <c r="Y195" s="371"/>
      <c r="Z195" s="371"/>
      <c r="AA195" s="371"/>
      <c r="AB195" s="371"/>
      <c r="AC195" s="371"/>
      <c r="AD195" s="371"/>
      <c r="AE195" s="371"/>
      <c r="AF195" s="385">
        <f t="shared" si="77"/>
        <v>0</v>
      </c>
      <c r="AG195" s="371"/>
      <c r="AH195" s="371"/>
      <c r="AI195" s="387">
        <f t="shared" si="50"/>
        <v>0</v>
      </c>
    </row>
    <row r="196" spans="1:35" s="393" customFormat="1" ht="36" customHeight="1">
      <c r="A196" s="427" t="s">
        <v>923</v>
      </c>
      <c r="B196" s="428" t="s">
        <v>70</v>
      </c>
      <c r="C196" s="395" t="s">
        <v>928</v>
      </c>
      <c r="D196" s="396">
        <v>4</v>
      </c>
      <c r="E196" s="385">
        <f t="shared" si="74"/>
        <v>783000</v>
      </c>
      <c r="F196" s="368"/>
      <c r="G196" s="368">
        <v>783000</v>
      </c>
      <c r="H196" s="385">
        <f t="shared" si="75"/>
        <v>783000</v>
      </c>
      <c r="I196" s="371"/>
      <c r="J196" s="371">
        <v>783000</v>
      </c>
      <c r="K196" s="371"/>
      <c r="L196" s="371"/>
      <c r="M196" s="371"/>
      <c r="N196" s="371"/>
      <c r="O196" s="370"/>
      <c r="P196" s="386">
        <f t="shared" si="76"/>
        <v>0</v>
      </c>
      <c r="Q196" s="371"/>
      <c r="R196" s="371"/>
      <c r="S196" s="371"/>
      <c r="T196" s="371"/>
      <c r="U196" s="371"/>
      <c r="V196" s="371"/>
      <c r="W196" s="371"/>
      <c r="X196" s="371"/>
      <c r="Y196" s="371"/>
      <c r="Z196" s="371"/>
      <c r="AA196" s="371"/>
      <c r="AB196" s="371"/>
      <c r="AC196" s="371"/>
      <c r="AD196" s="371"/>
      <c r="AE196" s="371"/>
      <c r="AF196" s="385">
        <f t="shared" si="77"/>
        <v>0</v>
      </c>
      <c r="AG196" s="371"/>
      <c r="AH196" s="371"/>
      <c r="AI196" s="387">
        <f t="shared" si="50"/>
        <v>0</v>
      </c>
    </row>
    <row r="197" spans="1:35" s="393" customFormat="1" ht="51.6" customHeight="1">
      <c r="A197" s="427" t="s">
        <v>923</v>
      </c>
      <c r="B197" s="428" t="s">
        <v>70</v>
      </c>
      <c r="C197" s="395" t="s">
        <v>929</v>
      </c>
      <c r="D197" s="396">
        <v>4</v>
      </c>
      <c r="E197" s="385">
        <f t="shared" si="74"/>
        <v>60000</v>
      </c>
      <c r="F197" s="368"/>
      <c r="G197" s="368">
        <v>60000</v>
      </c>
      <c r="H197" s="385">
        <f t="shared" si="75"/>
        <v>60000</v>
      </c>
      <c r="I197" s="371"/>
      <c r="J197" s="371">
        <v>60000</v>
      </c>
      <c r="K197" s="371"/>
      <c r="L197" s="371"/>
      <c r="M197" s="371"/>
      <c r="N197" s="371"/>
      <c r="O197" s="370"/>
      <c r="P197" s="386">
        <f t="shared" si="76"/>
        <v>0</v>
      </c>
      <c r="Q197" s="371"/>
      <c r="R197" s="371"/>
      <c r="S197" s="371"/>
      <c r="T197" s="371"/>
      <c r="U197" s="371"/>
      <c r="V197" s="371"/>
      <c r="W197" s="371"/>
      <c r="X197" s="371"/>
      <c r="Y197" s="371"/>
      <c r="Z197" s="371"/>
      <c r="AA197" s="371"/>
      <c r="AB197" s="371"/>
      <c r="AC197" s="371"/>
      <c r="AD197" s="371"/>
      <c r="AE197" s="371"/>
      <c r="AF197" s="385">
        <f t="shared" si="77"/>
        <v>0</v>
      </c>
      <c r="AG197" s="371"/>
      <c r="AH197" s="371"/>
      <c r="AI197" s="387">
        <f t="shared" si="50"/>
        <v>0</v>
      </c>
    </row>
    <row r="198" spans="1:35" s="393" customFormat="1" ht="33.6" customHeight="1">
      <c r="A198" s="427" t="s">
        <v>923</v>
      </c>
      <c r="B198" s="428" t="s">
        <v>70</v>
      </c>
      <c r="C198" s="395" t="s">
        <v>217</v>
      </c>
      <c r="D198" s="396">
        <v>4</v>
      </c>
      <c r="E198" s="385">
        <f t="shared" si="74"/>
        <v>1508300</v>
      </c>
      <c r="F198" s="368"/>
      <c r="G198" s="368">
        <v>1508300</v>
      </c>
      <c r="H198" s="385">
        <f t="shared" si="75"/>
        <v>1508300</v>
      </c>
      <c r="I198" s="371"/>
      <c r="J198" s="371"/>
      <c r="K198" s="371"/>
      <c r="L198" s="371"/>
      <c r="M198" s="371"/>
      <c r="N198" s="371">
        <v>1508300</v>
      </c>
      <c r="O198" s="370"/>
      <c r="P198" s="386">
        <f t="shared" si="76"/>
        <v>0</v>
      </c>
      <c r="Q198" s="371"/>
      <c r="R198" s="371"/>
      <c r="S198" s="371"/>
      <c r="T198" s="371"/>
      <c r="U198" s="371"/>
      <c r="V198" s="371"/>
      <c r="W198" s="371"/>
      <c r="X198" s="371"/>
      <c r="Y198" s="371"/>
      <c r="Z198" s="371"/>
      <c r="AA198" s="371"/>
      <c r="AB198" s="371"/>
      <c r="AC198" s="371"/>
      <c r="AD198" s="371"/>
      <c r="AE198" s="371"/>
      <c r="AF198" s="385">
        <f t="shared" si="77"/>
        <v>0</v>
      </c>
      <c r="AG198" s="371"/>
      <c r="AH198" s="371"/>
      <c r="AI198" s="387">
        <f t="shared" ref="AI198:AI261" si="78">IF(+F198+G198=E198,0,FALSE)</f>
        <v>0</v>
      </c>
    </row>
    <row r="199" spans="1:35" s="393" customFormat="1" ht="38.450000000000003" customHeight="1">
      <c r="A199" s="427" t="s">
        <v>923</v>
      </c>
      <c r="B199" s="428" t="s">
        <v>70</v>
      </c>
      <c r="C199" s="395" t="s">
        <v>930</v>
      </c>
      <c r="D199" s="396">
        <v>4</v>
      </c>
      <c r="E199" s="385">
        <f t="shared" si="74"/>
        <v>744000</v>
      </c>
      <c r="F199" s="368"/>
      <c r="G199" s="368">
        <v>744000</v>
      </c>
      <c r="H199" s="385">
        <f t="shared" si="75"/>
        <v>744000</v>
      </c>
      <c r="I199" s="371"/>
      <c r="J199" s="371"/>
      <c r="K199" s="371"/>
      <c r="L199" s="371"/>
      <c r="M199" s="371"/>
      <c r="N199" s="371">
        <v>744000</v>
      </c>
      <c r="O199" s="370"/>
      <c r="P199" s="386">
        <f t="shared" si="76"/>
        <v>0</v>
      </c>
      <c r="Q199" s="371"/>
      <c r="R199" s="371"/>
      <c r="S199" s="371"/>
      <c r="T199" s="371"/>
      <c r="U199" s="371"/>
      <c r="V199" s="371"/>
      <c r="W199" s="371"/>
      <c r="X199" s="371"/>
      <c r="Y199" s="371"/>
      <c r="Z199" s="371"/>
      <c r="AA199" s="371"/>
      <c r="AB199" s="371"/>
      <c r="AC199" s="371"/>
      <c r="AD199" s="371"/>
      <c r="AE199" s="371"/>
      <c r="AF199" s="385">
        <f t="shared" si="77"/>
        <v>0</v>
      </c>
      <c r="AG199" s="371"/>
      <c r="AH199" s="371"/>
      <c r="AI199" s="387">
        <f t="shared" si="78"/>
        <v>0</v>
      </c>
    </row>
    <row r="200" spans="1:35" s="393" customFormat="1" ht="51" customHeight="1">
      <c r="A200" s="427" t="s">
        <v>923</v>
      </c>
      <c r="B200" s="428" t="s">
        <v>70</v>
      </c>
      <c r="C200" s="395" t="s">
        <v>931</v>
      </c>
      <c r="D200" s="396">
        <v>4</v>
      </c>
      <c r="E200" s="385">
        <f t="shared" si="74"/>
        <v>25000</v>
      </c>
      <c r="F200" s="368"/>
      <c r="G200" s="368">
        <v>25000</v>
      </c>
      <c r="H200" s="385">
        <f t="shared" si="75"/>
        <v>25000</v>
      </c>
      <c r="I200" s="371"/>
      <c r="J200" s="371"/>
      <c r="K200" s="371"/>
      <c r="L200" s="371"/>
      <c r="M200" s="371"/>
      <c r="N200" s="371">
        <v>25000</v>
      </c>
      <c r="O200" s="370"/>
      <c r="P200" s="386">
        <f t="shared" si="76"/>
        <v>0</v>
      </c>
      <c r="Q200" s="371"/>
      <c r="R200" s="371"/>
      <c r="S200" s="371"/>
      <c r="T200" s="371"/>
      <c r="U200" s="371"/>
      <c r="V200" s="371"/>
      <c r="W200" s="371"/>
      <c r="X200" s="371"/>
      <c r="Y200" s="371"/>
      <c r="Z200" s="371"/>
      <c r="AA200" s="371"/>
      <c r="AB200" s="371"/>
      <c r="AC200" s="371"/>
      <c r="AD200" s="371"/>
      <c r="AE200" s="371"/>
      <c r="AF200" s="385">
        <f t="shared" si="77"/>
        <v>0</v>
      </c>
      <c r="AG200" s="371"/>
      <c r="AH200" s="371"/>
      <c r="AI200" s="387">
        <f t="shared" si="78"/>
        <v>0</v>
      </c>
    </row>
    <row r="201" spans="1:35" s="393" customFormat="1" ht="41.45" customHeight="1">
      <c r="A201" s="427" t="s">
        <v>923</v>
      </c>
      <c r="B201" s="428" t="s">
        <v>70</v>
      </c>
      <c r="C201" s="504" t="s">
        <v>1238</v>
      </c>
      <c r="D201" s="396">
        <v>4</v>
      </c>
      <c r="E201" s="385">
        <f t="shared" si="74"/>
        <v>544900</v>
      </c>
      <c r="F201" s="368"/>
      <c r="G201" s="368">
        <v>544900</v>
      </c>
      <c r="H201" s="385">
        <f t="shared" si="75"/>
        <v>544900</v>
      </c>
      <c r="I201" s="371">
        <v>544900</v>
      </c>
      <c r="J201" s="371"/>
      <c r="K201" s="371"/>
      <c r="L201" s="371"/>
      <c r="M201" s="371"/>
      <c r="N201" s="371"/>
      <c r="O201" s="370"/>
      <c r="P201" s="386">
        <f t="shared" si="76"/>
        <v>0</v>
      </c>
      <c r="Q201" s="371"/>
      <c r="R201" s="371"/>
      <c r="S201" s="371"/>
      <c r="T201" s="371"/>
      <c r="U201" s="371"/>
      <c r="V201" s="371"/>
      <c r="W201" s="371"/>
      <c r="X201" s="371"/>
      <c r="Y201" s="371"/>
      <c r="Z201" s="371"/>
      <c r="AA201" s="371"/>
      <c r="AB201" s="371"/>
      <c r="AC201" s="371"/>
      <c r="AD201" s="371"/>
      <c r="AE201" s="371"/>
      <c r="AF201" s="385">
        <f t="shared" si="77"/>
        <v>0</v>
      </c>
      <c r="AG201" s="371"/>
      <c r="AH201" s="371"/>
      <c r="AI201" s="387">
        <f t="shared" si="78"/>
        <v>0</v>
      </c>
    </row>
    <row r="202" spans="1:35" s="393" customFormat="1" ht="33" customHeight="1">
      <c r="A202" s="427" t="s">
        <v>923</v>
      </c>
      <c r="B202" s="428" t="s">
        <v>70</v>
      </c>
      <c r="C202" s="395" t="s">
        <v>214</v>
      </c>
      <c r="D202" s="396">
        <v>4</v>
      </c>
      <c r="E202" s="385">
        <f t="shared" si="74"/>
        <v>464058</v>
      </c>
      <c r="F202" s="368"/>
      <c r="G202" s="368">
        <v>464058</v>
      </c>
      <c r="H202" s="385">
        <f t="shared" si="75"/>
        <v>464058</v>
      </c>
      <c r="I202" s="371">
        <v>464058</v>
      </c>
      <c r="J202" s="371"/>
      <c r="K202" s="371"/>
      <c r="L202" s="371"/>
      <c r="M202" s="371"/>
      <c r="N202" s="371"/>
      <c r="O202" s="370"/>
      <c r="P202" s="386">
        <f t="shared" si="76"/>
        <v>0</v>
      </c>
      <c r="Q202" s="371"/>
      <c r="R202" s="371"/>
      <c r="S202" s="371"/>
      <c r="T202" s="371"/>
      <c r="U202" s="371"/>
      <c r="V202" s="371"/>
      <c r="W202" s="371"/>
      <c r="X202" s="371"/>
      <c r="Y202" s="371"/>
      <c r="Z202" s="371"/>
      <c r="AA202" s="371"/>
      <c r="AB202" s="371"/>
      <c r="AC202" s="371"/>
      <c r="AD202" s="371"/>
      <c r="AE202" s="371"/>
      <c r="AF202" s="385">
        <f t="shared" si="77"/>
        <v>0</v>
      </c>
      <c r="AG202" s="371"/>
      <c r="AH202" s="371"/>
      <c r="AI202" s="387">
        <f t="shared" si="78"/>
        <v>0</v>
      </c>
    </row>
    <row r="203" spans="1:35" s="393" customFormat="1" ht="37.5" customHeight="1">
      <c r="A203" s="427" t="s">
        <v>923</v>
      </c>
      <c r="B203" s="428" t="s">
        <v>70</v>
      </c>
      <c r="C203" s="395" t="s">
        <v>613</v>
      </c>
      <c r="D203" s="396">
        <v>4</v>
      </c>
      <c r="E203" s="385">
        <f t="shared" si="74"/>
        <v>496100</v>
      </c>
      <c r="F203" s="368"/>
      <c r="G203" s="368">
        <v>496100</v>
      </c>
      <c r="H203" s="385">
        <f t="shared" si="75"/>
        <v>496100</v>
      </c>
      <c r="I203" s="371">
        <v>496100</v>
      </c>
      <c r="J203" s="371"/>
      <c r="K203" s="371"/>
      <c r="L203" s="371"/>
      <c r="M203" s="371"/>
      <c r="N203" s="371"/>
      <c r="O203" s="370"/>
      <c r="P203" s="386">
        <f t="shared" si="76"/>
        <v>0</v>
      </c>
      <c r="Q203" s="371"/>
      <c r="R203" s="371"/>
      <c r="S203" s="371"/>
      <c r="T203" s="371"/>
      <c r="U203" s="371"/>
      <c r="V203" s="371"/>
      <c r="W203" s="371"/>
      <c r="X203" s="371"/>
      <c r="Y203" s="371"/>
      <c r="Z203" s="371"/>
      <c r="AA203" s="371"/>
      <c r="AB203" s="371"/>
      <c r="AC203" s="371"/>
      <c r="AD203" s="371"/>
      <c r="AE203" s="371"/>
      <c r="AF203" s="385">
        <f t="shared" si="77"/>
        <v>0</v>
      </c>
      <c r="AG203" s="371"/>
      <c r="AH203" s="371"/>
      <c r="AI203" s="387">
        <f t="shared" si="78"/>
        <v>0</v>
      </c>
    </row>
    <row r="204" spans="1:35" s="393" customFormat="1" ht="33.6" customHeight="1">
      <c r="A204" s="427" t="s">
        <v>923</v>
      </c>
      <c r="B204" s="428" t="s">
        <v>70</v>
      </c>
      <c r="C204" s="395" t="s">
        <v>614</v>
      </c>
      <c r="D204" s="396">
        <v>4</v>
      </c>
      <c r="E204" s="385">
        <f t="shared" si="74"/>
        <v>28600</v>
      </c>
      <c r="F204" s="368"/>
      <c r="G204" s="368">
        <v>28600</v>
      </c>
      <c r="H204" s="385">
        <f t="shared" si="75"/>
        <v>28600</v>
      </c>
      <c r="I204" s="371">
        <v>28600</v>
      </c>
      <c r="J204" s="371"/>
      <c r="K204" s="371"/>
      <c r="L204" s="371"/>
      <c r="M204" s="371"/>
      <c r="N204" s="371"/>
      <c r="O204" s="370"/>
      <c r="P204" s="386">
        <f t="shared" si="76"/>
        <v>0</v>
      </c>
      <c r="Q204" s="371"/>
      <c r="R204" s="371"/>
      <c r="S204" s="371"/>
      <c r="T204" s="371"/>
      <c r="U204" s="371"/>
      <c r="V204" s="371"/>
      <c r="W204" s="371"/>
      <c r="X204" s="371"/>
      <c r="Y204" s="371"/>
      <c r="Z204" s="371"/>
      <c r="AA204" s="371"/>
      <c r="AB204" s="371"/>
      <c r="AC204" s="371"/>
      <c r="AD204" s="371"/>
      <c r="AE204" s="371"/>
      <c r="AF204" s="385">
        <f t="shared" si="77"/>
        <v>0</v>
      </c>
      <c r="AG204" s="371"/>
      <c r="AH204" s="371"/>
      <c r="AI204" s="387">
        <f t="shared" si="78"/>
        <v>0</v>
      </c>
    </row>
    <row r="205" spans="1:35" s="393" customFormat="1" ht="39.950000000000003" customHeight="1">
      <c r="A205" s="427" t="s">
        <v>923</v>
      </c>
      <c r="B205" s="428" t="s">
        <v>70</v>
      </c>
      <c r="C205" s="504" t="s">
        <v>1239</v>
      </c>
      <c r="D205" s="396">
        <v>4</v>
      </c>
      <c r="E205" s="385">
        <f t="shared" si="74"/>
        <v>1466000</v>
      </c>
      <c r="F205" s="368"/>
      <c r="G205" s="368">
        <v>1466000</v>
      </c>
      <c r="H205" s="385">
        <f t="shared" si="75"/>
        <v>1466000</v>
      </c>
      <c r="I205" s="371"/>
      <c r="J205" s="371"/>
      <c r="K205" s="371">
        <v>1466000</v>
      </c>
      <c r="L205" s="371"/>
      <c r="M205" s="371"/>
      <c r="N205" s="371"/>
      <c r="O205" s="370"/>
      <c r="P205" s="386">
        <f t="shared" si="76"/>
        <v>0</v>
      </c>
      <c r="Q205" s="371"/>
      <c r="R205" s="371"/>
      <c r="S205" s="371"/>
      <c r="T205" s="371"/>
      <c r="U205" s="371"/>
      <c r="V205" s="371"/>
      <c r="W205" s="371"/>
      <c r="X205" s="371"/>
      <c r="Y205" s="371"/>
      <c r="Z205" s="371"/>
      <c r="AA205" s="371"/>
      <c r="AB205" s="371"/>
      <c r="AC205" s="371"/>
      <c r="AD205" s="371"/>
      <c r="AE205" s="371"/>
      <c r="AF205" s="385">
        <f t="shared" si="77"/>
        <v>0</v>
      </c>
      <c r="AG205" s="371"/>
      <c r="AH205" s="371"/>
      <c r="AI205" s="387">
        <f t="shared" si="78"/>
        <v>0</v>
      </c>
    </row>
    <row r="206" spans="1:35" s="393" customFormat="1" ht="24" customHeight="1">
      <c r="A206" s="427" t="s">
        <v>923</v>
      </c>
      <c r="B206" s="428" t="s">
        <v>70</v>
      </c>
      <c r="C206" s="395" t="s">
        <v>504</v>
      </c>
      <c r="D206" s="396">
        <v>4</v>
      </c>
      <c r="E206" s="385">
        <f t="shared" si="74"/>
        <v>7000</v>
      </c>
      <c r="F206" s="368"/>
      <c r="G206" s="368">
        <v>7000</v>
      </c>
      <c r="H206" s="385">
        <f t="shared" si="75"/>
        <v>5000</v>
      </c>
      <c r="I206" s="371"/>
      <c r="J206" s="371"/>
      <c r="K206" s="371"/>
      <c r="L206" s="371"/>
      <c r="M206" s="371"/>
      <c r="N206" s="371"/>
      <c r="O206" s="370">
        <v>5000</v>
      </c>
      <c r="P206" s="386">
        <f t="shared" si="76"/>
        <v>2000</v>
      </c>
      <c r="Q206" s="371"/>
      <c r="R206" s="371"/>
      <c r="S206" s="371"/>
      <c r="T206" s="371"/>
      <c r="U206" s="371"/>
      <c r="V206" s="371"/>
      <c r="W206" s="371"/>
      <c r="X206" s="371"/>
      <c r="Y206" s="371"/>
      <c r="Z206" s="371"/>
      <c r="AA206" s="371"/>
      <c r="AB206" s="371"/>
      <c r="AC206" s="371"/>
      <c r="AD206" s="371"/>
      <c r="AE206" s="371">
        <v>2000</v>
      </c>
      <c r="AF206" s="385">
        <f t="shared" si="77"/>
        <v>0</v>
      </c>
      <c r="AG206" s="371"/>
      <c r="AH206" s="371"/>
      <c r="AI206" s="387">
        <f t="shared" si="78"/>
        <v>0</v>
      </c>
    </row>
    <row r="207" spans="1:35" s="393" customFormat="1" ht="36.950000000000003" customHeight="1">
      <c r="A207" s="427" t="s">
        <v>923</v>
      </c>
      <c r="B207" s="428" t="s">
        <v>477</v>
      </c>
      <c r="C207" s="395" t="s">
        <v>932</v>
      </c>
      <c r="D207" s="396">
        <v>4</v>
      </c>
      <c r="E207" s="385">
        <f t="shared" si="74"/>
        <v>5365000</v>
      </c>
      <c r="F207" s="371"/>
      <c r="G207" s="371">
        <v>5365000</v>
      </c>
      <c r="H207" s="385">
        <f t="shared" si="75"/>
        <v>5365000</v>
      </c>
      <c r="I207" s="371"/>
      <c r="J207" s="371"/>
      <c r="K207" s="371"/>
      <c r="L207" s="371">
        <v>5365000</v>
      </c>
      <c r="M207" s="371"/>
      <c r="N207" s="371"/>
      <c r="O207" s="370"/>
      <c r="P207" s="386">
        <f t="shared" si="76"/>
        <v>0</v>
      </c>
      <c r="Q207" s="371"/>
      <c r="R207" s="371"/>
      <c r="S207" s="371"/>
      <c r="T207" s="371"/>
      <c r="U207" s="371"/>
      <c r="V207" s="371"/>
      <c r="W207" s="371"/>
      <c r="X207" s="371"/>
      <c r="Y207" s="371"/>
      <c r="Z207" s="371"/>
      <c r="AA207" s="371"/>
      <c r="AB207" s="371"/>
      <c r="AC207" s="371"/>
      <c r="AD207" s="371"/>
      <c r="AE207" s="371"/>
      <c r="AF207" s="385">
        <f t="shared" si="77"/>
        <v>0</v>
      </c>
      <c r="AG207" s="371"/>
      <c r="AH207" s="371"/>
      <c r="AI207" s="387">
        <f t="shared" si="78"/>
        <v>0</v>
      </c>
    </row>
    <row r="208" spans="1:35" s="393" customFormat="1" ht="30.6" customHeight="1">
      <c r="A208" s="427" t="s">
        <v>923</v>
      </c>
      <c r="B208" s="428" t="s">
        <v>476</v>
      </c>
      <c r="C208" s="395" t="s">
        <v>223</v>
      </c>
      <c r="D208" s="396">
        <v>4</v>
      </c>
      <c r="E208" s="385">
        <f t="shared" si="74"/>
        <v>1200000</v>
      </c>
      <c r="F208" s="368"/>
      <c r="G208" s="368">
        <v>1200000</v>
      </c>
      <c r="H208" s="385">
        <f t="shared" si="75"/>
        <v>1200000</v>
      </c>
      <c r="I208" s="371"/>
      <c r="J208" s="371"/>
      <c r="K208" s="371"/>
      <c r="L208" s="371">
        <v>1200000</v>
      </c>
      <c r="M208" s="371"/>
      <c r="N208" s="371"/>
      <c r="O208" s="370"/>
      <c r="P208" s="386">
        <f t="shared" si="76"/>
        <v>0</v>
      </c>
      <c r="Q208" s="371"/>
      <c r="R208" s="371"/>
      <c r="S208" s="371"/>
      <c r="T208" s="371"/>
      <c r="U208" s="371"/>
      <c r="V208" s="371"/>
      <c r="W208" s="371"/>
      <c r="X208" s="371"/>
      <c r="Y208" s="371"/>
      <c r="Z208" s="371"/>
      <c r="AA208" s="371"/>
      <c r="AB208" s="371"/>
      <c r="AC208" s="371"/>
      <c r="AD208" s="371"/>
      <c r="AE208" s="371"/>
      <c r="AF208" s="385">
        <f t="shared" si="77"/>
        <v>0</v>
      </c>
      <c r="AG208" s="371"/>
      <c r="AH208" s="371"/>
      <c r="AI208" s="387">
        <f t="shared" si="78"/>
        <v>0</v>
      </c>
    </row>
    <row r="209" spans="1:35" s="393" customFormat="1" ht="30.95" customHeight="1">
      <c r="A209" s="427" t="s">
        <v>923</v>
      </c>
      <c r="B209" s="428" t="s">
        <v>476</v>
      </c>
      <c r="C209" s="395" t="s">
        <v>933</v>
      </c>
      <c r="D209" s="396">
        <v>4</v>
      </c>
      <c r="E209" s="385">
        <f t="shared" si="74"/>
        <v>1731900</v>
      </c>
      <c r="F209" s="368"/>
      <c r="G209" s="368">
        <v>1731900</v>
      </c>
      <c r="H209" s="385">
        <f t="shared" si="75"/>
        <v>1731900</v>
      </c>
      <c r="I209" s="371"/>
      <c r="J209" s="371"/>
      <c r="K209" s="371"/>
      <c r="L209" s="371"/>
      <c r="M209" s="371"/>
      <c r="N209" s="371">
        <v>1731900</v>
      </c>
      <c r="O209" s="370"/>
      <c r="P209" s="386">
        <f t="shared" si="76"/>
        <v>0</v>
      </c>
      <c r="Q209" s="371"/>
      <c r="R209" s="371"/>
      <c r="S209" s="371"/>
      <c r="T209" s="371"/>
      <c r="U209" s="371"/>
      <c r="V209" s="371"/>
      <c r="W209" s="371"/>
      <c r="X209" s="371"/>
      <c r="Y209" s="371"/>
      <c r="Z209" s="371"/>
      <c r="AA209" s="371"/>
      <c r="AB209" s="371"/>
      <c r="AC209" s="371"/>
      <c r="AD209" s="371"/>
      <c r="AE209" s="371"/>
      <c r="AF209" s="385">
        <f t="shared" si="77"/>
        <v>0</v>
      </c>
      <c r="AG209" s="371"/>
      <c r="AH209" s="371"/>
      <c r="AI209" s="387">
        <f t="shared" si="78"/>
        <v>0</v>
      </c>
    </row>
    <row r="210" spans="1:35" s="393" customFormat="1" ht="35.1" customHeight="1">
      <c r="A210" s="427" t="s">
        <v>923</v>
      </c>
      <c r="B210" s="428" t="s">
        <v>476</v>
      </c>
      <c r="C210" s="395" t="s">
        <v>226</v>
      </c>
      <c r="D210" s="396">
        <v>4</v>
      </c>
      <c r="E210" s="385">
        <f t="shared" si="74"/>
        <v>122500</v>
      </c>
      <c r="F210" s="368"/>
      <c r="G210" s="368">
        <v>122500</v>
      </c>
      <c r="H210" s="385">
        <f t="shared" si="75"/>
        <v>122500</v>
      </c>
      <c r="I210" s="371"/>
      <c r="J210" s="371"/>
      <c r="K210" s="371"/>
      <c r="L210" s="371"/>
      <c r="M210" s="371">
        <v>122500</v>
      </c>
      <c r="N210" s="371"/>
      <c r="O210" s="370"/>
      <c r="P210" s="386">
        <f t="shared" si="76"/>
        <v>0</v>
      </c>
      <c r="Q210" s="371"/>
      <c r="R210" s="371"/>
      <c r="S210" s="371"/>
      <c r="T210" s="371"/>
      <c r="U210" s="371"/>
      <c r="V210" s="371"/>
      <c r="W210" s="371"/>
      <c r="X210" s="371"/>
      <c r="Y210" s="371"/>
      <c r="Z210" s="371"/>
      <c r="AA210" s="371"/>
      <c r="AB210" s="371"/>
      <c r="AC210" s="371"/>
      <c r="AD210" s="371"/>
      <c r="AE210" s="371"/>
      <c r="AF210" s="385">
        <f t="shared" si="77"/>
        <v>0</v>
      </c>
      <c r="AG210" s="371"/>
      <c r="AH210" s="371"/>
      <c r="AI210" s="387">
        <f t="shared" si="78"/>
        <v>0</v>
      </c>
    </row>
    <row r="211" spans="1:35" s="393" customFormat="1" ht="30.95" customHeight="1">
      <c r="A211" s="427" t="s">
        <v>923</v>
      </c>
      <c r="B211" s="428" t="s">
        <v>476</v>
      </c>
      <c r="C211" s="395" t="s">
        <v>934</v>
      </c>
      <c r="D211" s="396">
        <v>4</v>
      </c>
      <c r="E211" s="385">
        <f t="shared" si="74"/>
        <v>1140900</v>
      </c>
      <c r="F211" s="368"/>
      <c r="G211" s="368">
        <v>1140900</v>
      </c>
      <c r="H211" s="385">
        <f t="shared" si="75"/>
        <v>1140900</v>
      </c>
      <c r="I211" s="371"/>
      <c r="J211" s="371"/>
      <c r="K211" s="371"/>
      <c r="L211" s="371"/>
      <c r="M211" s="371"/>
      <c r="N211" s="371">
        <v>1140900</v>
      </c>
      <c r="O211" s="370"/>
      <c r="P211" s="386">
        <f t="shared" si="76"/>
        <v>0</v>
      </c>
      <c r="Q211" s="371"/>
      <c r="R211" s="371"/>
      <c r="S211" s="371"/>
      <c r="T211" s="371"/>
      <c r="U211" s="371"/>
      <c r="V211" s="371"/>
      <c r="W211" s="371"/>
      <c r="X211" s="371"/>
      <c r="Y211" s="371"/>
      <c r="Z211" s="371"/>
      <c r="AA211" s="371"/>
      <c r="AB211" s="371"/>
      <c r="AC211" s="371"/>
      <c r="AD211" s="371"/>
      <c r="AE211" s="371"/>
      <c r="AF211" s="385">
        <f t="shared" si="77"/>
        <v>0</v>
      </c>
      <c r="AG211" s="371"/>
      <c r="AH211" s="371"/>
      <c r="AI211" s="387">
        <f t="shared" si="78"/>
        <v>0</v>
      </c>
    </row>
    <row r="212" spans="1:35" s="393" customFormat="1" ht="33" customHeight="1">
      <c r="A212" s="427" t="s">
        <v>923</v>
      </c>
      <c r="B212" s="428" t="s">
        <v>476</v>
      </c>
      <c r="C212" s="395" t="s">
        <v>228</v>
      </c>
      <c r="D212" s="396">
        <v>4</v>
      </c>
      <c r="E212" s="385">
        <f t="shared" si="74"/>
        <v>676800</v>
      </c>
      <c r="F212" s="368"/>
      <c r="G212" s="368">
        <v>676800</v>
      </c>
      <c r="H212" s="385">
        <f t="shared" si="75"/>
        <v>676800</v>
      </c>
      <c r="I212" s="371"/>
      <c r="J212" s="371"/>
      <c r="K212" s="371"/>
      <c r="L212" s="371"/>
      <c r="M212" s="371"/>
      <c r="N212" s="371">
        <v>676800</v>
      </c>
      <c r="O212" s="370"/>
      <c r="P212" s="386">
        <f t="shared" si="76"/>
        <v>0</v>
      </c>
      <c r="Q212" s="371"/>
      <c r="R212" s="371"/>
      <c r="S212" s="371"/>
      <c r="T212" s="371"/>
      <c r="U212" s="371"/>
      <c r="V212" s="371"/>
      <c r="W212" s="371"/>
      <c r="X212" s="371"/>
      <c r="Y212" s="371"/>
      <c r="Z212" s="371"/>
      <c r="AA212" s="371"/>
      <c r="AB212" s="371"/>
      <c r="AC212" s="371"/>
      <c r="AD212" s="371"/>
      <c r="AE212" s="371"/>
      <c r="AF212" s="385">
        <f t="shared" si="77"/>
        <v>0</v>
      </c>
      <c r="AG212" s="371"/>
      <c r="AH212" s="371"/>
      <c r="AI212" s="387">
        <f t="shared" si="78"/>
        <v>0</v>
      </c>
    </row>
    <row r="213" spans="1:35" s="393" customFormat="1" ht="33" customHeight="1">
      <c r="A213" s="427" t="s">
        <v>923</v>
      </c>
      <c r="B213" s="428" t="s">
        <v>476</v>
      </c>
      <c r="C213" s="395" t="s">
        <v>935</v>
      </c>
      <c r="D213" s="396">
        <v>4</v>
      </c>
      <c r="E213" s="385">
        <f t="shared" si="74"/>
        <v>87000</v>
      </c>
      <c r="F213" s="368"/>
      <c r="G213" s="368">
        <v>87000</v>
      </c>
      <c r="H213" s="385">
        <f t="shared" si="75"/>
        <v>0</v>
      </c>
      <c r="I213" s="371"/>
      <c r="J213" s="371"/>
      <c r="K213" s="371"/>
      <c r="L213" s="371"/>
      <c r="M213" s="371"/>
      <c r="N213" s="371"/>
      <c r="O213" s="370"/>
      <c r="P213" s="386">
        <f t="shared" si="76"/>
        <v>87000</v>
      </c>
      <c r="Q213" s="371"/>
      <c r="R213" s="371"/>
      <c r="S213" s="371"/>
      <c r="T213" s="371"/>
      <c r="U213" s="371"/>
      <c r="V213" s="371"/>
      <c r="W213" s="371"/>
      <c r="X213" s="371"/>
      <c r="Y213" s="371"/>
      <c r="Z213" s="371"/>
      <c r="AA213" s="371"/>
      <c r="AB213" s="371"/>
      <c r="AC213" s="371"/>
      <c r="AD213" s="371">
        <v>87000</v>
      </c>
      <c r="AE213" s="371"/>
      <c r="AF213" s="385">
        <f t="shared" si="77"/>
        <v>0</v>
      </c>
      <c r="AG213" s="371"/>
      <c r="AH213" s="371"/>
      <c r="AI213" s="387">
        <f t="shared" si="78"/>
        <v>0</v>
      </c>
    </row>
    <row r="214" spans="1:35" s="393" customFormat="1" ht="54" customHeight="1">
      <c r="A214" s="427" t="s">
        <v>923</v>
      </c>
      <c r="B214" s="428" t="s">
        <v>234</v>
      </c>
      <c r="C214" s="395" t="s">
        <v>936</v>
      </c>
      <c r="D214" s="396">
        <v>4</v>
      </c>
      <c r="E214" s="385">
        <f t="shared" si="74"/>
        <v>100000</v>
      </c>
      <c r="F214" s="368"/>
      <c r="G214" s="368">
        <v>100000</v>
      </c>
      <c r="H214" s="385">
        <f t="shared" si="75"/>
        <v>0</v>
      </c>
      <c r="I214" s="371"/>
      <c r="J214" s="371"/>
      <c r="K214" s="371"/>
      <c r="L214" s="371"/>
      <c r="M214" s="371"/>
      <c r="N214" s="371"/>
      <c r="O214" s="370"/>
      <c r="P214" s="386">
        <f t="shared" si="76"/>
        <v>0</v>
      </c>
      <c r="Q214" s="371"/>
      <c r="R214" s="371"/>
      <c r="S214" s="371"/>
      <c r="T214" s="371"/>
      <c r="U214" s="371"/>
      <c r="V214" s="371"/>
      <c r="W214" s="371"/>
      <c r="X214" s="371"/>
      <c r="Y214" s="371"/>
      <c r="Z214" s="371"/>
      <c r="AA214" s="371"/>
      <c r="AB214" s="371"/>
      <c r="AC214" s="371"/>
      <c r="AD214" s="371"/>
      <c r="AE214" s="371"/>
      <c r="AF214" s="385">
        <f t="shared" si="77"/>
        <v>100000</v>
      </c>
      <c r="AG214" s="371">
        <v>100000</v>
      </c>
      <c r="AH214" s="371"/>
      <c r="AI214" s="387">
        <f t="shared" si="78"/>
        <v>0</v>
      </c>
    </row>
    <row r="215" spans="1:35" s="393" customFormat="1" ht="52.5" customHeight="1">
      <c r="A215" s="427" t="s">
        <v>923</v>
      </c>
      <c r="B215" s="428" t="s">
        <v>234</v>
      </c>
      <c r="C215" s="395" t="s">
        <v>937</v>
      </c>
      <c r="D215" s="396">
        <v>4</v>
      </c>
      <c r="E215" s="385">
        <f t="shared" si="74"/>
        <v>419302</v>
      </c>
      <c r="F215" s="368"/>
      <c r="G215" s="368">
        <v>419302</v>
      </c>
      <c r="H215" s="385">
        <f t="shared" si="75"/>
        <v>0</v>
      </c>
      <c r="I215" s="371"/>
      <c r="J215" s="371"/>
      <c r="K215" s="371"/>
      <c r="L215" s="371"/>
      <c r="M215" s="371"/>
      <c r="N215" s="371"/>
      <c r="O215" s="370"/>
      <c r="P215" s="386">
        <f t="shared" si="76"/>
        <v>0</v>
      </c>
      <c r="Q215" s="371"/>
      <c r="R215" s="371"/>
      <c r="S215" s="371"/>
      <c r="T215" s="371"/>
      <c r="U215" s="371"/>
      <c r="V215" s="371"/>
      <c r="W215" s="371"/>
      <c r="X215" s="371"/>
      <c r="Y215" s="371"/>
      <c r="Z215" s="371"/>
      <c r="AA215" s="371"/>
      <c r="AB215" s="371"/>
      <c r="AC215" s="371"/>
      <c r="AD215" s="371"/>
      <c r="AE215" s="371"/>
      <c r="AF215" s="385">
        <f t="shared" si="77"/>
        <v>419302</v>
      </c>
      <c r="AG215" s="371"/>
      <c r="AH215" s="371">
        <v>419302</v>
      </c>
      <c r="AI215" s="387">
        <f t="shared" si="78"/>
        <v>0</v>
      </c>
    </row>
    <row r="216" spans="1:35" s="393" customFormat="1" ht="44.45" customHeight="1">
      <c r="A216" s="427" t="s">
        <v>923</v>
      </c>
      <c r="B216" s="428" t="s">
        <v>234</v>
      </c>
      <c r="C216" s="395" t="s">
        <v>505</v>
      </c>
      <c r="D216" s="396">
        <v>4</v>
      </c>
      <c r="E216" s="385">
        <f t="shared" si="74"/>
        <v>2261</v>
      </c>
      <c r="F216" s="368">
        <v>2261</v>
      </c>
      <c r="G216" s="368"/>
      <c r="H216" s="385">
        <f t="shared" si="75"/>
        <v>0</v>
      </c>
      <c r="I216" s="371"/>
      <c r="J216" s="371"/>
      <c r="K216" s="371"/>
      <c r="L216" s="371"/>
      <c r="M216" s="371"/>
      <c r="N216" s="371"/>
      <c r="O216" s="370"/>
      <c r="P216" s="386">
        <f t="shared" si="76"/>
        <v>0</v>
      </c>
      <c r="Q216" s="371"/>
      <c r="R216" s="371"/>
      <c r="S216" s="371"/>
      <c r="T216" s="371"/>
      <c r="U216" s="371"/>
      <c r="V216" s="371"/>
      <c r="W216" s="371"/>
      <c r="X216" s="371"/>
      <c r="Y216" s="371"/>
      <c r="Z216" s="371"/>
      <c r="AA216" s="371"/>
      <c r="AB216" s="371"/>
      <c r="AC216" s="371"/>
      <c r="AD216" s="371"/>
      <c r="AE216" s="371"/>
      <c r="AF216" s="385">
        <f t="shared" si="77"/>
        <v>2261</v>
      </c>
      <c r="AG216" s="371"/>
      <c r="AH216" s="371">
        <v>2261</v>
      </c>
      <c r="AI216" s="387">
        <f t="shared" si="78"/>
        <v>0</v>
      </c>
    </row>
    <row r="217" spans="1:35" s="410" customFormat="1" ht="22.5" customHeight="1">
      <c r="A217" s="405" t="s">
        <v>1104</v>
      </c>
      <c r="B217" s="406"/>
      <c r="C217" s="407"/>
      <c r="D217" s="408"/>
      <c r="E217" s="409">
        <f t="shared" ref="E217:AH217" si="79">SUM(E218:E219)</f>
        <v>5817062</v>
      </c>
      <c r="F217" s="409">
        <f t="shared" si="79"/>
        <v>1428000</v>
      </c>
      <c r="G217" s="409">
        <f t="shared" si="79"/>
        <v>4389062</v>
      </c>
      <c r="H217" s="409">
        <f t="shared" si="79"/>
        <v>1933178</v>
      </c>
      <c r="I217" s="409">
        <f t="shared" si="79"/>
        <v>255530</v>
      </c>
      <c r="J217" s="409">
        <f t="shared" si="79"/>
        <v>255530</v>
      </c>
      <c r="K217" s="409">
        <f t="shared" si="79"/>
        <v>255530</v>
      </c>
      <c r="L217" s="409">
        <f t="shared" si="79"/>
        <v>255530</v>
      </c>
      <c r="M217" s="409">
        <f t="shared" si="79"/>
        <v>255530</v>
      </c>
      <c r="N217" s="409">
        <f t="shared" si="79"/>
        <v>635528</v>
      </c>
      <c r="O217" s="409">
        <f t="shared" si="79"/>
        <v>20000</v>
      </c>
      <c r="P217" s="409">
        <f t="shared" si="79"/>
        <v>3789752</v>
      </c>
      <c r="Q217" s="409">
        <f t="shared" si="79"/>
        <v>293285</v>
      </c>
      <c r="R217" s="409">
        <f t="shared" si="79"/>
        <v>283285</v>
      </c>
      <c r="S217" s="409">
        <f t="shared" si="79"/>
        <v>316285</v>
      </c>
      <c r="T217" s="409">
        <f t="shared" si="79"/>
        <v>592285</v>
      </c>
      <c r="U217" s="409">
        <f t="shared" si="79"/>
        <v>235285</v>
      </c>
      <c r="V217" s="409">
        <f t="shared" si="79"/>
        <v>293285</v>
      </c>
      <c r="W217" s="409">
        <f t="shared" si="79"/>
        <v>343285</v>
      </c>
      <c r="X217" s="409">
        <f t="shared" si="79"/>
        <v>368285</v>
      </c>
      <c r="Y217" s="409">
        <f t="shared" si="79"/>
        <v>98285</v>
      </c>
      <c r="Z217" s="409">
        <f t="shared" si="79"/>
        <v>443207</v>
      </c>
      <c r="AA217" s="409">
        <f t="shared" si="79"/>
        <v>93285</v>
      </c>
      <c r="AB217" s="409">
        <f t="shared" si="79"/>
        <v>43285</v>
      </c>
      <c r="AC217" s="409">
        <f t="shared" si="79"/>
        <v>43285</v>
      </c>
      <c r="AD217" s="409">
        <f t="shared" si="79"/>
        <v>43285</v>
      </c>
      <c r="AE217" s="409">
        <f t="shared" si="79"/>
        <v>299840</v>
      </c>
      <c r="AF217" s="409">
        <f t="shared" si="79"/>
        <v>94132</v>
      </c>
      <c r="AG217" s="409">
        <f t="shared" si="79"/>
        <v>47066</v>
      </c>
      <c r="AH217" s="409">
        <f t="shared" si="79"/>
        <v>47066</v>
      </c>
      <c r="AI217" s="387">
        <f t="shared" si="78"/>
        <v>0</v>
      </c>
    </row>
    <row r="218" spans="1:35" s="393" customFormat="1" ht="36.6" customHeight="1">
      <c r="A218" s="427" t="s">
        <v>923</v>
      </c>
      <c r="B218" s="428" t="s">
        <v>79</v>
      </c>
      <c r="C218" s="395" t="s">
        <v>938</v>
      </c>
      <c r="D218" s="396">
        <v>4</v>
      </c>
      <c r="E218" s="385">
        <f>SUM(H218,P218,AF218)</f>
        <v>2353300</v>
      </c>
      <c r="F218" s="368">
        <v>1428000</v>
      </c>
      <c r="G218" s="368">
        <v>925300</v>
      </c>
      <c r="H218" s="385">
        <f>SUM(I218:O218)</f>
        <v>1553178</v>
      </c>
      <c r="I218" s="371">
        <v>255530</v>
      </c>
      <c r="J218" s="371">
        <v>255530</v>
      </c>
      <c r="K218" s="371">
        <v>255530</v>
      </c>
      <c r="L218" s="371">
        <v>255530</v>
      </c>
      <c r="M218" s="371">
        <v>255530</v>
      </c>
      <c r="N218" s="371">
        <v>255528</v>
      </c>
      <c r="O218" s="370">
        <v>20000</v>
      </c>
      <c r="P218" s="386">
        <f>SUM(Q218:AE218)</f>
        <v>705990</v>
      </c>
      <c r="Q218" s="371">
        <v>43285</v>
      </c>
      <c r="R218" s="371">
        <v>43285</v>
      </c>
      <c r="S218" s="371">
        <v>43285</v>
      </c>
      <c r="T218" s="371">
        <v>43285</v>
      </c>
      <c r="U218" s="371">
        <v>43285</v>
      </c>
      <c r="V218" s="371">
        <v>43285</v>
      </c>
      <c r="W218" s="371">
        <v>43285</v>
      </c>
      <c r="X218" s="371">
        <v>43285</v>
      </c>
      <c r="Y218" s="371">
        <v>43285</v>
      </c>
      <c r="Z218" s="371">
        <v>43285</v>
      </c>
      <c r="AA218" s="371">
        <v>43285</v>
      </c>
      <c r="AB218" s="371">
        <v>43285</v>
      </c>
      <c r="AC218" s="371">
        <v>43285</v>
      </c>
      <c r="AD218" s="371">
        <v>43285</v>
      </c>
      <c r="AE218" s="371">
        <v>100000</v>
      </c>
      <c r="AF218" s="385">
        <f>SUM(AG218:AH218)</f>
        <v>94132</v>
      </c>
      <c r="AG218" s="371">
        <v>47066</v>
      </c>
      <c r="AH218" s="371">
        <v>47066</v>
      </c>
      <c r="AI218" s="387">
        <f t="shared" si="78"/>
        <v>0</v>
      </c>
    </row>
    <row r="219" spans="1:35" s="393" customFormat="1" ht="41.45" customHeight="1">
      <c r="A219" s="427" t="s">
        <v>923</v>
      </c>
      <c r="B219" s="428" t="s">
        <v>79</v>
      </c>
      <c r="C219" s="395" t="s">
        <v>616</v>
      </c>
      <c r="D219" s="396">
        <v>4</v>
      </c>
      <c r="E219" s="385">
        <f>SUM(H219,P219,AF219)</f>
        <v>3463762</v>
      </c>
      <c r="F219" s="368"/>
      <c r="G219" s="368">
        <v>3463762</v>
      </c>
      <c r="H219" s="385">
        <f>SUM(I219:O219)</f>
        <v>380000</v>
      </c>
      <c r="I219" s="371"/>
      <c r="J219" s="371"/>
      <c r="K219" s="371"/>
      <c r="L219" s="371"/>
      <c r="M219" s="371"/>
      <c r="N219" s="371">
        <v>380000</v>
      </c>
      <c r="O219" s="370"/>
      <c r="P219" s="386">
        <f>SUM(Q219:AE219)</f>
        <v>3083762</v>
      </c>
      <c r="Q219" s="371">
        <v>250000</v>
      </c>
      <c r="R219" s="371">
        <v>240000</v>
      </c>
      <c r="S219" s="371">
        <v>273000</v>
      </c>
      <c r="T219" s="371">
        <v>549000</v>
      </c>
      <c r="U219" s="371">
        <v>192000</v>
      </c>
      <c r="V219" s="371">
        <v>250000</v>
      </c>
      <c r="W219" s="371">
        <v>300000</v>
      </c>
      <c r="X219" s="371">
        <v>325000</v>
      </c>
      <c r="Y219" s="371">
        <v>55000</v>
      </c>
      <c r="Z219" s="371">
        <v>399922</v>
      </c>
      <c r="AA219" s="371">
        <v>50000</v>
      </c>
      <c r="AB219" s="371"/>
      <c r="AC219" s="371"/>
      <c r="AD219" s="371"/>
      <c r="AE219" s="371">
        <v>199840</v>
      </c>
      <c r="AF219" s="385">
        <f>SUM(AG219:AH219)</f>
        <v>0</v>
      </c>
      <c r="AG219" s="371"/>
      <c r="AH219" s="371"/>
      <c r="AI219" s="387">
        <f t="shared" si="78"/>
        <v>0</v>
      </c>
    </row>
    <row r="220" spans="1:35" s="404" customFormat="1" ht="24" customHeight="1">
      <c r="A220" s="398" t="s">
        <v>940</v>
      </c>
      <c r="B220" s="399"/>
      <c r="C220" s="400"/>
      <c r="D220" s="401"/>
      <c r="E220" s="402">
        <f t="shared" ref="E220:AH220" si="80">SUM(E221:E223)</f>
        <v>1500295</v>
      </c>
      <c r="F220" s="402">
        <f t="shared" si="80"/>
        <v>1500295</v>
      </c>
      <c r="G220" s="402">
        <f t="shared" si="80"/>
        <v>0</v>
      </c>
      <c r="H220" s="402">
        <f t="shared" si="80"/>
        <v>1498406</v>
      </c>
      <c r="I220" s="402">
        <f t="shared" si="80"/>
        <v>138</v>
      </c>
      <c r="J220" s="402">
        <f t="shared" si="80"/>
        <v>589136</v>
      </c>
      <c r="K220" s="402">
        <f t="shared" si="80"/>
        <v>90</v>
      </c>
      <c r="L220" s="402">
        <f t="shared" si="80"/>
        <v>173</v>
      </c>
      <c r="M220" s="402">
        <f t="shared" si="80"/>
        <v>288</v>
      </c>
      <c r="N220" s="402">
        <f t="shared" si="80"/>
        <v>908581</v>
      </c>
      <c r="O220" s="402">
        <f t="shared" si="80"/>
        <v>0</v>
      </c>
      <c r="P220" s="402">
        <f t="shared" si="80"/>
        <v>1889</v>
      </c>
      <c r="Q220" s="402">
        <f t="shared" si="80"/>
        <v>117</v>
      </c>
      <c r="R220" s="402">
        <f t="shared" si="80"/>
        <v>0</v>
      </c>
      <c r="S220" s="402">
        <f t="shared" si="80"/>
        <v>30</v>
      </c>
      <c r="T220" s="402">
        <f t="shared" si="80"/>
        <v>80</v>
      </c>
      <c r="U220" s="402">
        <f t="shared" si="80"/>
        <v>0</v>
      </c>
      <c r="V220" s="402">
        <f t="shared" si="80"/>
        <v>70</v>
      </c>
      <c r="W220" s="402">
        <f t="shared" si="80"/>
        <v>72</v>
      </c>
      <c r="X220" s="402">
        <f t="shared" si="80"/>
        <v>459</v>
      </c>
      <c r="Y220" s="402">
        <f t="shared" si="80"/>
        <v>104</v>
      </c>
      <c r="Z220" s="402">
        <f t="shared" si="80"/>
        <v>0</v>
      </c>
      <c r="AA220" s="402">
        <f t="shared" si="80"/>
        <v>404</v>
      </c>
      <c r="AB220" s="402">
        <f t="shared" si="80"/>
        <v>168</v>
      </c>
      <c r="AC220" s="402">
        <f t="shared" si="80"/>
        <v>204</v>
      </c>
      <c r="AD220" s="402">
        <f t="shared" si="80"/>
        <v>181</v>
      </c>
      <c r="AE220" s="402">
        <f t="shared" si="80"/>
        <v>0</v>
      </c>
      <c r="AF220" s="402">
        <f t="shared" si="80"/>
        <v>0</v>
      </c>
      <c r="AG220" s="402">
        <f t="shared" si="80"/>
        <v>0</v>
      </c>
      <c r="AH220" s="402">
        <f t="shared" si="80"/>
        <v>0</v>
      </c>
      <c r="AI220" s="387">
        <f t="shared" si="78"/>
        <v>0</v>
      </c>
    </row>
    <row r="221" spans="1:35" s="393" customFormat="1" ht="36" customHeight="1">
      <c r="A221" s="397" t="s">
        <v>498</v>
      </c>
      <c r="B221" s="394" t="s">
        <v>1105</v>
      </c>
      <c r="C221" s="395" t="s">
        <v>482</v>
      </c>
      <c r="D221" s="396">
        <v>5</v>
      </c>
      <c r="E221" s="385">
        <f>SUM(H221,P221,AF221)</f>
        <v>1497127</v>
      </c>
      <c r="F221" s="368">
        <v>1497127</v>
      </c>
      <c r="G221" s="368">
        <v>0</v>
      </c>
      <c r="H221" s="385">
        <f>SUM(I221:O221)</f>
        <v>1497127</v>
      </c>
      <c r="I221" s="371">
        <v>0</v>
      </c>
      <c r="J221" s="371">
        <v>588984</v>
      </c>
      <c r="K221" s="371">
        <v>0</v>
      </c>
      <c r="L221" s="371">
        <v>0</v>
      </c>
      <c r="M221" s="371">
        <v>0</v>
      </c>
      <c r="N221" s="371">
        <v>908143</v>
      </c>
      <c r="O221" s="370">
        <v>0</v>
      </c>
      <c r="P221" s="386">
        <f>SUM(Q221:AE221)</f>
        <v>0</v>
      </c>
      <c r="Q221" s="371">
        <v>0</v>
      </c>
      <c r="R221" s="371">
        <v>0</v>
      </c>
      <c r="S221" s="371">
        <v>0</v>
      </c>
      <c r="T221" s="371">
        <v>0</v>
      </c>
      <c r="U221" s="371">
        <v>0</v>
      </c>
      <c r="V221" s="371">
        <v>0</v>
      </c>
      <c r="W221" s="371">
        <v>0</v>
      </c>
      <c r="X221" s="371">
        <v>0</v>
      </c>
      <c r="Y221" s="371">
        <v>0</v>
      </c>
      <c r="Z221" s="371">
        <v>0</v>
      </c>
      <c r="AA221" s="371">
        <v>0</v>
      </c>
      <c r="AB221" s="371">
        <v>0</v>
      </c>
      <c r="AC221" s="371">
        <v>0</v>
      </c>
      <c r="AD221" s="371">
        <v>0</v>
      </c>
      <c r="AE221" s="371">
        <v>0</v>
      </c>
      <c r="AF221" s="385">
        <f>SUM(AG221:AH221)</f>
        <v>0</v>
      </c>
      <c r="AG221" s="371">
        <v>0</v>
      </c>
      <c r="AH221" s="371">
        <v>0</v>
      </c>
      <c r="AI221" s="387">
        <f t="shared" si="78"/>
        <v>0</v>
      </c>
    </row>
    <row r="222" spans="1:35" s="393" customFormat="1" ht="48.6" customHeight="1">
      <c r="A222" s="397" t="s">
        <v>498</v>
      </c>
      <c r="B222" s="394" t="s">
        <v>1105</v>
      </c>
      <c r="C222" s="395" t="s">
        <v>683</v>
      </c>
      <c r="D222" s="396">
        <v>5</v>
      </c>
      <c r="E222" s="385">
        <f>SUM(H222,P222,AF222)</f>
        <v>1950</v>
      </c>
      <c r="F222" s="368">
        <v>1950</v>
      </c>
      <c r="G222" s="368">
        <v>0</v>
      </c>
      <c r="H222" s="385">
        <f>SUM(I222:O222)</f>
        <v>700</v>
      </c>
      <c r="I222" s="371">
        <v>0</v>
      </c>
      <c r="J222" s="371">
        <v>80</v>
      </c>
      <c r="K222" s="371">
        <v>60</v>
      </c>
      <c r="L222" s="371">
        <v>80</v>
      </c>
      <c r="M222" s="371">
        <v>180</v>
      </c>
      <c r="N222" s="371">
        <v>300</v>
      </c>
      <c r="O222" s="370">
        <v>0</v>
      </c>
      <c r="P222" s="386">
        <f>SUM(Q222:AE222)</f>
        <v>1250</v>
      </c>
      <c r="Q222" s="371">
        <v>80</v>
      </c>
      <c r="R222" s="371">
        <v>0</v>
      </c>
      <c r="S222" s="371">
        <v>0</v>
      </c>
      <c r="T222" s="371">
        <v>0</v>
      </c>
      <c r="U222" s="371">
        <v>0</v>
      </c>
      <c r="V222" s="371">
        <v>0</v>
      </c>
      <c r="W222" s="371">
        <v>0</v>
      </c>
      <c r="X222" s="371">
        <v>350</v>
      </c>
      <c r="Y222" s="371">
        <v>90</v>
      </c>
      <c r="Z222" s="371">
        <v>0</v>
      </c>
      <c r="AA222" s="371">
        <v>290</v>
      </c>
      <c r="AB222" s="371">
        <v>120</v>
      </c>
      <c r="AC222" s="371">
        <v>160</v>
      </c>
      <c r="AD222" s="371">
        <v>160</v>
      </c>
      <c r="AE222" s="371">
        <v>0</v>
      </c>
      <c r="AF222" s="385">
        <f>SUM(AG222:AH222)</f>
        <v>0</v>
      </c>
      <c r="AG222" s="371">
        <v>0</v>
      </c>
      <c r="AH222" s="371">
        <v>0</v>
      </c>
      <c r="AI222" s="387">
        <f t="shared" si="78"/>
        <v>0</v>
      </c>
    </row>
    <row r="223" spans="1:35" s="393" customFormat="1" ht="29.45" customHeight="1">
      <c r="A223" s="397" t="s">
        <v>498</v>
      </c>
      <c r="B223" s="394" t="s">
        <v>1105</v>
      </c>
      <c r="C223" s="395" t="s">
        <v>682</v>
      </c>
      <c r="D223" s="396">
        <v>5</v>
      </c>
      <c r="E223" s="385">
        <f>SUM(H223,P223,AF223)</f>
        <v>1218</v>
      </c>
      <c r="F223" s="368">
        <v>1218</v>
      </c>
      <c r="G223" s="368">
        <v>0</v>
      </c>
      <c r="H223" s="385">
        <f>SUM(I223:O223)</f>
        <v>579</v>
      </c>
      <c r="I223" s="371">
        <v>138</v>
      </c>
      <c r="J223" s="371">
        <v>72</v>
      </c>
      <c r="K223" s="371">
        <v>30</v>
      </c>
      <c r="L223" s="371">
        <v>93</v>
      </c>
      <c r="M223" s="371">
        <v>108</v>
      </c>
      <c r="N223" s="371">
        <v>138</v>
      </c>
      <c r="O223" s="370">
        <v>0</v>
      </c>
      <c r="P223" s="386">
        <f>SUM(Q223:AE223)</f>
        <v>639</v>
      </c>
      <c r="Q223" s="371">
        <v>37</v>
      </c>
      <c r="R223" s="371">
        <v>0</v>
      </c>
      <c r="S223" s="371">
        <v>30</v>
      </c>
      <c r="T223" s="371">
        <v>80</v>
      </c>
      <c r="U223" s="371">
        <v>0</v>
      </c>
      <c r="V223" s="371">
        <v>70</v>
      </c>
      <c r="W223" s="371">
        <v>72</v>
      </c>
      <c r="X223" s="371">
        <v>109</v>
      </c>
      <c r="Y223" s="371">
        <v>14</v>
      </c>
      <c r="Z223" s="371">
        <v>0</v>
      </c>
      <c r="AA223" s="371">
        <v>114</v>
      </c>
      <c r="AB223" s="371">
        <v>48</v>
      </c>
      <c r="AC223" s="371">
        <v>44</v>
      </c>
      <c r="AD223" s="371">
        <v>21</v>
      </c>
      <c r="AE223" s="371">
        <v>0</v>
      </c>
      <c r="AF223" s="385">
        <f>SUM(AG223:AH223)</f>
        <v>0</v>
      </c>
      <c r="AG223" s="371">
        <v>0</v>
      </c>
      <c r="AH223" s="371">
        <v>0</v>
      </c>
      <c r="AI223" s="387">
        <f t="shared" si="78"/>
        <v>0</v>
      </c>
    </row>
    <row r="224" spans="1:35" s="404" customFormat="1" ht="24" customHeight="1">
      <c r="A224" s="398" t="s">
        <v>941</v>
      </c>
      <c r="B224" s="399"/>
      <c r="C224" s="400"/>
      <c r="D224" s="401"/>
      <c r="E224" s="402">
        <f t="shared" ref="E224:AH224" si="81">E225+E247+E260+E266+E283+E298</f>
        <v>3213971</v>
      </c>
      <c r="F224" s="402">
        <f t="shared" si="81"/>
        <v>833628</v>
      </c>
      <c r="G224" s="402">
        <f t="shared" si="81"/>
        <v>2380343</v>
      </c>
      <c r="H224" s="402">
        <f t="shared" si="81"/>
        <v>1137239</v>
      </c>
      <c r="I224" s="402">
        <f t="shared" si="81"/>
        <v>34003</v>
      </c>
      <c r="J224" s="402">
        <f t="shared" si="81"/>
        <v>17616</v>
      </c>
      <c r="K224" s="402">
        <f t="shared" si="81"/>
        <v>69891</v>
      </c>
      <c r="L224" s="402">
        <f t="shared" si="81"/>
        <v>297313</v>
      </c>
      <c r="M224" s="402">
        <f t="shared" si="81"/>
        <v>351210</v>
      </c>
      <c r="N224" s="402">
        <f t="shared" si="81"/>
        <v>101746</v>
      </c>
      <c r="O224" s="402">
        <f t="shared" si="81"/>
        <v>265460</v>
      </c>
      <c r="P224" s="402">
        <f t="shared" si="81"/>
        <v>1994736</v>
      </c>
      <c r="Q224" s="402">
        <f t="shared" si="81"/>
        <v>46513</v>
      </c>
      <c r="R224" s="402">
        <f t="shared" si="81"/>
        <v>24694</v>
      </c>
      <c r="S224" s="402">
        <f t="shared" si="81"/>
        <v>42928</v>
      </c>
      <c r="T224" s="402">
        <f t="shared" si="81"/>
        <v>241206</v>
      </c>
      <c r="U224" s="402">
        <f t="shared" si="81"/>
        <v>30531</v>
      </c>
      <c r="V224" s="402">
        <f t="shared" si="81"/>
        <v>118443</v>
      </c>
      <c r="W224" s="402">
        <f t="shared" si="81"/>
        <v>88974</v>
      </c>
      <c r="X224" s="402">
        <f t="shared" si="81"/>
        <v>103142</v>
      </c>
      <c r="Y224" s="402">
        <f t="shared" si="81"/>
        <v>53041</v>
      </c>
      <c r="Z224" s="402">
        <f t="shared" si="81"/>
        <v>64544</v>
      </c>
      <c r="AA224" s="402">
        <f t="shared" si="81"/>
        <v>41023</v>
      </c>
      <c r="AB224" s="402">
        <f t="shared" si="81"/>
        <v>25427</v>
      </c>
      <c r="AC224" s="402">
        <f t="shared" si="81"/>
        <v>88122</v>
      </c>
      <c r="AD224" s="402">
        <f t="shared" si="81"/>
        <v>22572</v>
      </c>
      <c r="AE224" s="402">
        <f t="shared" si="81"/>
        <v>1003576</v>
      </c>
      <c r="AF224" s="402">
        <f t="shared" si="81"/>
        <v>81996</v>
      </c>
      <c r="AG224" s="402">
        <f t="shared" si="81"/>
        <v>56401</v>
      </c>
      <c r="AH224" s="402">
        <f t="shared" si="81"/>
        <v>25595</v>
      </c>
      <c r="AI224" s="387">
        <f t="shared" si="78"/>
        <v>0</v>
      </c>
    </row>
    <row r="225" spans="1:35" s="410" customFormat="1" ht="22.5" customHeight="1">
      <c r="A225" s="405" t="s">
        <v>1106</v>
      </c>
      <c r="B225" s="406"/>
      <c r="C225" s="407"/>
      <c r="D225" s="408"/>
      <c r="E225" s="409">
        <f t="shared" ref="E225:AH225" si="82">SUM(E226:E246)</f>
        <v>1714512</v>
      </c>
      <c r="F225" s="409">
        <f t="shared" si="82"/>
        <v>187373</v>
      </c>
      <c r="G225" s="409">
        <f t="shared" si="82"/>
        <v>1527139</v>
      </c>
      <c r="H225" s="409">
        <f t="shared" si="82"/>
        <v>458722</v>
      </c>
      <c r="I225" s="409">
        <f t="shared" si="82"/>
        <v>5667</v>
      </c>
      <c r="J225" s="409">
        <f t="shared" si="82"/>
        <v>105</v>
      </c>
      <c r="K225" s="409">
        <f t="shared" si="82"/>
        <v>43409</v>
      </c>
      <c r="L225" s="409">
        <f t="shared" si="82"/>
        <v>51459</v>
      </c>
      <c r="M225" s="409">
        <f t="shared" si="82"/>
        <v>112415</v>
      </c>
      <c r="N225" s="409">
        <f t="shared" si="82"/>
        <v>13873</v>
      </c>
      <c r="O225" s="409">
        <f t="shared" si="82"/>
        <v>231794</v>
      </c>
      <c r="P225" s="409">
        <f t="shared" si="82"/>
        <v>1224952</v>
      </c>
      <c r="Q225" s="409">
        <f t="shared" si="82"/>
        <v>13223</v>
      </c>
      <c r="R225" s="409">
        <f t="shared" si="82"/>
        <v>4264</v>
      </c>
      <c r="S225" s="409">
        <f t="shared" si="82"/>
        <v>11492</v>
      </c>
      <c r="T225" s="409">
        <f t="shared" si="82"/>
        <v>14634</v>
      </c>
      <c r="U225" s="409">
        <f t="shared" si="82"/>
        <v>10491</v>
      </c>
      <c r="V225" s="409">
        <f t="shared" si="82"/>
        <v>66898</v>
      </c>
      <c r="W225" s="409">
        <f t="shared" si="82"/>
        <v>44281</v>
      </c>
      <c r="X225" s="409">
        <f t="shared" si="82"/>
        <v>12510</v>
      </c>
      <c r="Y225" s="409">
        <f t="shared" si="82"/>
        <v>9446</v>
      </c>
      <c r="Z225" s="409">
        <f t="shared" si="82"/>
        <v>26470</v>
      </c>
      <c r="AA225" s="409">
        <f t="shared" si="82"/>
        <v>9958</v>
      </c>
      <c r="AB225" s="409">
        <f t="shared" si="82"/>
        <v>9728</v>
      </c>
      <c r="AC225" s="409">
        <f t="shared" si="82"/>
        <v>72929</v>
      </c>
      <c r="AD225" s="409">
        <f t="shared" si="82"/>
        <v>16404</v>
      </c>
      <c r="AE225" s="409">
        <f t="shared" si="82"/>
        <v>902224</v>
      </c>
      <c r="AF225" s="409">
        <f t="shared" si="82"/>
        <v>30838</v>
      </c>
      <c r="AG225" s="409">
        <f t="shared" si="82"/>
        <v>28617</v>
      </c>
      <c r="AH225" s="409">
        <f t="shared" si="82"/>
        <v>2221</v>
      </c>
      <c r="AI225" s="387">
        <f t="shared" si="78"/>
        <v>0</v>
      </c>
    </row>
    <row r="226" spans="1:35" s="393" customFormat="1" ht="47.45" customHeight="1">
      <c r="A226" s="397" t="s">
        <v>178</v>
      </c>
      <c r="B226" s="394" t="s">
        <v>179</v>
      </c>
      <c r="C226" s="395" t="s">
        <v>822</v>
      </c>
      <c r="D226" s="396">
        <v>4</v>
      </c>
      <c r="E226" s="385">
        <f t="shared" ref="E226:E246" si="83">SUM(H226,P226,AF226)</f>
        <v>5394</v>
      </c>
      <c r="F226" s="368">
        <v>5394</v>
      </c>
      <c r="G226" s="368"/>
      <c r="H226" s="385">
        <f t="shared" ref="H226:H246" si="84">SUM(I226:O226)</f>
        <v>1134</v>
      </c>
      <c r="I226" s="371">
        <v>0</v>
      </c>
      <c r="J226" s="371">
        <v>0</v>
      </c>
      <c r="K226" s="371">
        <v>250</v>
      </c>
      <c r="L226" s="371">
        <v>250</v>
      </c>
      <c r="M226" s="371">
        <v>384</v>
      </c>
      <c r="N226" s="371">
        <v>250</v>
      </c>
      <c r="O226" s="370"/>
      <c r="P226" s="386">
        <f t="shared" ref="P226:P246" si="85">SUM(Q226:AE226)</f>
        <v>4140</v>
      </c>
      <c r="Q226" s="371">
        <v>300</v>
      </c>
      <c r="R226" s="371">
        <v>300</v>
      </c>
      <c r="S226" s="371">
        <v>300</v>
      </c>
      <c r="T226" s="371">
        <v>600</v>
      </c>
      <c r="U226" s="371">
        <v>300</v>
      </c>
      <c r="V226" s="371">
        <v>300</v>
      </c>
      <c r="W226" s="371">
        <v>600</v>
      </c>
      <c r="X226" s="371">
        <v>600</v>
      </c>
      <c r="Y226" s="371">
        <v>300</v>
      </c>
      <c r="Z226" s="371">
        <v>300</v>
      </c>
      <c r="AA226" s="371">
        <v>120</v>
      </c>
      <c r="AB226" s="371">
        <v>40</v>
      </c>
      <c r="AC226" s="371">
        <v>40</v>
      </c>
      <c r="AD226" s="371">
        <v>40</v>
      </c>
      <c r="AE226" s="371"/>
      <c r="AF226" s="385">
        <f t="shared" ref="AF226:AF246" si="86">SUM(AG226:AH226)</f>
        <v>120</v>
      </c>
      <c r="AG226" s="371">
        <v>120</v>
      </c>
      <c r="AH226" s="371">
        <v>0</v>
      </c>
      <c r="AI226" s="387">
        <f t="shared" si="78"/>
        <v>0</v>
      </c>
    </row>
    <row r="227" spans="1:35" s="393" customFormat="1" ht="36.950000000000003" customHeight="1">
      <c r="A227" s="397" t="s">
        <v>178</v>
      </c>
      <c r="B227" s="394" t="s">
        <v>179</v>
      </c>
      <c r="C227" s="395" t="s">
        <v>393</v>
      </c>
      <c r="D227" s="396">
        <v>4</v>
      </c>
      <c r="E227" s="385">
        <f t="shared" si="83"/>
        <v>1000</v>
      </c>
      <c r="F227" s="368">
        <v>1000</v>
      </c>
      <c r="G227" s="368"/>
      <c r="H227" s="385">
        <f t="shared" si="84"/>
        <v>345</v>
      </c>
      <c r="I227" s="371">
        <v>20</v>
      </c>
      <c r="J227" s="371">
        <v>5</v>
      </c>
      <c r="K227" s="371">
        <v>50</v>
      </c>
      <c r="L227" s="371">
        <v>90</v>
      </c>
      <c r="M227" s="371">
        <v>100</v>
      </c>
      <c r="N227" s="371">
        <v>80</v>
      </c>
      <c r="O227" s="370"/>
      <c r="P227" s="386">
        <f t="shared" si="85"/>
        <v>650</v>
      </c>
      <c r="Q227" s="371">
        <v>30</v>
      </c>
      <c r="R227" s="371">
        <v>35</v>
      </c>
      <c r="S227" s="371">
        <v>55</v>
      </c>
      <c r="T227" s="371">
        <v>120</v>
      </c>
      <c r="U227" s="371">
        <v>85</v>
      </c>
      <c r="V227" s="371">
        <v>70</v>
      </c>
      <c r="W227" s="371">
        <v>80</v>
      </c>
      <c r="X227" s="371">
        <v>100</v>
      </c>
      <c r="Y227" s="371">
        <v>30</v>
      </c>
      <c r="Z227" s="371">
        <v>30</v>
      </c>
      <c r="AA227" s="371">
        <v>3</v>
      </c>
      <c r="AB227" s="371">
        <v>2</v>
      </c>
      <c r="AC227" s="371">
        <v>4</v>
      </c>
      <c r="AD227" s="371">
        <v>6</v>
      </c>
      <c r="AE227" s="371"/>
      <c r="AF227" s="385">
        <f t="shared" si="86"/>
        <v>5</v>
      </c>
      <c r="AG227" s="371">
        <v>3</v>
      </c>
      <c r="AH227" s="371">
        <v>2</v>
      </c>
      <c r="AI227" s="387">
        <f t="shared" si="78"/>
        <v>0</v>
      </c>
    </row>
    <row r="228" spans="1:35" s="393" customFormat="1" ht="36.950000000000003" customHeight="1">
      <c r="A228" s="397" t="s">
        <v>178</v>
      </c>
      <c r="B228" s="394" t="s">
        <v>179</v>
      </c>
      <c r="C228" s="395" t="s">
        <v>394</v>
      </c>
      <c r="D228" s="396">
        <v>4</v>
      </c>
      <c r="E228" s="385">
        <f t="shared" si="83"/>
        <v>651458</v>
      </c>
      <c r="F228" s="368">
        <v>35965</v>
      </c>
      <c r="G228" s="368">
        <v>615493</v>
      </c>
      <c r="H228" s="385">
        <f t="shared" si="84"/>
        <v>130353</v>
      </c>
      <c r="I228" s="371"/>
      <c r="J228" s="371">
        <v>0</v>
      </c>
      <c r="K228" s="371"/>
      <c r="L228" s="371"/>
      <c r="M228" s="371">
        <v>58279</v>
      </c>
      <c r="N228" s="371"/>
      <c r="O228" s="370">
        <v>72074</v>
      </c>
      <c r="P228" s="386">
        <f t="shared" si="85"/>
        <v>521105</v>
      </c>
      <c r="Q228" s="371"/>
      <c r="R228" s="371"/>
      <c r="S228" s="371"/>
      <c r="T228" s="371">
        <v>3334</v>
      </c>
      <c r="U228" s="371"/>
      <c r="V228" s="371">
        <v>56366</v>
      </c>
      <c r="W228" s="371">
        <v>28301</v>
      </c>
      <c r="X228" s="371"/>
      <c r="Y228" s="371"/>
      <c r="Z228" s="371"/>
      <c r="AA228" s="371"/>
      <c r="AB228" s="371"/>
      <c r="AC228" s="371"/>
      <c r="AD228" s="371"/>
      <c r="AE228" s="371">
        <v>433104</v>
      </c>
      <c r="AF228" s="385">
        <f t="shared" si="86"/>
        <v>0</v>
      </c>
      <c r="AG228" s="371"/>
      <c r="AH228" s="371"/>
      <c r="AI228" s="387">
        <f t="shared" si="78"/>
        <v>0</v>
      </c>
    </row>
    <row r="229" spans="1:35" s="393" customFormat="1" ht="24" customHeight="1">
      <c r="A229" s="397" t="s">
        <v>178</v>
      </c>
      <c r="B229" s="394" t="s">
        <v>179</v>
      </c>
      <c r="C229" s="395" t="s">
        <v>960</v>
      </c>
      <c r="D229" s="396">
        <v>4</v>
      </c>
      <c r="E229" s="385">
        <f t="shared" si="83"/>
        <v>600000</v>
      </c>
      <c r="F229" s="368">
        <v>0</v>
      </c>
      <c r="G229" s="368">
        <v>600000</v>
      </c>
      <c r="H229" s="385">
        <f t="shared" si="84"/>
        <v>150000</v>
      </c>
      <c r="I229" s="371"/>
      <c r="J229" s="371">
        <v>0</v>
      </c>
      <c r="K229" s="371"/>
      <c r="L229" s="371"/>
      <c r="M229" s="371"/>
      <c r="N229" s="371"/>
      <c r="O229" s="370">
        <v>150000</v>
      </c>
      <c r="P229" s="386">
        <f t="shared" si="85"/>
        <v>450000</v>
      </c>
      <c r="Q229" s="371"/>
      <c r="R229" s="371"/>
      <c r="S229" s="371"/>
      <c r="T229" s="371"/>
      <c r="U229" s="371"/>
      <c r="V229" s="371"/>
      <c r="W229" s="371"/>
      <c r="X229" s="371"/>
      <c r="Y229" s="371"/>
      <c r="Z229" s="371"/>
      <c r="AA229" s="371"/>
      <c r="AB229" s="371"/>
      <c r="AC229" s="371"/>
      <c r="AD229" s="371"/>
      <c r="AE229" s="371">
        <v>450000</v>
      </c>
      <c r="AF229" s="385">
        <f t="shared" si="86"/>
        <v>0</v>
      </c>
      <c r="AG229" s="371"/>
      <c r="AH229" s="371"/>
      <c r="AI229" s="387">
        <f t="shared" si="78"/>
        <v>0</v>
      </c>
    </row>
    <row r="230" spans="1:35" s="393" customFormat="1" ht="24" customHeight="1">
      <c r="A230" s="397" t="s">
        <v>178</v>
      </c>
      <c r="B230" s="394" t="s">
        <v>179</v>
      </c>
      <c r="C230" s="395" t="s">
        <v>382</v>
      </c>
      <c r="D230" s="396">
        <v>4</v>
      </c>
      <c r="E230" s="385">
        <f t="shared" si="83"/>
        <v>4992</v>
      </c>
      <c r="F230" s="368">
        <v>4992</v>
      </c>
      <c r="G230" s="368">
        <v>0</v>
      </c>
      <c r="H230" s="385">
        <f t="shared" si="84"/>
        <v>1551</v>
      </c>
      <c r="I230" s="371">
        <v>258</v>
      </c>
      <c r="J230" s="371">
        <v>0</v>
      </c>
      <c r="K230" s="371">
        <v>258</v>
      </c>
      <c r="L230" s="371">
        <v>344</v>
      </c>
      <c r="M230" s="371">
        <v>344</v>
      </c>
      <c r="N230" s="371">
        <v>347</v>
      </c>
      <c r="O230" s="370">
        <v>0</v>
      </c>
      <c r="P230" s="386">
        <f t="shared" si="85"/>
        <v>3381</v>
      </c>
      <c r="Q230" s="371">
        <v>367</v>
      </c>
      <c r="R230" s="371">
        <v>288</v>
      </c>
      <c r="S230" s="371">
        <v>201</v>
      </c>
      <c r="T230" s="371">
        <v>338</v>
      </c>
      <c r="U230" s="371">
        <v>327</v>
      </c>
      <c r="V230" s="371">
        <v>258</v>
      </c>
      <c r="W230" s="371">
        <v>270</v>
      </c>
      <c r="X230" s="371">
        <v>288</v>
      </c>
      <c r="Y230" s="371">
        <v>318</v>
      </c>
      <c r="Z230" s="371">
        <v>318</v>
      </c>
      <c r="AA230" s="371">
        <v>177</v>
      </c>
      <c r="AB230" s="371">
        <v>83</v>
      </c>
      <c r="AC230" s="371">
        <v>74</v>
      </c>
      <c r="AD230" s="371">
        <v>74</v>
      </c>
      <c r="AE230" s="371">
        <v>0</v>
      </c>
      <c r="AF230" s="385">
        <f t="shared" si="86"/>
        <v>60</v>
      </c>
      <c r="AG230" s="371">
        <v>60</v>
      </c>
      <c r="AH230" s="371">
        <v>0</v>
      </c>
      <c r="AI230" s="387">
        <f t="shared" si="78"/>
        <v>0</v>
      </c>
    </row>
    <row r="231" spans="1:35" s="393" customFormat="1" ht="24" customHeight="1">
      <c r="A231" s="397" t="s">
        <v>178</v>
      </c>
      <c r="B231" s="394" t="s">
        <v>179</v>
      </c>
      <c r="C231" s="395" t="s">
        <v>532</v>
      </c>
      <c r="D231" s="396">
        <v>4</v>
      </c>
      <c r="E231" s="385">
        <f t="shared" si="83"/>
        <v>20000</v>
      </c>
      <c r="F231" s="368">
        <v>20000</v>
      </c>
      <c r="G231" s="368">
        <v>0</v>
      </c>
      <c r="H231" s="385">
        <f t="shared" si="84"/>
        <v>7400</v>
      </c>
      <c r="I231" s="371">
        <v>1176</v>
      </c>
      <c r="J231" s="371">
        <v>0</v>
      </c>
      <c r="K231" s="371">
        <v>1176</v>
      </c>
      <c r="L231" s="371">
        <v>1976</v>
      </c>
      <c r="M231" s="371">
        <v>1886</v>
      </c>
      <c r="N231" s="371">
        <v>1186</v>
      </c>
      <c r="O231" s="370">
        <v>0</v>
      </c>
      <c r="P231" s="386">
        <f t="shared" si="85"/>
        <v>12600</v>
      </c>
      <c r="Q231" s="371">
        <v>1171</v>
      </c>
      <c r="R231" s="371">
        <v>1171</v>
      </c>
      <c r="S231" s="371">
        <v>1171</v>
      </c>
      <c r="T231" s="371">
        <v>1171</v>
      </c>
      <c r="U231" s="371">
        <v>1171</v>
      </c>
      <c r="V231" s="371">
        <v>1621</v>
      </c>
      <c r="W231" s="371">
        <v>1572</v>
      </c>
      <c r="X231" s="371">
        <v>1210</v>
      </c>
      <c r="Y231" s="371">
        <v>1171</v>
      </c>
      <c r="Z231" s="371">
        <v>1171</v>
      </c>
      <c r="AA231" s="371">
        <v>0</v>
      </c>
      <c r="AB231" s="371">
        <v>0</v>
      </c>
      <c r="AC231" s="371">
        <v>0</v>
      </c>
      <c r="AD231" s="371">
        <v>0</v>
      </c>
      <c r="AE231" s="371">
        <v>0</v>
      </c>
      <c r="AF231" s="385">
        <f t="shared" si="86"/>
        <v>0</v>
      </c>
      <c r="AG231" s="371">
        <v>0</v>
      </c>
      <c r="AH231" s="371">
        <v>0</v>
      </c>
      <c r="AI231" s="387">
        <f t="shared" si="78"/>
        <v>0</v>
      </c>
    </row>
    <row r="232" spans="1:35" s="393" customFormat="1" ht="33.950000000000003" customHeight="1">
      <c r="A232" s="397" t="s">
        <v>178</v>
      </c>
      <c r="B232" s="394" t="s">
        <v>179</v>
      </c>
      <c r="C232" s="395" t="s">
        <v>961</v>
      </c>
      <c r="D232" s="396">
        <v>4</v>
      </c>
      <c r="E232" s="385">
        <f t="shared" si="83"/>
        <v>91620</v>
      </c>
      <c r="F232" s="368">
        <v>91620</v>
      </c>
      <c r="G232" s="368">
        <v>0</v>
      </c>
      <c r="H232" s="385">
        <f t="shared" si="84"/>
        <v>33270</v>
      </c>
      <c r="I232" s="371">
        <v>3450</v>
      </c>
      <c r="J232" s="371">
        <v>0</v>
      </c>
      <c r="K232" s="371">
        <v>4800</v>
      </c>
      <c r="L232" s="371">
        <v>5000</v>
      </c>
      <c r="M232" s="371">
        <v>5200</v>
      </c>
      <c r="N232" s="371">
        <v>5100</v>
      </c>
      <c r="O232" s="370">
        <v>9720</v>
      </c>
      <c r="P232" s="386">
        <f t="shared" si="85"/>
        <v>54550</v>
      </c>
      <c r="Q232" s="371">
        <v>4300</v>
      </c>
      <c r="R232" s="371">
        <v>1250</v>
      </c>
      <c r="S232" s="371">
        <v>3000</v>
      </c>
      <c r="T232" s="371">
        <v>2700</v>
      </c>
      <c r="U232" s="371">
        <v>4300</v>
      </c>
      <c r="V232" s="371">
        <v>2200</v>
      </c>
      <c r="W232" s="371">
        <v>2600</v>
      </c>
      <c r="X232" s="371">
        <v>2800</v>
      </c>
      <c r="Y232" s="371">
        <v>2400</v>
      </c>
      <c r="Z232" s="371">
        <v>4150</v>
      </c>
      <c r="AA232" s="371">
        <v>1600</v>
      </c>
      <c r="AB232" s="371">
        <v>2600</v>
      </c>
      <c r="AC232" s="371">
        <v>1250</v>
      </c>
      <c r="AD232" s="371">
        <v>1600</v>
      </c>
      <c r="AE232" s="371">
        <v>17800</v>
      </c>
      <c r="AF232" s="385">
        <f t="shared" si="86"/>
        <v>3800</v>
      </c>
      <c r="AG232" s="371">
        <v>1800</v>
      </c>
      <c r="AH232" s="371">
        <v>2000</v>
      </c>
      <c r="AI232" s="387">
        <f t="shared" si="78"/>
        <v>0</v>
      </c>
    </row>
    <row r="233" spans="1:35" s="393" customFormat="1" ht="41.1" customHeight="1">
      <c r="A233" s="397" t="s">
        <v>178</v>
      </c>
      <c r="B233" s="394" t="s">
        <v>179</v>
      </c>
      <c r="C233" s="395" t="s">
        <v>825</v>
      </c>
      <c r="D233" s="396">
        <v>4</v>
      </c>
      <c r="E233" s="385">
        <f t="shared" si="83"/>
        <v>1219</v>
      </c>
      <c r="F233" s="368">
        <v>1219</v>
      </c>
      <c r="G233" s="368">
        <v>0</v>
      </c>
      <c r="H233" s="385">
        <f t="shared" si="84"/>
        <v>350</v>
      </c>
      <c r="I233" s="371">
        <v>49</v>
      </c>
      <c r="J233" s="371">
        <v>0</v>
      </c>
      <c r="K233" s="371">
        <v>58</v>
      </c>
      <c r="L233" s="371">
        <v>87</v>
      </c>
      <c r="M233" s="371">
        <v>110</v>
      </c>
      <c r="N233" s="371">
        <v>46</v>
      </c>
      <c r="O233" s="370">
        <v>0</v>
      </c>
      <c r="P233" s="386">
        <f t="shared" si="85"/>
        <v>869</v>
      </c>
      <c r="Q233" s="371">
        <v>43</v>
      </c>
      <c r="R233" s="371">
        <v>77</v>
      </c>
      <c r="S233" s="371">
        <v>98</v>
      </c>
      <c r="T233" s="371">
        <v>88</v>
      </c>
      <c r="U233" s="371">
        <v>58</v>
      </c>
      <c r="V233" s="371">
        <v>98</v>
      </c>
      <c r="W233" s="371">
        <v>89</v>
      </c>
      <c r="X233" s="371">
        <v>89</v>
      </c>
      <c r="Y233" s="371">
        <v>47</v>
      </c>
      <c r="Z233" s="371">
        <v>47</v>
      </c>
      <c r="AA233" s="371">
        <v>0</v>
      </c>
      <c r="AB233" s="371">
        <v>39</v>
      </c>
      <c r="AC233" s="371">
        <v>51</v>
      </c>
      <c r="AD233" s="371">
        <v>45</v>
      </c>
      <c r="AE233" s="371">
        <v>0</v>
      </c>
      <c r="AF233" s="385">
        <f t="shared" si="86"/>
        <v>0</v>
      </c>
      <c r="AG233" s="371">
        <v>0</v>
      </c>
      <c r="AH233" s="371">
        <v>0</v>
      </c>
      <c r="AI233" s="387">
        <f t="shared" si="78"/>
        <v>0</v>
      </c>
    </row>
    <row r="234" spans="1:35" s="393" customFormat="1" ht="24" customHeight="1">
      <c r="A234" s="397" t="s">
        <v>178</v>
      </c>
      <c r="B234" s="394" t="s">
        <v>179</v>
      </c>
      <c r="C234" s="395" t="s">
        <v>384</v>
      </c>
      <c r="D234" s="396">
        <v>4</v>
      </c>
      <c r="E234" s="385">
        <f t="shared" si="83"/>
        <v>3780</v>
      </c>
      <c r="F234" s="368">
        <v>3780</v>
      </c>
      <c r="G234" s="368">
        <v>0</v>
      </c>
      <c r="H234" s="385">
        <f t="shared" si="84"/>
        <v>1000</v>
      </c>
      <c r="I234" s="371">
        <v>0</v>
      </c>
      <c r="J234" s="371">
        <v>0</v>
      </c>
      <c r="K234" s="371">
        <v>150</v>
      </c>
      <c r="L234" s="371">
        <v>0</v>
      </c>
      <c r="M234" s="371">
        <v>190</v>
      </c>
      <c r="N234" s="371">
        <v>660</v>
      </c>
      <c r="O234" s="370">
        <v>0</v>
      </c>
      <c r="P234" s="386">
        <f t="shared" si="85"/>
        <v>2780</v>
      </c>
      <c r="Q234" s="371">
        <v>600</v>
      </c>
      <c r="R234" s="371">
        <v>160</v>
      </c>
      <c r="S234" s="371">
        <v>300</v>
      </c>
      <c r="T234" s="371">
        <v>440</v>
      </c>
      <c r="U234" s="371">
        <v>120</v>
      </c>
      <c r="V234" s="371">
        <v>280</v>
      </c>
      <c r="W234" s="371">
        <v>280</v>
      </c>
      <c r="X234" s="371">
        <v>280</v>
      </c>
      <c r="Y234" s="371">
        <v>140</v>
      </c>
      <c r="Z234" s="371">
        <v>80</v>
      </c>
      <c r="AA234" s="371">
        <v>100</v>
      </c>
      <c r="AB234" s="371">
        <v>0</v>
      </c>
      <c r="AC234" s="371">
        <v>0</v>
      </c>
      <c r="AD234" s="371">
        <v>0</v>
      </c>
      <c r="AE234" s="371">
        <v>0</v>
      </c>
      <c r="AF234" s="385">
        <f t="shared" si="86"/>
        <v>0</v>
      </c>
      <c r="AG234" s="371">
        <v>0</v>
      </c>
      <c r="AH234" s="371">
        <v>0</v>
      </c>
      <c r="AI234" s="387">
        <f t="shared" si="78"/>
        <v>0</v>
      </c>
    </row>
    <row r="235" spans="1:35" s="393" customFormat="1" ht="24" customHeight="1">
      <c r="A235" s="397" t="s">
        <v>178</v>
      </c>
      <c r="B235" s="394" t="s">
        <v>179</v>
      </c>
      <c r="C235" s="395" t="s">
        <v>826</v>
      </c>
      <c r="D235" s="396">
        <v>4</v>
      </c>
      <c r="E235" s="385">
        <f t="shared" si="83"/>
        <v>2592</v>
      </c>
      <c r="F235" s="368">
        <v>1152</v>
      </c>
      <c r="G235" s="368">
        <v>1440</v>
      </c>
      <c r="H235" s="385">
        <f t="shared" si="84"/>
        <v>816</v>
      </c>
      <c r="I235" s="371">
        <v>0</v>
      </c>
      <c r="J235" s="371">
        <v>0</v>
      </c>
      <c r="K235" s="371">
        <v>89</v>
      </c>
      <c r="L235" s="371">
        <v>110</v>
      </c>
      <c r="M235" s="371">
        <v>367</v>
      </c>
      <c r="N235" s="371">
        <v>250</v>
      </c>
      <c r="O235" s="370">
        <v>0</v>
      </c>
      <c r="P235" s="386">
        <f t="shared" si="85"/>
        <v>1776</v>
      </c>
      <c r="Q235" s="371">
        <v>0</v>
      </c>
      <c r="R235" s="371">
        <v>0</v>
      </c>
      <c r="S235" s="371">
        <v>0</v>
      </c>
      <c r="T235" s="371">
        <v>0</v>
      </c>
      <c r="U235" s="371">
        <v>0</v>
      </c>
      <c r="V235" s="371">
        <v>496</v>
      </c>
      <c r="W235" s="371">
        <v>300</v>
      </c>
      <c r="X235" s="371">
        <v>490</v>
      </c>
      <c r="Y235" s="371">
        <v>290</v>
      </c>
      <c r="Z235" s="371">
        <v>200</v>
      </c>
      <c r="AA235" s="371">
        <v>0</v>
      </c>
      <c r="AB235" s="371">
        <v>0</v>
      </c>
      <c r="AC235" s="371">
        <v>0</v>
      </c>
      <c r="AD235" s="371">
        <v>0</v>
      </c>
      <c r="AE235" s="371">
        <v>0</v>
      </c>
      <c r="AF235" s="385">
        <f t="shared" si="86"/>
        <v>0</v>
      </c>
      <c r="AG235" s="371">
        <v>0</v>
      </c>
      <c r="AH235" s="371">
        <v>0</v>
      </c>
      <c r="AI235" s="387">
        <f t="shared" si="78"/>
        <v>0</v>
      </c>
    </row>
    <row r="236" spans="1:35" s="393" customFormat="1" ht="31.5" customHeight="1">
      <c r="A236" s="397" t="s">
        <v>178</v>
      </c>
      <c r="B236" s="394" t="s">
        <v>179</v>
      </c>
      <c r="C236" s="395" t="s">
        <v>828</v>
      </c>
      <c r="D236" s="396">
        <v>4</v>
      </c>
      <c r="E236" s="385">
        <f t="shared" si="83"/>
        <v>10580</v>
      </c>
      <c r="F236" s="368">
        <v>768</v>
      </c>
      <c r="G236" s="368">
        <v>9812</v>
      </c>
      <c r="H236" s="385">
        <f t="shared" si="84"/>
        <v>3072</v>
      </c>
      <c r="I236" s="371">
        <v>0</v>
      </c>
      <c r="J236" s="371">
        <v>0</v>
      </c>
      <c r="K236" s="371">
        <v>0</v>
      </c>
      <c r="L236" s="371">
        <v>0</v>
      </c>
      <c r="M236" s="371">
        <v>1992</v>
      </c>
      <c r="N236" s="371">
        <v>1080</v>
      </c>
      <c r="O236" s="370">
        <v>0</v>
      </c>
      <c r="P236" s="386">
        <f t="shared" si="85"/>
        <v>7508</v>
      </c>
      <c r="Q236" s="371">
        <v>0</v>
      </c>
      <c r="R236" s="371">
        <v>0</v>
      </c>
      <c r="S236" s="371">
        <v>0</v>
      </c>
      <c r="T236" s="371">
        <v>2308</v>
      </c>
      <c r="U236" s="371">
        <v>0</v>
      </c>
      <c r="V236" s="371">
        <v>2600</v>
      </c>
      <c r="W236" s="371">
        <v>0</v>
      </c>
      <c r="X236" s="371">
        <v>2600</v>
      </c>
      <c r="Y236" s="371">
        <v>0</v>
      </c>
      <c r="Z236" s="371">
        <v>0</v>
      </c>
      <c r="AA236" s="371">
        <v>0</v>
      </c>
      <c r="AB236" s="371">
        <v>0</v>
      </c>
      <c r="AC236" s="371">
        <v>0</v>
      </c>
      <c r="AD236" s="371">
        <v>0</v>
      </c>
      <c r="AE236" s="371">
        <v>0</v>
      </c>
      <c r="AF236" s="385">
        <f t="shared" si="86"/>
        <v>0</v>
      </c>
      <c r="AG236" s="371">
        <v>0</v>
      </c>
      <c r="AH236" s="371">
        <v>0</v>
      </c>
      <c r="AI236" s="387">
        <f t="shared" si="78"/>
        <v>0</v>
      </c>
    </row>
    <row r="237" spans="1:35" s="393" customFormat="1" ht="23.1" customHeight="1">
      <c r="A237" s="397" t="s">
        <v>178</v>
      </c>
      <c r="B237" s="394" t="s">
        <v>179</v>
      </c>
      <c r="C237" s="395" t="s">
        <v>829</v>
      </c>
      <c r="D237" s="396">
        <v>4</v>
      </c>
      <c r="E237" s="385">
        <f t="shared" si="83"/>
        <v>5099</v>
      </c>
      <c r="F237" s="368">
        <v>217</v>
      </c>
      <c r="G237" s="368">
        <v>4882</v>
      </c>
      <c r="H237" s="385">
        <f t="shared" si="84"/>
        <v>1268</v>
      </c>
      <c r="I237" s="371">
        <v>0</v>
      </c>
      <c r="J237" s="371">
        <v>0</v>
      </c>
      <c r="K237" s="371">
        <v>264</v>
      </c>
      <c r="L237" s="371">
        <v>304</v>
      </c>
      <c r="M237" s="371">
        <v>0</v>
      </c>
      <c r="N237" s="371">
        <v>700</v>
      </c>
      <c r="O237" s="370">
        <v>0</v>
      </c>
      <c r="P237" s="386">
        <f t="shared" si="85"/>
        <v>3831</v>
      </c>
      <c r="Q237" s="371">
        <v>211</v>
      </c>
      <c r="R237" s="371">
        <v>309</v>
      </c>
      <c r="S237" s="371"/>
      <c r="T237" s="371">
        <v>650</v>
      </c>
      <c r="U237" s="371">
        <v>310</v>
      </c>
      <c r="V237" s="371">
        <v>643</v>
      </c>
      <c r="W237" s="371">
        <v>360</v>
      </c>
      <c r="X237" s="371">
        <v>625</v>
      </c>
      <c r="Y237" s="371">
        <v>310</v>
      </c>
      <c r="Z237" s="371">
        <v>207</v>
      </c>
      <c r="AA237" s="371">
        <v>206</v>
      </c>
      <c r="AB237" s="371">
        <v>0</v>
      </c>
      <c r="AC237" s="371">
        <v>0</v>
      </c>
      <c r="AD237" s="371">
        <v>0</v>
      </c>
      <c r="AE237" s="371">
        <v>0</v>
      </c>
      <c r="AF237" s="385">
        <f t="shared" si="86"/>
        <v>0</v>
      </c>
      <c r="AG237" s="371">
        <v>0</v>
      </c>
      <c r="AH237" s="371">
        <v>0</v>
      </c>
      <c r="AI237" s="387">
        <f t="shared" si="78"/>
        <v>0</v>
      </c>
    </row>
    <row r="238" spans="1:35" s="393" customFormat="1" ht="24" customHeight="1">
      <c r="A238" s="397" t="s">
        <v>178</v>
      </c>
      <c r="B238" s="394" t="s">
        <v>179</v>
      </c>
      <c r="C238" s="395" t="s">
        <v>830</v>
      </c>
      <c r="D238" s="396">
        <v>4</v>
      </c>
      <c r="E238" s="385">
        <f t="shared" si="83"/>
        <v>9813</v>
      </c>
      <c r="F238" s="368">
        <v>9813</v>
      </c>
      <c r="G238" s="368">
        <v>0</v>
      </c>
      <c r="H238" s="385">
        <f t="shared" si="84"/>
        <v>3285</v>
      </c>
      <c r="I238" s="371">
        <v>322</v>
      </c>
      <c r="J238" s="371">
        <v>0</v>
      </c>
      <c r="K238" s="371">
        <v>340</v>
      </c>
      <c r="L238" s="371">
        <v>500</v>
      </c>
      <c r="M238" s="371">
        <v>1153</v>
      </c>
      <c r="N238" s="371">
        <v>970</v>
      </c>
      <c r="O238" s="370">
        <v>0</v>
      </c>
      <c r="P238" s="386">
        <f t="shared" si="85"/>
        <v>6259</v>
      </c>
      <c r="Q238" s="371">
        <v>370</v>
      </c>
      <c r="R238" s="371">
        <v>370</v>
      </c>
      <c r="S238" s="371">
        <v>450</v>
      </c>
      <c r="T238" s="371">
        <v>1139</v>
      </c>
      <c r="U238" s="371">
        <v>450</v>
      </c>
      <c r="V238" s="371">
        <v>1170</v>
      </c>
      <c r="W238" s="371">
        <v>270</v>
      </c>
      <c r="X238" s="371">
        <v>1170</v>
      </c>
      <c r="Y238" s="371">
        <v>450</v>
      </c>
      <c r="Z238" s="371">
        <v>250</v>
      </c>
      <c r="AA238" s="371">
        <v>80</v>
      </c>
      <c r="AB238" s="371">
        <v>30</v>
      </c>
      <c r="AC238" s="371">
        <v>30</v>
      </c>
      <c r="AD238" s="371">
        <v>30</v>
      </c>
      <c r="AE238" s="371">
        <v>0</v>
      </c>
      <c r="AF238" s="385">
        <f t="shared" si="86"/>
        <v>269</v>
      </c>
      <c r="AG238" s="371">
        <v>80</v>
      </c>
      <c r="AH238" s="371">
        <v>189</v>
      </c>
      <c r="AI238" s="387">
        <f t="shared" si="78"/>
        <v>0</v>
      </c>
    </row>
    <row r="239" spans="1:35" s="393" customFormat="1" ht="24" customHeight="1">
      <c r="A239" s="397" t="s">
        <v>178</v>
      </c>
      <c r="B239" s="394" t="s">
        <v>179</v>
      </c>
      <c r="C239" s="395" t="s">
        <v>386</v>
      </c>
      <c r="D239" s="396">
        <v>4</v>
      </c>
      <c r="E239" s="385">
        <f t="shared" si="83"/>
        <v>1560</v>
      </c>
      <c r="F239" s="368">
        <v>1560</v>
      </c>
      <c r="G239" s="368">
        <v>0</v>
      </c>
      <c r="H239" s="385">
        <f t="shared" si="84"/>
        <v>200</v>
      </c>
      <c r="I239" s="371">
        <v>0</v>
      </c>
      <c r="J239" s="371">
        <v>0</v>
      </c>
      <c r="K239" s="371">
        <v>30</v>
      </c>
      <c r="L239" s="371">
        <v>30</v>
      </c>
      <c r="M239" s="371">
        <v>70</v>
      </c>
      <c r="N239" s="371">
        <v>70</v>
      </c>
      <c r="O239" s="370">
        <v>0</v>
      </c>
      <c r="P239" s="386">
        <f t="shared" si="85"/>
        <v>1330</v>
      </c>
      <c r="Q239" s="371">
        <v>50</v>
      </c>
      <c r="R239" s="371">
        <v>0</v>
      </c>
      <c r="S239" s="371">
        <v>150</v>
      </c>
      <c r="T239" s="371">
        <v>120</v>
      </c>
      <c r="U239" s="371">
        <v>80</v>
      </c>
      <c r="V239" s="371">
        <v>250</v>
      </c>
      <c r="W239" s="371">
        <v>200</v>
      </c>
      <c r="X239" s="371">
        <v>250</v>
      </c>
      <c r="Y239" s="371">
        <v>50</v>
      </c>
      <c r="Z239" s="371">
        <v>70</v>
      </c>
      <c r="AA239" s="371">
        <v>40</v>
      </c>
      <c r="AB239" s="371">
        <v>40</v>
      </c>
      <c r="AC239" s="371">
        <v>30</v>
      </c>
      <c r="AD239" s="371">
        <v>0</v>
      </c>
      <c r="AE239" s="371">
        <v>0</v>
      </c>
      <c r="AF239" s="385">
        <f t="shared" si="86"/>
        <v>30</v>
      </c>
      <c r="AG239" s="371">
        <v>0</v>
      </c>
      <c r="AH239" s="371">
        <v>30</v>
      </c>
      <c r="AI239" s="387">
        <f t="shared" si="78"/>
        <v>0</v>
      </c>
    </row>
    <row r="240" spans="1:35" s="393" customFormat="1" ht="27.95" customHeight="1">
      <c r="A240" s="397" t="s">
        <v>178</v>
      </c>
      <c r="B240" s="394" t="s">
        <v>179</v>
      </c>
      <c r="C240" s="395" t="s">
        <v>387</v>
      </c>
      <c r="D240" s="396">
        <v>4</v>
      </c>
      <c r="E240" s="385">
        <f t="shared" si="83"/>
        <v>955</v>
      </c>
      <c r="F240" s="368">
        <v>955</v>
      </c>
      <c r="G240" s="368">
        <v>0</v>
      </c>
      <c r="H240" s="385">
        <f t="shared" si="84"/>
        <v>260</v>
      </c>
      <c r="I240" s="371">
        <v>40</v>
      </c>
      <c r="J240" s="371">
        <v>0</v>
      </c>
      <c r="K240" s="371">
        <v>58</v>
      </c>
      <c r="L240" s="371">
        <v>72</v>
      </c>
      <c r="M240" s="371">
        <v>90</v>
      </c>
      <c r="N240" s="371">
        <v>0</v>
      </c>
      <c r="O240" s="370">
        <v>0</v>
      </c>
      <c r="P240" s="386">
        <f t="shared" si="85"/>
        <v>660</v>
      </c>
      <c r="Q240" s="371">
        <v>43</v>
      </c>
      <c r="R240" s="371">
        <v>30</v>
      </c>
      <c r="S240" s="371">
        <v>35</v>
      </c>
      <c r="T240" s="371">
        <v>100</v>
      </c>
      <c r="U240" s="371">
        <v>42</v>
      </c>
      <c r="V240" s="371">
        <v>100</v>
      </c>
      <c r="W240" s="371">
        <v>55</v>
      </c>
      <c r="X240" s="371">
        <v>85</v>
      </c>
      <c r="Y240" s="371">
        <v>50</v>
      </c>
      <c r="Z240" s="371">
        <v>20</v>
      </c>
      <c r="AA240" s="371">
        <v>35</v>
      </c>
      <c r="AB240" s="371">
        <v>15</v>
      </c>
      <c r="AC240" s="371">
        <v>20</v>
      </c>
      <c r="AD240" s="371">
        <v>30</v>
      </c>
      <c r="AE240" s="371">
        <v>0</v>
      </c>
      <c r="AF240" s="385">
        <f t="shared" si="86"/>
        <v>35</v>
      </c>
      <c r="AG240" s="371">
        <v>35</v>
      </c>
      <c r="AH240" s="371">
        <v>0</v>
      </c>
      <c r="AI240" s="387">
        <f t="shared" si="78"/>
        <v>0</v>
      </c>
    </row>
    <row r="241" spans="1:35" s="393" customFormat="1" ht="24" customHeight="1">
      <c r="A241" s="397" t="s">
        <v>178</v>
      </c>
      <c r="B241" s="394" t="s">
        <v>179</v>
      </c>
      <c r="C241" s="395" t="s">
        <v>962</v>
      </c>
      <c r="D241" s="396">
        <v>4</v>
      </c>
      <c r="E241" s="385">
        <f t="shared" si="83"/>
        <v>1560</v>
      </c>
      <c r="F241" s="368">
        <v>960</v>
      </c>
      <c r="G241" s="368">
        <v>600</v>
      </c>
      <c r="H241" s="385">
        <f t="shared" si="84"/>
        <v>0</v>
      </c>
      <c r="I241" s="371">
        <v>0</v>
      </c>
      <c r="J241" s="371">
        <v>0</v>
      </c>
      <c r="K241" s="371">
        <v>0</v>
      </c>
      <c r="L241" s="371">
        <v>0</v>
      </c>
      <c r="M241" s="371">
        <v>0</v>
      </c>
      <c r="N241" s="371">
        <v>0</v>
      </c>
      <c r="O241" s="370">
        <v>0</v>
      </c>
      <c r="P241" s="386">
        <f t="shared" si="85"/>
        <v>1560</v>
      </c>
      <c r="Q241" s="371">
        <v>0</v>
      </c>
      <c r="R241" s="371">
        <v>0</v>
      </c>
      <c r="S241" s="371">
        <v>0</v>
      </c>
      <c r="T241" s="371">
        <v>240</v>
      </c>
      <c r="U241" s="371">
        <v>0</v>
      </c>
      <c r="V241" s="371">
        <v>0</v>
      </c>
      <c r="W241" s="371">
        <v>0</v>
      </c>
      <c r="X241" s="371">
        <v>0</v>
      </c>
      <c r="Y241" s="371">
        <v>0</v>
      </c>
      <c r="Z241" s="371">
        <v>0</v>
      </c>
      <c r="AA241" s="371">
        <v>0</v>
      </c>
      <c r="AB241" s="371">
        <v>0</v>
      </c>
      <c r="AC241" s="371">
        <v>0</v>
      </c>
      <c r="AD241" s="371">
        <v>0</v>
      </c>
      <c r="AE241" s="371">
        <v>1320</v>
      </c>
      <c r="AF241" s="385">
        <f t="shared" si="86"/>
        <v>0</v>
      </c>
      <c r="AG241" s="371">
        <v>0</v>
      </c>
      <c r="AH241" s="371">
        <v>0</v>
      </c>
      <c r="AI241" s="387">
        <f t="shared" si="78"/>
        <v>0</v>
      </c>
    </row>
    <row r="242" spans="1:35" s="393" customFormat="1" ht="24" customHeight="1">
      <c r="A242" s="397" t="s">
        <v>178</v>
      </c>
      <c r="B242" s="394" t="s">
        <v>179</v>
      </c>
      <c r="C242" s="395" t="s">
        <v>536</v>
      </c>
      <c r="D242" s="396">
        <v>4</v>
      </c>
      <c r="E242" s="385">
        <f t="shared" si="83"/>
        <v>614</v>
      </c>
      <c r="F242" s="368">
        <v>614</v>
      </c>
      <c r="G242" s="368">
        <v>0</v>
      </c>
      <c r="H242" s="385">
        <f t="shared" si="84"/>
        <v>179</v>
      </c>
      <c r="I242" s="371">
        <v>36</v>
      </c>
      <c r="J242" s="371">
        <v>0</v>
      </c>
      <c r="K242" s="371">
        <v>36</v>
      </c>
      <c r="L242" s="371">
        <v>36</v>
      </c>
      <c r="M242" s="371">
        <v>35</v>
      </c>
      <c r="N242" s="371">
        <v>36</v>
      </c>
      <c r="O242" s="370">
        <v>0</v>
      </c>
      <c r="P242" s="386">
        <f t="shared" si="85"/>
        <v>406</v>
      </c>
      <c r="Q242" s="371">
        <v>29</v>
      </c>
      <c r="R242" s="371">
        <v>29</v>
      </c>
      <c r="S242" s="371">
        <v>29</v>
      </c>
      <c r="T242" s="371">
        <v>29</v>
      </c>
      <c r="U242" s="371">
        <v>29</v>
      </c>
      <c r="V242" s="371">
        <v>29</v>
      </c>
      <c r="W242" s="371">
        <v>29</v>
      </c>
      <c r="X242" s="371">
        <v>29</v>
      </c>
      <c r="Y242" s="371">
        <v>29</v>
      </c>
      <c r="Z242" s="371">
        <v>29</v>
      </c>
      <c r="AA242" s="371">
        <v>29</v>
      </c>
      <c r="AB242" s="371">
        <v>29</v>
      </c>
      <c r="AC242" s="371">
        <v>29</v>
      </c>
      <c r="AD242" s="371">
        <v>29</v>
      </c>
      <c r="AE242" s="371">
        <v>0</v>
      </c>
      <c r="AF242" s="385">
        <f t="shared" si="86"/>
        <v>29</v>
      </c>
      <c r="AG242" s="371">
        <v>29</v>
      </c>
      <c r="AH242" s="371">
        <v>0</v>
      </c>
      <c r="AI242" s="387">
        <f t="shared" si="78"/>
        <v>0</v>
      </c>
    </row>
    <row r="243" spans="1:35" s="393" customFormat="1" ht="24" customHeight="1">
      <c r="A243" s="397" t="s">
        <v>178</v>
      </c>
      <c r="B243" s="394" t="s">
        <v>179</v>
      </c>
      <c r="C243" s="395" t="s">
        <v>963</v>
      </c>
      <c r="D243" s="396">
        <v>4</v>
      </c>
      <c r="E243" s="385">
        <f t="shared" si="83"/>
        <v>2365</v>
      </c>
      <c r="F243" s="368">
        <v>2365</v>
      </c>
      <c r="G243" s="368">
        <v>0</v>
      </c>
      <c r="H243" s="385">
        <f t="shared" si="84"/>
        <v>1000</v>
      </c>
      <c r="I243" s="371">
        <v>200</v>
      </c>
      <c r="J243" s="371">
        <v>0</v>
      </c>
      <c r="K243" s="371">
        <v>200</v>
      </c>
      <c r="L243" s="371">
        <v>200</v>
      </c>
      <c r="M243" s="371">
        <v>200</v>
      </c>
      <c r="N243" s="371">
        <v>200</v>
      </c>
      <c r="O243" s="370">
        <v>0</v>
      </c>
      <c r="P243" s="386">
        <f t="shared" si="85"/>
        <v>1365</v>
      </c>
      <c r="Q243" s="371">
        <v>250</v>
      </c>
      <c r="R243" s="371">
        <v>115</v>
      </c>
      <c r="S243" s="371">
        <v>250</v>
      </c>
      <c r="T243" s="371">
        <v>250</v>
      </c>
      <c r="U243" s="371">
        <v>250</v>
      </c>
      <c r="V243" s="371">
        <v>0</v>
      </c>
      <c r="W243" s="371">
        <v>0</v>
      </c>
      <c r="X243" s="371">
        <v>0</v>
      </c>
      <c r="Y243" s="371">
        <v>250</v>
      </c>
      <c r="Z243" s="371">
        <v>0</v>
      </c>
      <c r="AA243" s="371">
        <v>0</v>
      </c>
      <c r="AB243" s="371">
        <v>0</v>
      </c>
      <c r="AC243" s="371">
        <v>0</v>
      </c>
      <c r="AD243" s="371">
        <v>0</v>
      </c>
      <c r="AE243" s="371">
        <v>0</v>
      </c>
      <c r="AF243" s="385">
        <f t="shared" si="86"/>
        <v>0</v>
      </c>
      <c r="AG243" s="371">
        <v>0</v>
      </c>
      <c r="AH243" s="371">
        <v>0</v>
      </c>
      <c r="AI243" s="387">
        <f t="shared" si="78"/>
        <v>0</v>
      </c>
    </row>
    <row r="244" spans="1:35" s="393" customFormat="1" ht="24" customHeight="1">
      <c r="A244" s="397" t="s">
        <v>178</v>
      </c>
      <c r="B244" s="394" t="s">
        <v>179</v>
      </c>
      <c r="C244" s="395" t="s">
        <v>964</v>
      </c>
      <c r="D244" s="396">
        <v>4</v>
      </c>
      <c r="E244" s="385">
        <f t="shared" si="83"/>
        <v>3499</v>
      </c>
      <c r="F244" s="368">
        <v>3499</v>
      </c>
      <c r="G244" s="368">
        <v>0</v>
      </c>
      <c r="H244" s="385">
        <f t="shared" si="84"/>
        <v>839</v>
      </c>
      <c r="I244" s="371">
        <v>16</v>
      </c>
      <c r="J244" s="371">
        <v>0</v>
      </c>
      <c r="K244" s="371">
        <v>50</v>
      </c>
      <c r="L244" s="371">
        <v>60</v>
      </c>
      <c r="M244" s="371">
        <v>415</v>
      </c>
      <c r="N244" s="371">
        <v>298</v>
      </c>
      <c r="O244" s="370">
        <v>0</v>
      </c>
      <c r="P244" s="386">
        <f t="shared" si="85"/>
        <v>2640</v>
      </c>
      <c r="Q244" s="371">
        <v>89</v>
      </c>
      <c r="R244" s="371">
        <v>60</v>
      </c>
      <c r="S244" s="371">
        <v>83</v>
      </c>
      <c r="T244" s="371">
        <v>927</v>
      </c>
      <c r="U244" s="371">
        <v>409</v>
      </c>
      <c r="V244" s="371">
        <v>337</v>
      </c>
      <c r="W244" s="371">
        <v>165</v>
      </c>
      <c r="X244" s="371">
        <v>324</v>
      </c>
      <c r="Y244" s="371">
        <v>51</v>
      </c>
      <c r="Z244" s="371">
        <v>38</v>
      </c>
      <c r="AA244" s="371">
        <v>18</v>
      </c>
      <c r="AB244" s="371">
        <v>0</v>
      </c>
      <c r="AC244" s="371">
        <v>139</v>
      </c>
      <c r="AD244" s="371">
        <v>0</v>
      </c>
      <c r="AE244" s="371">
        <v>0</v>
      </c>
      <c r="AF244" s="385">
        <f t="shared" si="86"/>
        <v>20</v>
      </c>
      <c r="AG244" s="371">
        <v>20</v>
      </c>
      <c r="AH244" s="371">
        <v>0</v>
      </c>
      <c r="AI244" s="387">
        <f t="shared" si="78"/>
        <v>0</v>
      </c>
    </row>
    <row r="245" spans="1:35" s="393" customFormat="1" ht="24" customHeight="1">
      <c r="A245" s="397" t="s">
        <v>178</v>
      </c>
      <c r="B245" s="394" t="s">
        <v>179</v>
      </c>
      <c r="C245" s="395" t="s">
        <v>965</v>
      </c>
      <c r="D245" s="396">
        <v>4</v>
      </c>
      <c r="E245" s="385">
        <f t="shared" si="83"/>
        <v>1500</v>
      </c>
      <c r="F245" s="368">
        <v>1500</v>
      </c>
      <c r="G245" s="368">
        <v>0</v>
      </c>
      <c r="H245" s="385">
        <f t="shared" si="84"/>
        <v>600</v>
      </c>
      <c r="I245" s="371">
        <v>100</v>
      </c>
      <c r="J245" s="371">
        <v>100</v>
      </c>
      <c r="K245" s="371">
        <v>100</v>
      </c>
      <c r="L245" s="371">
        <v>100</v>
      </c>
      <c r="M245" s="371">
        <v>100</v>
      </c>
      <c r="N245" s="371">
        <v>100</v>
      </c>
      <c r="O245" s="370">
        <v>0</v>
      </c>
      <c r="P245" s="386">
        <f t="shared" si="85"/>
        <v>900</v>
      </c>
      <c r="Q245" s="371">
        <v>70</v>
      </c>
      <c r="R245" s="371">
        <v>70</v>
      </c>
      <c r="S245" s="371">
        <v>70</v>
      </c>
      <c r="T245" s="371">
        <v>80</v>
      </c>
      <c r="U245" s="371">
        <v>60</v>
      </c>
      <c r="V245" s="371">
        <v>80</v>
      </c>
      <c r="W245" s="371">
        <v>80</v>
      </c>
      <c r="X245" s="371">
        <v>70</v>
      </c>
      <c r="Y245" s="371">
        <v>60</v>
      </c>
      <c r="Z245" s="371">
        <v>60</v>
      </c>
      <c r="AA245" s="371">
        <v>50</v>
      </c>
      <c r="AB245" s="371">
        <v>50</v>
      </c>
      <c r="AC245" s="371">
        <v>50</v>
      </c>
      <c r="AD245" s="371">
        <v>50</v>
      </c>
      <c r="AE245" s="371"/>
      <c r="AF245" s="385">
        <f t="shared" si="86"/>
        <v>0</v>
      </c>
      <c r="AG245" s="371">
        <v>0</v>
      </c>
      <c r="AH245" s="371">
        <v>0</v>
      </c>
      <c r="AI245" s="387">
        <f t="shared" si="78"/>
        <v>0</v>
      </c>
    </row>
    <row r="246" spans="1:35" s="393" customFormat="1" ht="24" customHeight="1">
      <c r="A246" s="397" t="s">
        <v>178</v>
      </c>
      <c r="B246" s="394" t="s">
        <v>179</v>
      </c>
      <c r="C246" s="395" t="s">
        <v>966</v>
      </c>
      <c r="D246" s="396">
        <v>4</v>
      </c>
      <c r="E246" s="385">
        <f t="shared" si="83"/>
        <v>294912</v>
      </c>
      <c r="F246" s="368">
        <v>0</v>
      </c>
      <c r="G246" s="368">
        <v>294912</v>
      </c>
      <c r="H246" s="385">
        <f t="shared" si="84"/>
        <v>121800</v>
      </c>
      <c r="I246" s="371">
        <v>0</v>
      </c>
      <c r="J246" s="371">
        <v>0</v>
      </c>
      <c r="K246" s="371">
        <v>35500</v>
      </c>
      <c r="L246" s="371">
        <v>42300</v>
      </c>
      <c r="M246" s="371">
        <v>41500</v>
      </c>
      <c r="N246" s="371">
        <v>2500</v>
      </c>
      <c r="O246" s="370">
        <v>0</v>
      </c>
      <c r="P246" s="386">
        <f t="shared" si="85"/>
        <v>146642</v>
      </c>
      <c r="Q246" s="371">
        <v>5300</v>
      </c>
      <c r="R246" s="371">
        <v>0</v>
      </c>
      <c r="S246" s="371">
        <v>5300</v>
      </c>
      <c r="T246" s="371">
        <v>0</v>
      </c>
      <c r="U246" s="371">
        <v>2500</v>
      </c>
      <c r="V246" s="371">
        <v>0</v>
      </c>
      <c r="W246" s="371">
        <v>9030</v>
      </c>
      <c r="X246" s="371">
        <v>1500</v>
      </c>
      <c r="Y246" s="371">
        <v>3500</v>
      </c>
      <c r="Z246" s="371">
        <v>19500</v>
      </c>
      <c r="AA246" s="371">
        <v>7500</v>
      </c>
      <c r="AB246" s="371">
        <v>6800</v>
      </c>
      <c r="AC246" s="371">
        <v>71212</v>
      </c>
      <c r="AD246" s="371">
        <v>14500</v>
      </c>
      <c r="AE246" s="371">
        <v>0</v>
      </c>
      <c r="AF246" s="385">
        <f t="shared" si="86"/>
        <v>26470</v>
      </c>
      <c r="AG246" s="371">
        <v>26470</v>
      </c>
      <c r="AH246" s="371">
        <v>0</v>
      </c>
      <c r="AI246" s="387">
        <f t="shared" si="78"/>
        <v>0</v>
      </c>
    </row>
    <row r="247" spans="1:35" s="410" customFormat="1" ht="22.5" customHeight="1">
      <c r="A247" s="405" t="s">
        <v>967</v>
      </c>
      <c r="B247" s="406"/>
      <c r="C247" s="407"/>
      <c r="D247" s="408"/>
      <c r="E247" s="409">
        <f t="shared" ref="E247:AH247" si="87">SUM(E248:E259)</f>
        <v>169464</v>
      </c>
      <c r="F247" s="409">
        <f t="shared" si="87"/>
        <v>100138</v>
      </c>
      <c r="G247" s="409">
        <f t="shared" si="87"/>
        <v>69326</v>
      </c>
      <c r="H247" s="409">
        <f t="shared" si="87"/>
        <v>37079</v>
      </c>
      <c r="I247" s="409">
        <f t="shared" si="87"/>
        <v>5540</v>
      </c>
      <c r="J247" s="409">
        <f t="shared" si="87"/>
        <v>0</v>
      </c>
      <c r="K247" s="409">
        <f t="shared" si="87"/>
        <v>4450</v>
      </c>
      <c r="L247" s="409">
        <f t="shared" si="87"/>
        <v>6350</v>
      </c>
      <c r="M247" s="409">
        <f t="shared" si="87"/>
        <v>9580</v>
      </c>
      <c r="N247" s="409">
        <f t="shared" si="87"/>
        <v>7640</v>
      </c>
      <c r="O247" s="409">
        <f t="shared" si="87"/>
        <v>3519</v>
      </c>
      <c r="P247" s="409">
        <f t="shared" si="87"/>
        <v>98722</v>
      </c>
      <c r="Q247" s="409">
        <f t="shared" si="87"/>
        <v>6915</v>
      </c>
      <c r="R247" s="409">
        <f t="shared" si="87"/>
        <v>6804</v>
      </c>
      <c r="S247" s="409">
        <f t="shared" si="87"/>
        <v>7000</v>
      </c>
      <c r="T247" s="409">
        <f t="shared" si="87"/>
        <v>5950</v>
      </c>
      <c r="U247" s="409">
        <f t="shared" si="87"/>
        <v>5730</v>
      </c>
      <c r="V247" s="409">
        <f t="shared" si="87"/>
        <v>7500</v>
      </c>
      <c r="W247" s="409">
        <f t="shared" si="87"/>
        <v>4770</v>
      </c>
      <c r="X247" s="409">
        <f t="shared" si="87"/>
        <v>7250</v>
      </c>
      <c r="Y247" s="409">
        <f t="shared" si="87"/>
        <v>9000</v>
      </c>
      <c r="Z247" s="409">
        <f t="shared" si="87"/>
        <v>6430</v>
      </c>
      <c r="AA247" s="409">
        <f t="shared" si="87"/>
        <v>14260</v>
      </c>
      <c r="AB247" s="409">
        <f t="shared" si="87"/>
        <v>2850</v>
      </c>
      <c r="AC247" s="409">
        <f t="shared" si="87"/>
        <v>4580</v>
      </c>
      <c r="AD247" s="409">
        <f t="shared" si="87"/>
        <v>2230</v>
      </c>
      <c r="AE247" s="409">
        <f t="shared" si="87"/>
        <v>7453</v>
      </c>
      <c r="AF247" s="409">
        <f t="shared" si="87"/>
        <v>33663</v>
      </c>
      <c r="AG247" s="409">
        <f t="shared" si="87"/>
        <v>18967</v>
      </c>
      <c r="AH247" s="409">
        <f t="shared" si="87"/>
        <v>14696</v>
      </c>
      <c r="AI247" s="387">
        <f t="shared" si="78"/>
        <v>0</v>
      </c>
    </row>
    <row r="248" spans="1:35" s="393" customFormat="1" ht="24" customHeight="1">
      <c r="A248" s="397" t="s">
        <v>178</v>
      </c>
      <c r="B248" s="394" t="s">
        <v>473</v>
      </c>
      <c r="C248" s="395" t="s">
        <v>397</v>
      </c>
      <c r="D248" s="396">
        <v>4</v>
      </c>
      <c r="E248" s="385">
        <f t="shared" ref="E248:E259" si="88">SUM(H248,P248,AF248)</f>
        <v>10000</v>
      </c>
      <c r="F248" s="368">
        <v>9800</v>
      </c>
      <c r="G248" s="368">
        <v>200</v>
      </c>
      <c r="H248" s="385">
        <f t="shared" ref="H248:H259" si="89">SUM(I248:O248)</f>
        <v>0</v>
      </c>
      <c r="I248" s="371">
        <v>0</v>
      </c>
      <c r="J248" s="371">
        <v>0</v>
      </c>
      <c r="K248" s="371">
        <v>0</v>
      </c>
      <c r="L248" s="371">
        <v>0</v>
      </c>
      <c r="M248" s="371">
        <v>0</v>
      </c>
      <c r="N248" s="371">
        <v>0</v>
      </c>
      <c r="O248" s="370">
        <v>0</v>
      </c>
      <c r="P248" s="386">
        <f t="shared" ref="P248:P259" si="90">SUM(Q248:AE248)</f>
        <v>8400</v>
      </c>
      <c r="Q248" s="371">
        <v>0</v>
      </c>
      <c r="R248" s="371">
        <v>1000</v>
      </c>
      <c r="S248" s="371">
        <v>1000</v>
      </c>
      <c r="T248" s="371">
        <v>0</v>
      </c>
      <c r="U248" s="371">
        <v>0</v>
      </c>
      <c r="V248" s="371">
        <v>0</v>
      </c>
      <c r="W248" s="371">
        <v>800</v>
      </c>
      <c r="X248" s="371">
        <v>850</v>
      </c>
      <c r="Y248" s="371">
        <v>0</v>
      </c>
      <c r="Z248" s="371">
        <v>750</v>
      </c>
      <c r="AA248" s="371">
        <v>570</v>
      </c>
      <c r="AB248" s="371">
        <v>750</v>
      </c>
      <c r="AC248" s="371">
        <v>930</v>
      </c>
      <c r="AD248" s="371">
        <v>700</v>
      </c>
      <c r="AE248" s="371">
        <v>1050</v>
      </c>
      <c r="AF248" s="385">
        <f t="shared" ref="AF248:AF259" si="91">SUM(AG248:AH248)</f>
        <v>1600</v>
      </c>
      <c r="AG248" s="371">
        <v>900</v>
      </c>
      <c r="AH248" s="371">
        <v>700</v>
      </c>
      <c r="AI248" s="387">
        <f t="shared" si="78"/>
        <v>0</v>
      </c>
    </row>
    <row r="249" spans="1:35" s="393" customFormat="1" ht="24" customHeight="1">
      <c r="A249" s="397" t="s">
        <v>178</v>
      </c>
      <c r="B249" s="394" t="s">
        <v>473</v>
      </c>
      <c r="C249" s="395" t="s">
        <v>398</v>
      </c>
      <c r="D249" s="396">
        <v>4</v>
      </c>
      <c r="E249" s="385">
        <f t="shared" si="88"/>
        <v>11491</v>
      </c>
      <c r="F249" s="368">
        <v>11291</v>
      </c>
      <c r="G249" s="368">
        <v>200</v>
      </c>
      <c r="H249" s="385">
        <f t="shared" si="89"/>
        <v>6170</v>
      </c>
      <c r="I249" s="371">
        <v>1300</v>
      </c>
      <c r="J249" s="371">
        <v>0</v>
      </c>
      <c r="K249" s="371">
        <v>850</v>
      </c>
      <c r="L249" s="371">
        <v>850</v>
      </c>
      <c r="M249" s="371">
        <v>1330</v>
      </c>
      <c r="N249" s="371">
        <v>1840</v>
      </c>
      <c r="O249" s="370">
        <v>0</v>
      </c>
      <c r="P249" s="386">
        <f t="shared" si="90"/>
        <v>5321</v>
      </c>
      <c r="Q249" s="371">
        <v>1391</v>
      </c>
      <c r="R249" s="371">
        <v>0</v>
      </c>
      <c r="S249" s="371">
        <v>0</v>
      </c>
      <c r="T249" s="371">
        <v>900</v>
      </c>
      <c r="U249" s="371">
        <v>1030</v>
      </c>
      <c r="V249" s="371">
        <v>850</v>
      </c>
      <c r="W249" s="371">
        <v>0</v>
      </c>
      <c r="X249" s="371">
        <v>0</v>
      </c>
      <c r="Y249" s="371">
        <v>1150</v>
      </c>
      <c r="Z249" s="371">
        <v>0</v>
      </c>
      <c r="AA249" s="371">
        <v>0</v>
      </c>
      <c r="AB249" s="371">
        <v>0</v>
      </c>
      <c r="AC249" s="371">
        <v>0</v>
      </c>
      <c r="AD249" s="371">
        <v>0</v>
      </c>
      <c r="AE249" s="371">
        <v>0</v>
      </c>
      <c r="AF249" s="385">
        <f t="shared" si="91"/>
        <v>0</v>
      </c>
      <c r="AG249" s="371">
        <v>0</v>
      </c>
      <c r="AH249" s="371">
        <v>0</v>
      </c>
      <c r="AI249" s="387">
        <f t="shared" si="78"/>
        <v>0</v>
      </c>
    </row>
    <row r="250" spans="1:35" s="393" customFormat="1" ht="24" customHeight="1">
      <c r="A250" s="397" t="s">
        <v>178</v>
      </c>
      <c r="B250" s="394" t="s">
        <v>473</v>
      </c>
      <c r="C250" s="395" t="s">
        <v>399</v>
      </c>
      <c r="D250" s="396">
        <v>4</v>
      </c>
      <c r="E250" s="385">
        <f t="shared" si="88"/>
        <v>17100</v>
      </c>
      <c r="F250" s="368">
        <v>17100</v>
      </c>
      <c r="G250" s="368">
        <v>0</v>
      </c>
      <c r="H250" s="385">
        <f t="shared" si="89"/>
        <v>3700</v>
      </c>
      <c r="I250" s="371">
        <v>800</v>
      </c>
      <c r="J250" s="371">
        <v>0</v>
      </c>
      <c r="K250" s="371">
        <v>300</v>
      </c>
      <c r="L250" s="371">
        <v>800</v>
      </c>
      <c r="M250" s="371">
        <v>800</v>
      </c>
      <c r="N250" s="371">
        <v>1000</v>
      </c>
      <c r="O250" s="370">
        <v>0</v>
      </c>
      <c r="P250" s="386">
        <f t="shared" si="90"/>
        <v>10200</v>
      </c>
      <c r="Q250" s="371">
        <v>700</v>
      </c>
      <c r="R250" s="371">
        <v>800</v>
      </c>
      <c r="S250" s="371">
        <v>700</v>
      </c>
      <c r="T250" s="371">
        <v>1000</v>
      </c>
      <c r="U250" s="371">
        <v>600</v>
      </c>
      <c r="V250" s="371">
        <v>700</v>
      </c>
      <c r="W250" s="371">
        <v>1300</v>
      </c>
      <c r="X250" s="371">
        <v>1000</v>
      </c>
      <c r="Y250" s="371">
        <v>600</v>
      </c>
      <c r="Z250" s="371">
        <v>800</v>
      </c>
      <c r="AA250" s="371">
        <v>700</v>
      </c>
      <c r="AB250" s="371">
        <v>300</v>
      </c>
      <c r="AC250" s="371">
        <v>500</v>
      </c>
      <c r="AD250" s="371">
        <v>500</v>
      </c>
      <c r="AE250" s="371">
        <v>0</v>
      </c>
      <c r="AF250" s="385">
        <f t="shared" si="91"/>
        <v>3200</v>
      </c>
      <c r="AG250" s="371">
        <v>2200</v>
      </c>
      <c r="AH250" s="371">
        <v>1000</v>
      </c>
      <c r="AI250" s="387">
        <f t="shared" si="78"/>
        <v>0</v>
      </c>
    </row>
    <row r="251" spans="1:35" s="393" customFormat="1" ht="24" customHeight="1">
      <c r="A251" s="397" t="s">
        <v>178</v>
      </c>
      <c r="B251" s="394" t="s">
        <v>473</v>
      </c>
      <c r="C251" s="395" t="s">
        <v>400</v>
      </c>
      <c r="D251" s="396">
        <v>4</v>
      </c>
      <c r="E251" s="385">
        <f t="shared" si="88"/>
        <v>13112</v>
      </c>
      <c r="F251" s="368">
        <v>12112</v>
      </c>
      <c r="G251" s="368">
        <v>1000</v>
      </c>
      <c r="H251" s="385">
        <f t="shared" si="89"/>
        <v>2662</v>
      </c>
      <c r="I251" s="371">
        <v>0</v>
      </c>
      <c r="J251" s="371">
        <v>0</v>
      </c>
      <c r="K251" s="371">
        <v>1000</v>
      </c>
      <c r="L251" s="371">
        <v>0</v>
      </c>
      <c r="M251" s="371">
        <v>0</v>
      </c>
      <c r="N251" s="371">
        <v>1500</v>
      </c>
      <c r="O251" s="370">
        <v>162</v>
      </c>
      <c r="P251" s="386">
        <f t="shared" si="90"/>
        <v>8550</v>
      </c>
      <c r="Q251" s="371">
        <v>0</v>
      </c>
      <c r="R251" s="371">
        <v>500</v>
      </c>
      <c r="S251" s="371">
        <v>550</v>
      </c>
      <c r="T251" s="371">
        <v>0</v>
      </c>
      <c r="U251" s="371">
        <v>0</v>
      </c>
      <c r="V251" s="371">
        <v>1200</v>
      </c>
      <c r="W251" s="371">
        <v>0</v>
      </c>
      <c r="X251" s="371">
        <v>2000</v>
      </c>
      <c r="Y251" s="371">
        <v>700</v>
      </c>
      <c r="Z251" s="371">
        <v>0</v>
      </c>
      <c r="AA251" s="371">
        <v>2300</v>
      </c>
      <c r="AB251" s="371">
        <v>800</v>
      </c>
      <c r="AC251" s="371">
        <v>0</v>
      </c>
      <c r="AD251" s="371">
        <v>0</v>
      </c>
      <c r="AE251" s="371">
        <v>500</v>
      </c>
      <c r="AF251" s="385">
        <f t="shared" si="91"/>
        <v>1900</v>
      </c>
      <c r="AG251" s="371">
        <v>0</v>
      </c>
      <c r="AH251" s="371">
        <v>1900</v>
      </c>
      <c r="AI251" s="387">
        <f t="shared" si="78"/>
        <v>0</v>
      </c>
    </row>
    <row r="252" spans="1:35" s="393" customFormat="1" ht="24" customHeight="1">
      <c r="A252" s="397" t="s">
        <v>178</v>
      </c>
      <c r="B252" s="394" t="s">
        <v>473</v>
      </c>
      <c r="C252" s="395" t="s">
        <v>401</v>
      </c>
      <c r="D252" s="396">
        <v>4</v>
      </c>
      <c r="E252" s="385">
        <f t="shared" si="88"/>
        <v>17524</v>
      </c>
      <c r="F252" s="368">
        <v>17024</v>
      </c>
      <c r="G252" s="368">
        <v>500</v>
      </c>
      <c r="H252" s="385">
        <f t="shared" si="89"/>
        <v>8100</v>
      </c>
      <c r="I252" s="371">
        <v>1300</v>
      </c>
      <c r="J252" s="371">
        <v>0</v>
      </c>
      <c r="K252" s="371">
        <v>0</v>
      </c>
      <c r="L252" s="371">
        <v>1500</v>
      </c>
      <c r="M252" s="371">
        <v>4450</v>
      </c>
      <c r="N252" s="371">
        <v>850</v>
      </c>
      <c r="O252" s="370">
        <v>0</v>
      </c>
      <c r="P252" s="386">
        <f t="shared" si="90"/>
        <v>9424</v>
      </c>
      <c r="Q252" s="371">
        <v>2324</v>
      </c>
      <c r="R252" s="371">
        <v>0</v>
      </c>
      <c r="S252" s="371">
        <v>0</v>
      </c>
      <c r="T252" s="371">
        <v>1350</v>
      </c>
      <c r="U252" s="371">
        <v>0</v>
      </c>
      <c r="V252" s="371">
        <v>2350</v>
      </c>
      <c r="W252" s="371">
        <v>850</v>
      </c>
      <c r="X252" s="371">
        <v>0</v>
      </c>
      <c r="Y252" s="371">
        <v>750</v>
      </c>
      <c r="Z252" s="371">
        <v>0</v>
      </c>
      <c r="AA252" s="371">
        <v>0</v>
      </c>
      <c r="AB252" s="371">
        <v>0</v>
      </c>
      <c r="AC252" s="371">
        <v>1800</v>
      </c>
      <c r="AD252" s="371">
        <v>0</v>
      </c>
      <c r="AE252" s="371">
        <v>0</v>
      </c>
      <c r="AF252" s="385">
        <f t="shared" si="91"/>
        <v>0</v>
      </c>
      <c r="AG252" s="371">
        <v>0</v>
      </c>
      <c r="AH252" s="371">
        <v>0</v>
      </c>
      <c r="AI252" s="387">
        <f t="shared" si="78"/>
        <v>0</v>
      </c>
    </row>
    <row r="253" spans="1:35" s="393" customFormat="1" ht="24" customHeight="1">
      <c r="A253" s="397" t="s">
        <v>178</v>
      </c>
      <c r="B253" s="394" t="s">
        <v>473</v>
      </c>
      <c r="C253" s="395" t="s">
        <v>537</v>
      </c>
      <c r="D253" s="396">
        <v>4</v>
      </c>
      <c r="E253" s="385">
        <f t="shared" si="88"/>
        <v>6593</v>
      </c>
      <c r="F253" s="368">
        <v>6593</v>
      </c>
      <c r="G253" s="368"/>
      <c r="H253" s="385">
        <f t="shared" si="89"/>
        <v>2300</v>
      </c>
      <c r="I253" s="371">
        <v>200</v>
      </c>
      <c r="J253" s="371">
        <v>0</v>
      </c>
      <c r="K253" s="371">
        <v>200</v>
      </c>
      <c r="L253" s="371">
        <v>200</v>
      </c>
      <c r="M253" s="371">
        <v>200</v>
      </c>
      <c r="N253" s="371">
        <v>200</v>
      </c>
      <c r="O253" s="370">
        <v>1300</v>
      </c>
      <c r="P253" s="386">
        <f t="shared" si="90"/>
        <v>4293</v>
      </c>
      <c r="Q253" s="371">
        <v>200</v>
      </c>
      <c r="R253" s="371">
        <v>200</v>
      </c>
      <c r="S253" s="371">
        <v>200</v>
      </c>
      <c r="T253" s="371">
        <v>200</v>
      </c>
      <c r="U253" s="371">
        <v>200</v>
      </c>
      <c r="V253" s="371">
        <v>200</v>
      </c>
      <c r="W253" s="371">
        <v>200</v>
      </c>
      <c r="X253" s="371">
        <v>200</v>
      </c>
      <c r="Y253" s="371">
        <v>200</v>
      </c>
      <c r="Z253" s="371">
        <v>200</v>
      </c>
      <c r="AA253" s="371"/>
      <c r="AB253" s="371">
        <v>200</v>
      </c>
      <c r="AC253" s="371">
        <v>200</v>
      </c>
      <c r="AD253" s="371">
        <v>200</v>
      </c>
      <c r="AE253" s="371">
        <v>1693</v>
      </c>
      <c r="AF253" s="385">
        <f t="shared" si="91"/>
        <v>0</v>
      </c>
      <c r="AG253" s="371"/>
      <c r="AH253" s="371"/>
      <c r="AI253" s="387">
        <f t="shared" si="78"/>
        <v>0</v>
      </c>
    </row>
    <row r="254" spans="1:35" s="393" customFormat="1" ht="24" customHeight="1">
      <c r="A254" s="397" t="s">
        <v>178</v>
      </c>
      <c r="B254" s="394" t="s">
        <v>473</v>
      </c>
      <c r="C254" s="395" t="s">
        <v>540</v>
      </c>
      <c r="D254" s="396">
        <v>4</v>
      </c>
      <c r="E254" s="385">
        <f t="shared" si="88"/>
        <v>7000</v>
      </c>
      <c r="F254" s="368"/>
      <c r="G254" s="368">
        <v>7000</v>
      </c>
      <c r="H254" s="385">
        <f t="shared" si="89"/>
        <v>0</v>
      </c>
      <c r="I254" s="371"/>
      <c r="J254" s="371"/>
      <c r="K254" s="371"/>
      <c r="L254" s="371"/>
      <c r="M254" s="371"/>
      <c r="N254" s="371"/>
      <c r="O254" s="370"/>
      <c r="P254" s="386">
        <f t="shared" si="90"/>
        <v>0</v>
      </c>
      <c r="Q254" s="371"/>
      <c r="R254" s="371"/>
      <c r="S254" s="371"/>
      <c r="T254" s="371"/>
      <c r="U254" s="371"/>
      <c r="V254" s="371"/>
      <c r="W254" s="371"/>
      <c r="X254" s="371"/>
      <c r="Y254" s="371"/>
      <c r="Z254" s="371"/>
      <c r="AA254" s="371"/>
      <c r="AB254" s="371"/>
      <c r="AC254" s="371"/>
      <c r="AD254" s="371"/>
      <c r="AE254" s="371"/>
      <c r="AF254" s="385">
        <f t="shared" si="91"/>
        <v>7000</v>
      </c>
      <c r="AG254" s="371">
        <v>7000</v>
      </c>
      <c r="AH254" s="371"/>
      <c r="AI254" s="387">
        <f t="shared" si="78"/>
        <v>0</v>
      </c>
    </row>
    <row r="255" spans="1:35" s="393" customFormat="1" ht="24" customHeight="1">
      <c r="A255" s="397" t="s">
        <v>178</v>
      </c>
      <c r="B255" s="394" t="s">
        <v>473</v>
      </c>
      <c r="C255" s="395" t="s">
        <v>541</v>
      </c>
      <c r="D255" s="396">
        <v>4</v>
      </c>
      <c r="E255" s="385">
        <f t="shared" si="88"/>
        <v>5554</v>
      </c>
      <c r="F255" s="368">
        <v>5554</v>
      </c>
      <c r="G255" s="368"/>
      <c r="H255" s="385">
        <f t="shared" si="89"/>
        <v>1900</v>
      </c>
      <c r="I255" s="371">
        <v>600</v>
      </c>
      <c r="J255" s="371">
        <v>0</v>
      </c>
      <c r="K255" s="371">
        <v>400</v>
      </c>
      <c r="L255" s="371">
        <v>300</v>
      </c>
      <c r="M255" s="371">
        <v>300</v>
      </c>
      <c r="N255" s="371">
        <v>300</v>
      </c>
      <c r="O255" s="370"/>
      <c r="P255" s="386">
        <f t="shared" si="90"/>
        <v>2854</v>
      </c>
      <c r="Q255" s="371"/>
      <c r="R255" s="371">
        <v>604</v>
      </c>
      <c r="S255" s="371">
        <v>750</v>
      </c>
      <c r="T255" s="371"/>
      <c r="U255" s="371">
        <v>500</v>
      </c>
      <c r="V255" s="371"/>
      <c r="W255" s="371">
        <v>500</v>
      </c>
      <c r="X255" s="371">
        <v>500</v>
      </c>
      <c r="Y255" s="371"/>
      <c r="Z255" s="371"/>
      <c r="AA255" s="371"/>
      <c r="AB255" s="371"/>
      <c r="AC255" s="371"/>
      <c r="AD255" s="371"/>
      <c r="AE255" s="371"/>
      <c r="AF255" s="385">
        <f t="shared" si="91"/>
        <v>800</v>
      </c>
      <c r="AG255" s="371">
        <v>800</v>
      </c>
      <c r="AH255" s="371"/>
      <c r="AI255" s="387">
        <f t="shared" si="78"/>
        <v>0</v>
      </c>
    </row>
    <row r="256" spans="1:35" s="393" customFormat="1" ht="24" customHeight="1">
      <c r="A256" s="397" t="s">
        <v>178</v>
      </c>
      <c r="B256" s="394" t="s">
        <v>473</v>
      </c>
      <c r="C256" s="395" t="s">
        <v>968</v>
      </c>
      <c r="D256" s="396">
        <v>4</v>
      </c>
      <c r="E256" s="385">
        <f t="shared" si="88"/>
        <v>9768</v>
      </c>
      <c r="F256" s="368">
        <v>9768</v>
      </c>
      <c r="G256" s="368"/>
      <c r="H256" s="385">
        <f t="shared" si="89"/>
        <v>2568</v>
      </c>
      <c r="I256" s="371">
        <v>500</v>
      </c>
      <c r="J256" s="371">
        <v>0</v>
      </c>
      <c r="K256" s="371"/>
      <c r="L256" s="371">
        <v>500</v>
      </c>
      <c r="M256" s="371">
        <v>500</v>
      </c>
      <c r="N256" s="371">
        <v>0</v>
      </c>
      <c r="O256" s="370">
        <v>1068</v>
      </c>
      <c r="P256" s="386">
        <f t="shared" si="90"/>
        <v>7200</v>
      </c>
      <c r="Q256" s="371">
        <v>500</v>
      </c>
      <c r="R256" s="371">
        <v>500</v>
      </c>
      <c r="S256" s="371">
        <v>500</v>
      </c>
      <c r="T256" s="371">
        <v>0</v>
      </c>
      <c r="U256" s="371">
        <v>500</v>
      </c>
      <c r="V256" s="371">
        <v>0</v>
      </c>
      <c r="W256" s="371">
        <v>500</v>
      </c>
      <c r="X256" s="371">
        <v>500</v>
      </c>
      <c r="Y256" s="371">
        <v>500</v>
      </c>
      <c r="Z256" s="371">
        <v>0</v>
      </c>
      <c r="AA256" s="371">
        <v>0</v>
      </c>
      <c r="AB256" s="371">
        <v>0</v>
      </c>
      <c r="AC256" s="371">
        <v>0</v>
      </c>
      <c r="AD256" s="371">
        <v>0</v>
      </c>
      <c r="AE256" s="371">
        <v>3700</v>
      </c>
      <c r="AF256" s="385">
        <f t="shared" si="91"/>
        <v>0</v>
      </c>
      <c r="AG256" s="371"/>
      <c r="AH256" s="371"/>
      <c r="AI256" s="387">
        <f t="shared" si="78"/>
        <v>0</v>
      </c>
    </row>
    <row r="257" spans="1:35" s="393" customFormat="1" ht="24" customHeight="1">
      <c r="A257" s="397" t="s">
        <v>178</v>
      </c>
      <c r="B257" s="394" t="s">
        <v>473</v>
      </c>
      <c r="C257" s="395" t="s">
        <v>969</v>
      </c>
      <c r="D257" s="396">
        <v>4</v>
      </c>
      <c r="E257" s="385">
        <f t="shared" si="88"/>
        <v>35875</v>
      </c>
      <c r="F257" s="368">
        <v>3296</v>
      </c>
      <c r="G257" s="368">
        <v>32579</v>
      </c>
      <c r="H257" s="385">
        <f t="shared" si="89"/>
        <v>8079</v>
      </c>
      <c r="I257" s="371">
        <v>840</v>
      </c>
      <c r="J257" s="371">
        <v>0</v>
      </c>
      <c r="K257" s="371">
        <v>1300</v>
      </c>
      <c r="L257" s="371">
        <v>1800</v>
      </c>
      <c r="M257" s="371">
        <v>1600</v>
      </c>
      <c r="N257" s="371">
        <v>1550</v>
      </c>
      <c r="O257" s="370">
        <v>989</v>
      </c>
      <c r="P257" s="386">
        <f t="shared" si="90"/>
        <v>24500</v>
      </c>
      <c r="Q257" s="371">
        <v>1400</v>
      </c>
      <c r="R257" s="371">
        <v>2800</v>
      </c>
      <c r="S257" s="371">
        <v>2900</v>
      </c>
      <c r="T257" s="371">
        <v>2100</v>
      </c>
      <c r="U257" s="371">
        <v>2500</v>
      </c>
      <c r="V257" s="371">
        <v>1800</v>
      </c>
      <c r="W257" s="371">
        <v>220</v>
      </c>
      <c r="X257" s="371">
        <v>1800</v>
      </c>
      <c r="Y257" s="371">
        <v>4700</v>
      </c>
      <c r="Z257" s="371">
        <v>1800</v>
      </c>
      <c r="AA257" s="371">
        <v>290</v>
      </c>
      <c r="AB257" s="371">
        <v>400</v>
      </c>
      <c r="AC257" s="371">
        <v>800</v>
      </c>
      <c r="AD257" s="371">
        <v>480</v>
      </c>
      <c r="AE257" s="371">
        <v>510</v>
      </c>
      <c r="AF257" s="385">
        <f t="shared" si="91"/>
        <v>3296</v>
      </c>
      <c r="AG257" s="371">
        <v>2300</v>
      </c>
      <c r="AH257" s="371">
        <v>996</v>
      </c>
      <c r="AI257" s="387">
        <f t="shared" si="78"/>
        <v>0</v>
      </c>
    </row>
    <row r="258" spans="1:35" s="393" customFormat="1" ht="24" customHeight="1">
      <c r="A258" s="397" t="s">
        <v>178</v>
      </c>
      <c r="B258" s="394" t="s">
        <v>473</v>
      </c>
      <c r="C258" s="395" t="s">
        <v>970</v>
      </c>
      <c r="D258" s="396">
        <v>4</v>
      </c>
      <c r="E258" s="385">
        <f t="shared" si="88"/>
        <v>7600</v>
      </c>
      <c r="F258" s="368">
        <v>7600</v>
      </c>
      <c r="G258" s="368"/>
      <c r="H258" s="385">
        <f t="shared" si="89"/>
        <v>1600</v>
      </c>
      <c r="I258" s="371">
        <v>0</v>
      </c>
      <c r="J258" s="371">
        <v>0</v>
      </c>
      <c r="K258" s="371">
        <v>400</v>
      </c>
      <c r="L258" s="371">
        <v>400</v>
      </c>
      <c r="M258" s="371">
        <v>400</v>
      </c>
      <c r="N258" s="371">
        <v>400</v>
      </c>
      <c r="O258" s="370"/>
      <c r="P258" s="386">
        <f t="shared" si="90"/>
        <v>5500</v>
      </c>
      <c r="Q258" s="371">
        <v>400</v>
      </c>
      <c r="R258" s="371">
        <v>400</v>
      </c>
      <c r="S258" s="371">
        <v>400</v>
      </c>
      <c r="T258" s="371">
        <v>400</v>
      </c>
      <c r="U258" s="371">
        <v>400</v>
      </c>
      <c r="V258" s="371">
        <v>400</v>
      </c>
      <c r="W258" s="371">
        <v>400</v>
      </c>
      <c r="X258" s="371">
        <v>400</v>
      </c>
      <c r="Y258" s="371">
        <v>400</v>
      </c>
      <c r="Z258" s="371">
        <v>400</v>
      </c>
      <c r="AA258" s="371">
        <v>400</v>
      </c>
      <c r="AB258" s="371">
        <v>400</v>
      </c>
      <c r="AC258" s="371">
        <v>350</v>
      </c>
      <c r="AD258" s="371">
        <v>350</v>
      </c>
      <c r="AE258" s="371"/>
      <c r="AF258" s="385">
        <f t="shared" si="91"/>
        <v>500</v>
      </c>
      <c r="AG258" s="371">
        <v>400</v>
      </c>
      <c r="AH258" s="371">
        <v>100</v>
      </c>
      <c r="AI258" s="387">
        <f t="shared" si="78"/>
        <v>0</v>
      </c>
    </row>
    <row r="259" spans="1:35" s="393" customFormat="1" ht="24" customHeight="1">
      <c r="A259" s="397" t="s">
        <v>178</v>
      </c>
      <c r="B259" s="394" t="s">
        <v>473</v>
      </c>
      <c r="C259" s="395" t="s">
        <v>402</v>
      </c>
      <c r="D259" s="396">
        <v>4</v>
      </c>
      <c r="E259" s="385">
        <f t="shared" si="88"/>
        <v>27847</v>
      </c>
      <c r="F259" s="368"/>
      <c r="G259" s="368">
        <v>27847</v>
      </c>
      <c r="H259" s="385">
        <f t="shared" si="89"/>
        <v>0</v>
      </c>
      <c r="I259" s="371"/>
      <c r="J259" s="371">
        <v>0</v>
      </c>
      <c r="K259" s="371"/>
      <c r="L259" s="371"/>
      <c r="M259" s="371"/>
      <c r="N259" s="371"/>
      <c r="O259" s="370"/>
      <c r="P259" s="386">
        <f t="shared" si="90"/>
        <v>12480</v>
      </c>
      <c r="Q259" s="371"/>
      <c r="R259" s="371"/>
      <c r="S259" s="371"/>
      <c r="T259" s="371"/>
      <c r="U259" s="371"/>
      <c r="V259" s="371"/>
      <c r="W259" s="371"/>
      <c r="X259" s="371"/>
      <c r="Y259" s="371"/>
      <c r="Z259" s="371">
        <v>2480</v>
      </c>
      <c r="AA259" s="371">
        <v>10000</v>
      </c>
      <c r="AB259" s="371"/>
      <c r="AC259" s="371"/>
      <c r="AD259" s="371"/>
      <c r="AE259" s="371"/>
      <c r="AF259" s="385">
        <f t="shared" si="91"/>
        <v>15367</v>
      </c>
      <c r="AG259" s="371">
        <v>5367</v>
      </c>
      <c r="AH259" s="371">
        <v>10000</v>
      </c>
      <c r="AI259" s="387">
        <f t="shared" si="78"/>
        <v>0</v>
      </c>
    </row>
    <row r="260" spans="1:35" s="410" customFormat="1" ht="22.5" customHeight="1">
      <c r="A260" s="405" t="s">
        <v>997</v>
      </c>
      <c r="B260" s="406"/>
      <c r="C260" s="407" t="s">
        <v>1169</v>
      </c>
      <c r="D260" s="408"/>
      <c r="E260" s="409">
        <f t="shared" ref="E260:AH260" si="92">SUM(E261:E265)</f>
        <v>68918</v>
      </c>
      <c r="F260" s="409">
        <f t="shared" si="92"/>
        <v>64568</v>
      </c>
      <c r="G260" s="409">
        <f t="shared" si="92"/>
        <v>4350</v>
      </c>
      <c r="H260" s="409">
        <f t="shared" si="92"/>
        <v>21364</v>
      </c>
      <c r="I260" s="409">
        <f t="shared" si="92"/>
        <v>5850</v>
      </c>
      <c r="J260" s="409">
        <f t="shared" si="92"/>
        <v>0</v>
      </c>
      <c r="K260" s="409">
        <f t="shared" si="92"/>
        <v>2030</v>
      </c>
      <c r="L260" s="409">
        <f t="shared" si="92"/>
        <v>2390</v>
      </c>
      <c r="M260" s="409">
        <f t="shared" si="92"/>
        <v>1850</v>
      </c>
      <c r="N260" s="409">
        <f t="shared" si="92"/>
        <v>3436</v>
      </c>
      <c r="O260" s="409">
        <f t="shared" si="92"/>
        <v>5808</v>
      </c>
      <c r="P260" s="409">
        <f t="shared" si="92"/>
        <v>47254</v>
      </c>
      <c r="Q260" s="409">
        <f t="shared" si="92"/>
        <v>1620</v>
      </c>
      <c r="R260" s="409">
        <f t="shared" si="92"/>
        <v>1540</v>
      </c>
      <c r="S260" s="409">
        <f t="shared" si="92"/>
        <v>1600</v>
      </c>
      <c r="T260" s="409">
        <f t="shared" si="92"/>
        <v>2200</v>
      </c>
      <c r="U260" s="409">
        <f t="shared" si="92"/>
        <v>3780</v>
      </c>
      <c r="V260" s="409">
        <f t="shared" si="92"/>
        <v>1600</v>
      </c>
      <c r="W260" s="409">
        <f t="shared" si="92"/>
        <v>3540</v>
      </c>
      <c r="X260" s="409">
        <f t="shared" si="92"/>
        <v>2442</v>
      </c>
      <c r="Y260" s="409">
        <f t="shared" si="92"/>
        <v>2520</v>
      </c>
      <c r="Z260" s="409">
        <f t="shared" si="92"/>
        <v>1970</v>
      </c>
      <c r="AA260" s="409">
        <f t="shared" si="92"/>
        <v>900</v>
      </c>
      <c r="AB260" s="409">
        <f t="shared" si="92"/>
        <v>840</v>
      </c>
      <c r="AC260" s="409">
        <f t="shared" si="92"/>
        <v>500</v>
      </c>
      <c r="AD260" s="409">
        <f t="shared" si="92"/>
        <v>570</v>
      </c>
      <c r="AE260" s="409">
        <f t="shared" si="92"/>
        <v>21632</v>
      </c>
      <c r="AF260" s="409">
        <f t="shared" si="92"/>
        <v>300</v>
      </c>
      <c r="AG260" s="409">
        <f t="shared" si="92"/>
        <v>0</v>
      </c>
      <c r="AH260" s="409">
        <f t="shared" si="92"/>
        <v>300</v>
      </c>
      <c r="AI260" s="387">
        <f t="shared" si="78"/>
        <v>0</v>
      </c>
    </row>
    <row r="261" spans="1:35" s="393" customFormat="1" ht="24" customHeight="1">
      <c r="A261" s="397" t="s">
        <v>178</v>
      </c>
      <c r="B261" s="394" t="s">
        <v>474</v>
      </c>
      <c r="C261" s="395" t="s">
        <v>833</v>
      </c>
      <c r="D261" s="396">
        <v>4</v>
      </c>
      <c r="E261" s="385">
        <f>SUM(H261,P261,AF261)</f>
        <v>14000</v>
      </c>
      <c r="F261" s="368">
        <v>14000</v>
      </c>
      <c r="G261" s="368"/>
      <c r="H261" s="385">
        <f>SUM(I261:O261)</f>
        <v>2500</v>
      </c>
      <c r="I261" s="371">
        <v>2500</v>
      </c>
      <c r="J261" s="371">
        <v>0</v>
      </c>
      <c r="K261" s="371"/>
      <c r="L261" s="371"/>
      <c r="M261" s="371"/>
      <c r="N261" s="371"/>
      <c r="O261" s="370"/>
      <c r="P261" s="386">
        <f>SUM(Q261:AE261)</f>
        <v>11500</v>
      </c>
      <c r="Q261" s="371">
        <v>190</v>
      </c>
      <c r="R261" s="371">
        <v>140</v>
      </c>
      <c r="S261" s="371">
        <v>110</v>
      </c>
      <c r="T261" s="371">
        <v>100</v>
      </c>
      <c r="U261" s="371">
        <v>230</v>
      </c>
      <c r="V261" s="371">
        <v>100</v>
      </c>
      <c r="W261" s="371">
        <v>1570</v>
      </c>
      <c r="X261" s="371">
        <v>150</v>
      </c>
      <c r="Y261" s="371">
        <v>150</v>
      </c>
      <c r="Z261" s="371">
        <v>220</v>
      </c>
      <c r="AA261" s="371">
        <v>100</v>
      </c>
      <c r="AB261" s="371">
        <v>140</v>
      </c>
      <c r="AC261" s="371">
        <v>100</v>
      </c>
      <c r="AD261" s="371">
        <v>100</v>
      </c>
      <c r="AE261" s="371">
        <v>8100</v>
      </c>
      <c r="AF261" s="385">
        <f>SUM(AG261:AH261)</f>
        <v>0</v>
      </c>
      <c r="AG261" s="371"/>
      <c r="AH261" s="371"/>
      <c r="AI261" s="387">
        <f t="shared" si="78"/>
        <v>0</v>
      </c>
    </row>
    <row r="262" spans="1:35" s="393" customFormat="1" ht="24" customHeight="1">
      <c r="A262" s="397" t="s">
        <v>178</v>
      </c>
      <c r="B262" s="394" t="s">
        <v>474</v>
      </c>
      <c r="C262" s="395" t="s">
        <v>404</v>
      </c>
      <c r="D262" s="396">
        <v>4</v>
      </c>
      <c r="E262" s="385">
        <f>SUM(H262,P262,AF262)</f>
        <v>9400</v>
      </c>
      <c r="F262" s="368">
        <v>9400</v>
      </c>
      <c r="G262" s="368"/>
      <c r="H262" s="385">
        <f>SUM(I262:O262)</f>
        <v>3100</v>
      </c>
      <c r="I262" s="371"/>
      <c r="J262" s="371">
        <v>0</v>
      </c>
      <c r="K262" s="371"/>
      <c r="L262" s="371"/>
      <c r="M262" s="371"/>
      <c r="N262" s="371"/>
      <c r="O262" s="370">
        <v>3100</v>
      </c>
      <c r="P262" s="386">
        <f>SUM(Q262:AE262)</f>
        <v>6300</v>
      </c>
      <c r="Q262" s="371"/>
      <c r="R262" s="371"/>
      <c r="S262" s="371"/>
      <c r="T262" s="371"/>
      <c r="U262" s="371"/>
      <c r="V262" s="371"/>
      <c r="W262" s="371"/>
      <c r="X262" s="371"/>
      <c r="Y262" s="371"/>
      <c r="Z262" s="371"/>
      <c r="AA262" s="371"/>
      <c r="AB262" s="371"/>
      <c r="AC262" s="371"/>
      <c r="AD262" s="371"/>
      <c r="AE262" s="371">
        <v>6300</v>
      </c>
      <c r="AF262" s="385">
        <f>SUM(AG262:AH262)</f>
        <v>0</v>
      </c>
      <c r="AG262" s="371"/>
      <c r="AH262" s="371"/>
      <c r="AI262" s="387">
        <f t="shared" ref="AI262:AI325" si="93">IF(+F262+G262=E262,0,FALSE)</f>
        <v>0</v>
      </c>
    </row>
    <row r="263" spans="1:35" s="393" customFormat="1" ht="24" customHeight="1">
      <c r="A263" s="397" t="s">
        <v>178</v>
      </c>
      <c r="B263" s="394" t="s">
        <v>474</v>
      </c>
      <c r="C263" s="395" t="s">
        <v>405</v>
      </c>
      <c r="D263" s="396">
        <v>4</v>
      </c>
      <c r="E263" s="385">
        <f>SUM(H263,P263,AF263)</f>
        <v>9680</v>
      </c>
      <c r="F263" s="368">
        <v>9680</v>
      </c>
      <c r="G263" s="368"/>
      <c r="H263" s="385">
        <f>SUM(I263:O263)</f>
        <v>2200</v>
      </c>
      <c r="I263" s="371">
        <v>400</v>
      </c>
      <c r="J263" s="371">
        <v>0</v>
      </c>
      <c r="K263" s="371">
        <v>400</v>
      </c>
      <c r="L263" s="371">
        <v>400</v>
      </c>
      <c r="M263" s="371">
        <v>396</v>
      </c>
      <c r="N263" s="371">
        <v>396</v>
      </c>
      <c r="O263" s="370">
        <v>208</v>
      </c>
      <c r="P263" s="386">
        <f>SUM(Q263:AE263)</f>
        <v>7180</v>
      </c>
      <c r="Q263" s="371">
        <v>600</v>
      </c>
      <c r="R263" s="371">
        <v>400</v>
      </c>
      <c r="S263" s="371">
        <v>400</v>
      </c>
      <c r="T263" s="371">
        <v>800</v>
      </c>
      <c r="U263" s="371">
        <v>400</v>
      </c>
      <c r="V263" s="371">
        <v>800</v>
      </c>
      <c r="W263" s="371">
        <v>400</v>
      </c>
      <c r="X263" s="371">
        <v>400</v>
      </c>
      <c r="Y263" s="371">
        <v>400</v>
      </c>
      <c r="Z263" s="371"/>
      <c r="AA263" s="371">
        <v>800</v>
      </c>
      <c r="AB263" s="371">
        <v>400</v>
      </c>
      <c r="AC263" s="371">
        <v>400</v>
      </c>
      <c r="AD263" s="371">
        <v>400</v>
      </c>
      <c r="AE263" s="371">
        <v>580</v>
      </c>
      <c r="AF263" s="385">
        <f>SUM(AG263:AH263)</f>
        <v>300</v>
      </c>
      <c r="AG263" s="371"/>
      <c r="AH263" s="371">
        <v>300</v>
      </c>
      <c r="AI263" s="387">
        <f t="shared" si="93"/>
        <v>0</v>
      </c>
    </row>
    <row r="264" spans="1:35" s="393" customFormat="1" ht="24" customHeight="1">
      <c r="A264" s="397" t="s">
        <v>178</v>
      </c>
      <c r="B264" s="394" t="s">
        <v>474</v>
      </c>
      <c r="C264" s="395" t="s">
        <v>403</v>
      </c>
      <c r="D264" s="396">
        <v>4</v>
      </c>
      <c r="E264" s="385">
        <f>SUM(H264,P264,AF264)</f>
        <v>7958</v>
      </c>
      <c r="F264" s="368">
        <v>7958</v>
      </c>
      <c r="G264" s="368"/>
      <c r="H264" s="385">
        <f>SUM(I264:O264)</f>
        <v>6164</v>
      </c>
      <c r="I264" s="371">
        <v>1150</v>
      </c>
      <c r="J264" s="371">
        <v>0</v>
      </c>
      <c r="K264" s="371">
        <v>1130</v>
      </c>
      <c r="L264" s="371">
        <v>1390</v>
      </c>
      <c r="M264" s="371">
        <v>1154</v>
      </c>
      <c r="N264" s="371">
        <v>1340</v>
      </c>
      <c r="O264" s="370">
        <v>0</v>
      </c>
      <c r="P264" s="386">
        <f>SUM(Q264:AE264)</f>
        <v>1794</v>
      </c>
      <c r="Q264" s="371">
        <v>30</v>
      </c>
      <c r="R264" s="371">
        <v>100</v>
      </c>
      <c r="S264" s="371">
        <v>90</v>
      </c>
      <c r="T264" s="371"/>
      <c r="U264" s="371">
        <v>550</v>
      </c>
      <c r="V264" s="371"/>
      <c r="W264" s="371">
        <v>70</v>
      </c>
      <c r="X264" s="371">
        <v>92</v>
      </c>
      <c r="Y264" s="371">
        <v>70</v>
      </c>
      <c r="Z264" s="371">
        <v>100</v>
      </c>
      <c r="AA264" s="371"/>
      <c r="AB264" s="371"/>
      <c r="AC264" s="371"/>
      <c r="AD264" s="371">
        <v>70</v>
      </c>
      <c r="AE264" s="371">
        <v>622</v>
      </c>
      <c r="AF264" s="385">
        <f>SUM(AG264:AH264)</f>
        <v>0</v>
      </c>
      <c r="AG264" s="371"/>
      <c r="AH264" s="371"/>
      <c r="AI264" s="387">
        <f t="shared" si="93"/>
        <v>0</v>
      </c>
    </row>
    <row r="265" spans="1:35" s="393" customFormat="1" ht="24" customHeight="1">
      <c r="A265" s="397" t="s">
        <v>178</v>
      </c>
      <c r="B265" s="394" t="s">
        <v>474</v>
      </c>
      <c r="C265" s="395" t="s">
        <v>834</v>
      </c>
      <c r="D265" s="396">
        <v>4</v>
      </c>
      <c r="E265" s="385">
        <f>SUM(H265,P265,AF265)</f>
        <v>27880</v>
      </c>
      <c r="F265" s="368">
        <v>23530</v>
      </c>
      <c r="G265" s="368">
        <v>4350</v>
      </c>
      <c r="H265" s="385">
        <f>SUM(I265:O265)</f>
        <v>7400</v>
      </c>
      <c r="I265" s="371">
        <v>1800</v>
      </c>
      <c r="J265" s="371">
        <v>0</v>
      </c>
      <c r="K265" s="371">
        <v>500</v>
      </c>
      <c r="L265" s="371">
        <v>600</v>
      </c>
      <c r="M265" s="371">
        <v>300</v>
      </c>
      <c r="N265" s="371">
        <v>1700</v>
      </c>
      <c r="O265" s="370">
        <v>2500</v>
      </c>
      <c r="P265" s="386">
        <f>SUM(Q265:AE265)</f>
        <v>20480</v>
      </c>
      <c r="Q265" s="371">
        <v>800</v>
      </c>
      <c r="R265" s="371">
        <v>900</v>
      </c>
      <c r="S265" s="371">
        <v>1000</v>
      </c>
      <c r="T265" s="371">
        <v>1300</v>
      </c>
      <c r="U265" s="371">
        <v>2600</v>
      </c>
      <c r="V265" s="371">
        <v>700</v>
      </c>
      <c r="W265" s="371">
        <v>1500</v>
      </c>
      <c r="X265" s="371">
        <v>1800</v>
      </c>
      <c r="Y265" s="371">
        <v>1900</v>
      </c>
      <c r="Z265" s="371">
        <v>1650</v>
      </c>
      <c r="AA265" s="371">
        <v>0</v>
      </c>
      <c r="AB265" s="371">
        <v>300</v>
      </c>
      <c r="AC265" s="371">
        <v>0</v>
      </c>
      <c r="AD265" s="371">
        <v>0</v>
      </c>
      <c r="AE265" s="371">
        <v>6030</v>
      </c>
      <c r="AF265" s="385">
        <f>SUM(AG265:AH265)</f>
        <v>0</v>
      </c>
      <c r="AG265" s="371"/>
      <c r="AH265" s="371"/>
      <c r="AI265" s="387">
        <f t="shared" si="93"/>
        <v>0</v>
      </c>
    </row>
    <row r="266" spans="1:35" s="410" customFormat="1" ht="22.5" customHeight="1">
      <c r="A266" s="405" t="s">
        <v>1107</v>
      </c>
      <c r="B266" s="406"/>
      <c r="C266" s="407" t="s">
        <v>1169</v>
      </c>
      <c r="D266" s="408"/>
      <c r="E266" s="409">
        <f t="shared" ref="E266:AH266" si="94">SUM(E267:E282)</f>
        <v>589351</v>
      </c>
      <c r="F266" s="409">
        <f t="shared" si="94"/>
        <v>61379</v>
      </c>
      <c r="G266" s="409">
        <f t="shared" si="94"/>
        <v>527972</v>
      </c>
      <c r="H266" s="409">
        <f t="shared" si="94"/>
        <v>125893</v>
      </c>
      <c r="I266" s="409">
        <f t="shared" si="94"/>
        <v>9000</v>
      </c>
      <c r="J266" s="409">
        <f t="shared" si="94"/>
        <v>17511</v>
      </c>
      <c r="K266" s="409">
        <f t="shared" si="94"/>
        <v>8010</v>
      </c>
      <c r="L266" s="409">
        <f t="shared" si="94"/>
        <v>3074</v>
      </c>
      <c r="M266" s="409">
        <f t="shared" si="94"/>
        <v>19811</v>
      </c>
      <c r="N266" s="409">
        <f t="shared" si="94"/>
        <v>61518</v>
      </c>
      <c r="O266" s="409">
        <f t="shared" si="94"/>
        <v>6969</v>
      </c>
      <c r="P266" s="409">
        <f t="shared" si="94"/>
        <v>452828</v>
      </c>
      <c r="Q266" s="409">
        <f t="shared" si="94"/>
        <v>16468</v>
      </c>
      <c r="R266" s="409">
        <f t="shared" si="94"/>
        <v>3000</v>
      </c>
      <c r="S266" s="409">
        <f t="shared" si="94"/>
        <v>14000</v>
      </c>
      <c r="T266" s="409">
        <f t="shared" si="94"/>
        <v>201498</v>
      </c>
      <c r="U266" s="409">
        <f t="shared" si="94"/>
        <v>0</v>
      </c>
      <c r="V266" s="409">
        <f t="shared" si="94"/>
        <v>26805</v>
      </c>
      <c r="W266" s="409">
        <f t="shared" si="94"/>
        <v>25214</v>
      </c>
      <c r="X266" s="409">
        <f t="shared" si="94"/>
        <v>67067</v>
      </c>
      <c r="Y266" s="409">
        <f t="shared" si="94"/>
        <v>20010</v>
      </c>
      <c r="Z266" s="409">
        <f t="shared" si="94"/>
        <v>17710</v>
      </c>
      <c r="AA266" s="409">
        <f t="shared" si="94"/>
        <v>11710</v>
      </c>
      <c r="AB266" s="409">
        <f t="shared" si="94"/>
        <v>10200</v>
      </c>
      <c r="AC266" s="409">
        <f t="shared" si="94"/>
        <v>8000</v>
      </c>
      <c r="AD266" s="409">
        <f t="shared" si="94"/>
        <v>0</v>
      </c>
      <c r="AE266" s="409">
        <f t="shared" si="94"/>
        <v>31146</v>
      </c>
      <c r="AF266" s="409">
        <f t="shared" si="94"/>
        <v>10630</v>
      </c>
      <c r="AG266" s="409">
        <f t="shared" si="94"/>
        <v>3755</v>
      </c>
      <c r="AH266" s="409">
        <f t="shared" si="94"/>
        <v>6875</v>
      </c>
      <c r="AI266" s="387">
        <f t="shared" si="93"/>
        <v>0</v>
      </c>
    </row>
    <row r="267" spans="1:35" s="393" customFormat="1" ht="24" customHeight="1">
      <c r="A267" s="397" t="s">
        <v>178</v>
      </c>
      <c r="B267" s="394" t="s">
        <v>1108</v>
      </c>
      <c r="C267" s="395" t="s">
        <v>971</v>
      </c>
      <c r="D267" s="396">
        <v>4</v>
      </c>
      <c r="E267" s="385">
        <f t="shared" ref="E267:E282" si="95">SUM(H267,P267,AF267)</f>
        <v>3000</v>
      </c>
      <c r="F267" s="368">
        <v>3000</v>
      </c>
      <c r="G267" s="368"/>
      <c r="H267" s="385">
        <f t="shared" ref="H267:H282" si="96">SUM(I267:O267)</f>
        <v>1000</v>
      </c>
      <c r="I267" s="371"/>
      <c r="J267" s="371">
        <v>0</v>
      </c>
      <c r="K267" s="371"/>
      <c r="L267" s="371"/>
      <c r="M267" s="371"/>
      <c r="N267" s="371"/>
      <c r="O267" s="370">
        <v>1000</v>
      </c>
      <c r="P267" s="386">
        <f t="shared" ref="P267:P282" si="97">SUM(Q267:AE267)</f>
        <v>2000</v>
      </c>
      <c r="Q267" s="371"/>
      <c r="R267" s="371"/>
      <c r="S267" s="371"/>
      <c r="T267" s="371"/>
      <c r="U267" s="371"/>
      <c r="V267" s="371"/>
      <c r="W267" s="371"/>
      <c r="X267" s="371"/>
      <c r="Y267" s="371"/>
      <c r="Z267" s="371"/>
      <c r="AA267" s="371"/>
      <c r="AB267" s="371"/>
      <c r="AC267" s="371"/>
      <c r="AD267" s="371"/>
      <c r="AE267" s="371">
        <v>2000</v>
      </c>
      <c r="AF267" s="385">
        <f t="shared" ref="AF267:AF282" si="98">SUM(AG267:AH267)</f>
        <v>0</v>
      </c>
      <c r="AG267" s="371"/>
      <c r="AH267" s="371"/>
      <c r="AI267" s="387">
        <f t="shared" si="93"/>
        <v>0</v>
      </c>
    </row>
    <row r="268" spans="1:35" s="393" customFormat="1" ht="24" customHeight="1">
      <c r="A268" s="397" t="s">
        <v>178</v>
      </c>
      <c r="B268" s="394" t="s">
        <v>407</v>
      </c>
      <c r="C268" s="395" t="s">
        <v>408</v>
      </c>
      <c r="D268" s="396">
        <v>4</v>
      </c>
      <c r="E268" s="385">
        <f t="shared" si="95"/>
        <v>8000</v>
      </c>
      <c r="F268" s="368">
        <v>8000</v>
      </c>
      <c r="G268" s="368"/>
      <c r="H268" s="385">
        <f t="shared" si="96"/>
        <v>3000</v>
      </c>
      <c r="I268" s="371"/>
      <c r="J268" s="371">
        <v>0</v>
      </c>
      <c r="K268" s="371"/>
      <c r="L268" s="371"/>
      <c r="M268" s="371"/>
      <c r="N268" s="371"/>
      <c r="O268" s="370">
        <v>3000</v>
      </c>
      <c r="P268" s="386">
        <f t="shared" si="97"/>
        <v>5000</v>
      </c>
      <c r="Q268" s="371">
        <v>200</v>
      </c>
      <c r="R268" s="371"/>
      <c r="S268" s="371"/>
      <c r="T268" s="371"/>
      <c r="U268" s="371"/>
      <c r="V268" s="371"/>
      <c r="W268" s="371"/>
      <c r="X268" s="371">
        <v>200</v>
      </c>
      <c r="Y268" s="371"/>
      <c r="Z268" s="371"/>
      <c r="AA268" s="371"/>
      <c r="AB268" s="371">
        <v>200</v>
      </c>
      <c r="AC268" s="371"/>
      <c r="AD268" s="371"/>
      <c r="AE268" s="371">
        <v>4400</v>
      </c>
      <c r="AF268" s="385">
        <f t="shared" si="98"/>
        <v>0</v>
      </c>
      <c r="AG268" s="371"/>
      <c r="AH268" s="371"/>
      <c r="AI268" s="387">
        <f t="shared" si="93"/>
        <v>0</v>
      </c>
    </row>
    <row r="269" spans="1:35" s="393" customFormat="1" ht="24" customHeight="1">
      <c r="A269" s="397" t="s">
        <v>178</v>
      </c>
      <c r="B269" s="394" t="s">
        <v>407</v>
      </c>
      <c r="C269" s="395" t="s">
        <v>409</v>
      </c>
      <c r="D269" s="396">
        <v>4</v>
      </c>
      <c r="E269" s="385">
        <f t="shared" si="95"/>
        <v>291</v>
      </c>
      <c r="F269" s="368">
        <v>291</v>
      </c>
      <c r="G269" s="368"/>
      <c r="H269" s="385">
        <f t="shared" si="96"/>
        <v>18</v>
      </c>
      <c r="I269" s="371"/>
      <c r="J269" s="371" t="s">
        <v>145</v>
      </c>
      <c r="K269" s="371"/>
      <c r="L269" s="371"/>
      <c r="M269" s="371">
        <v>18</v>
      </c>
      <c r="N269" s="371"/>
      <c r="O269" s="370"/>
      <c r="P269" s="386">
        <f t="shared" si="97"/>
        <v>273</v>
      </c>
      <c r="Q269" s="371"/>
      <c r="R269" s="371"/>
      <c r="S269" s="371"/>
      <c r="T269" s="371"/>
      <c r="U269" s="371"/>
      <c r="V269" s="371">
        <v>27</v>
      </c>
      <c r="W269" s="371">
        <v>36</v>
      </c>
      <c r="X269" s="371"/>
      <c r="Y269" s="371"/>
      <c r="Z269" s="371"/>
      <c r="AA269" s="371">
        <v>210</v>
      </c>
      <c r="AB269" s="371"/>
      <c r="AC269" s="371"/>
      <c r="AD269" s="371"/>
      <c r="AE269" s="371"/>
      <c r="AF269" s="385">
        <f t="shared" si="98"/>
        <v>0</v>
      </c>
      <c r="AG269" s="371"/>
      <c r="AH269" s="371"/>
      <c r="AI269" s="387">
        <f t="shared" si="93"/>
        <v>0</v>
      </c>
    </row>
    <row r="270" spans="1:35" s="393" customFormat="1" ht="24" customHeight="1">
      <c r="A270" s="397" t="s">
        <v>178</v>
      </c>
      <c r="B270" s="394" t="s">
        <v>407</v>
      </c>
      <c r="C270" s="395" t="s">
        <v>410</v>
      </c>
      <c r="D270" s="396">
        <v>4</v>
      </c>
      <c r="E270" s="385">
        <f t="shared" si="95"/>
        <v>1054</v>
      </c>
      <c r="F270" s="368">
        <v>1054</v>
      </c>
      <c r="G270" s="368"/>
      <c r="H270" s="385">
        <f t="shared" si="96"/>
        <v>645</v>
      </c>
      <c r="I270" s="371"/>
      <c r="J270" s="371" t="s">
        <v>145</v>
      </c>
      <c r="K270" s="371">
        <v>10</v>
      </c>
      <c r="L270" s="371">
        <v>74</v>
      </c>
      <c r="M270" s="371">
        <v>273</v>
      </c>
      <c r="N270" s="371">
        <v>288</v>
      </c>
      <c r="O270" s="370"/>
      <c r="P270" s="386">
        <f t="shared" si="97"/>
        <v>409</v>
      </c>
      <c r="Q270" s="371">
        <v>18</v>
      </c>
      <c r="R270" s="371"/>
      <c r="S270" s="371"/>
      <c r="T270" s="371">
        <v>48</v>
      </c>
      <c r="U270" s="371"/>
      <c r="V270" s="371">
        <v>28</v>
      </c>
      <c r="W270" s="371">
        <v>28</v>
      </c>
      <c r="X270" s="371">
        <v>267</v>
      </c>
      <c r="Y270" s="371">
        <v>10</v>
      </c>
      <c r="Z270" s="371">
        <v>10</v>
      </c>
      <c r="AA270" s="371"/>
      <c r="AB270" s="371"/>
      <c r="AC270" s="371"/>
      <c r="AD270" s="371"/>
      <c r="AE270" s="371"/>
      <c r="AF270" s="385">
        <f t="shared" si="98"/>
        <v>0</v>
      </c>
      <c r="AG270" s="371"/>
      <c r="AH270" s="371"/>
      <c r="AI270" s="387">
        <f t="shared" si="93"/>
        <v>0</v>
      </c>
    </row>
    <row r="271" spans="1:35" s="393" customFormat="1" ht="24" customHeight="1">
      <c r="A271" s="397" t="s">
        <v>178</v>
      </c>
      <c r="B271" s="394" t="s">
        <v>407</v>
      </c>
      <c r="C271" s="395" t="s">
        <v>972</v>
      </c>
      <c r="D271" s="396">
        <v>4</v>
      </c>
      <c r="E271" s="385">
        <f t="shared" si="95"/>
        <v>9000</v>
      </c>
      <c r="F271" s="368">
        <v>9000</v>
      </c>
      <c r="G271" s="368"/>
      <c r="H271" s="385">
        <f t="shared" si="96"/>
        <v>0</v>
      </c>
      <c r="I271" s="371"/>
      <c r="J271" s="371" t="s">
        <v>145</v>
      </c>
      <c r="K271" s="371"/>
      <c r="L271" s="371"/>
      <c r="M271" s="371"/>
      <c r="N271" s="371"/>
      <c r="O271" s="370"/>
      <c r="P271" s="386">
        <f t="shared" si="97"/>
        <v>9000</v>
      </c>
      <c r="Q271" s="371"/>
      <c r="R271" s="371"/>
      <c r="S271" s="371"/>
      <c r="T271" s="371"/>
      <c r="U271" s="371"/>
      <c r="V271" s="371"/>
      <c r="W271" s="371"/>
      <c r="X271" s="371">
        <v>9000</v>
      </c>
      <c r="Y271" s="371"/>
      <c r="Z271" s="371"/>
      <c r="AA271" s="371"/>
      <c r="AB271" s="371"/>
      <c r="AC271" s="371"/>
      <c r="AD271" s="371"/>
      <c r="AE271" s="371"/>
      <c r="AF271" s="385">
        <f t="shared" si="98"/>
        <v>0</v>
      </c>
      <c r="AG271" s="371"/>
      <c r="AH271" s="371"/>
      <c r="AI271" s="387">
        <f t="shared" si="93"/>
        <v>0</v>
      </c>
    </row>
    <row r="272" spans="1:35" s="393" customFormat="1" ht="24" customHeight="1">
      <c r="A272" s="397" t="s">
        <v>178</v>
      </c>
      <c r="B272" s="394" t="s">
        <v>407</v>
      </c>
      <c r="C272" s="395" t="s">
        <v>973</v>
      </c>
      <c r="D272" s="396">
        <v>4</v>
      </c>
      <c r="E272" s="385">
        <f t="shared" si="95"/>
        <v>1400</v>
      </c>
      <c r="F272" s="368">
        <v>1400</v>
      </c>
      <c r="G272" s="368"/>
      <c r="H272" s="385">
        <f t="shared" si="96"/>
        <v>700</v>
      </c>
      <c r="I272" s="371"/>
      <c r="J272" s="371" t="s">
        <v>145</v>
      </c>
      <c r="K272" s="371"/>
      <c r="L272" s="371"/>
      <c r="M272" s="371"/>
      <c r="N272" s="371">
        <v>700</v>
      </c>
      <c r="O272" s="370"/>
      <c r="P272" s="386">
        <f t="shared" si="97"/>
        <v>700</v>
      </c>
      <c r="Q272" s="371"/>
      <c r="R272" s="371"/>
      <c r="S272" s="371"/>
      <c r="T272" s="371"/>
      <c r="U272" s="371"/>
      <c r="V272" s="371"/>
      <c r="W272" s="371"/>
      <c r="X272" s="371">
        <v>700</v>
      </c>
      <c r="Y272" s="371"/>
      <c r="Z272" s="371"/>
      <c r="AA272" s="371"/>
      <c r="AB272" s="371"/>
      <c r="AC272" s="371"/>
      <c r="AD272" s="371"/>
      <c r="AE272" s="371"/>
      <c r="AF272" s="385">
        <f t="shared" si="98"/>
        <v>0</v>
      </c>
      <c r="AG272" s="371"/>
      <c r="AH272" s="371"/>
      <c r="AI272" s="387">
        <f t="shared" si="93"/>
        <v>0</v>
      </c>
    </row>
    <row r="273" spans="1:35" s="393" customFormat="1" ht="24" customHeight="1">
      <c r="A273" s="397" t="s">
        <v>178</v>
      </c>
      <c r="B273" s="394" t="s">
        <v>407</v>
      </c>
      <c r="C273" s="395" t="s">
        <v>974</v>
      </c>
      <c r="D273" s="396">
        <v>4</v>
      </c>
      <c r="E273" s="385">
        <f t="shared" si="95"/>
        <v>5000</v>
      </c>
      <c r="F273" s="368">
        <v>5000</v>
      </c>
      <c r="G273" s="368"/>
      <c r="H273" s="385">
        <f t="shared" si="96"/>
        <v>2000</v>
      </c>
      <c r="I273" s="371"/>
      <c r="J273" s="371" t="s">
        <v>145</v>
      </c>
      <c r="K273" s="371"/>
      <c r="L273" s="371"/>
      <c r="M273" s="371">
        <v>1000</v>
      </c>
      <c r="N273" s="371">
        <v>1000</v>
      </c>
      <c r="O273" s="370"/>
      <c r="P273" s="386">
        <f t="shared" si="97"/>
        <v>3000</v>
      </c>
      <c r="Q273" s="371"/>
      <c r="R273" s="371"/>
      <c r="S273" s="371"/>
      <c r="T273" s="371"/>
      <c r="U273" s="371"/>
      <c r="V273" s="371"/>
      <c r="W273" s="371">
        <v>400</v>
      </c>
      <c r="X273" s="371">
        <v>1000</v>
      </c>
      <c r="Y273" s="371"/>
      <c r="Z273" s="371"/>
      <c r="AA273" s="371"/>
      <c r="AB273" s="371"/>
      <c r="AC273" s="371"/>
      <c r="AD273" s="371"/>
      <c r="AE273" s="371">
        <v>1600</v>
      </c>
      <c r="AF273" s="385">
        <f t="shared" si="98"/>
        <v>0</v>
      </c>
      <c r="AG273" s="371"/>
      <c r="AH273" s="371"/>
      <c r="AI273" s="387">
        <f t="shared" si="93"/>
        <v>0</v>
      </c>
    </row>
    <row r="274" spans="1:35" s="393" customFormat="1" ht="24" customHeight="1">
      <c r="A274" s="397" t="s">
        <v>178</v>
      </c>
      <c r="B274" s="394" t="s">
        <v>407</v>
      </c>
      <c r="C274" s="395" t="s">
        <v>835</v>
      </c>
      <c r="D274" s="396">
        <v>4</v>
      </c>
      <c r="E274" s="385">
        <f t="shared" si="95"/>
        <v>2000</v>
      </c>
      <c r="F274" s="368">
        <v>2000</v>
      </c>
      <c r="G274" s="368"/>
      <c r="H274" s="385">
        <f t="shared" si="96"/>
        <v>800</v>
      </c>
      <c r="I274" s="371"/>
      <c r="J274" s="371">
        <v>0</v>
      </c>
      <c r="K274" s="371"/>
      <c r="L274" s="371"/>
      <c r="M274" s="371"/>
      <c r="N274" s="371"/>
      <c r="O274" s="370">
        <v>800</v>
      </c>
      <c r="P274" s="386">
        <f t="shared" si="97"/>
        <v>1200</v>
      </c>
      <c r="Q274" s="371"/>
      <c r="R274" s="371"/>
      <c r="S274" s="371"/>
      <c r="T274" s="371"/>
      <c r="U274" s="371"/>
      <c r="V274" s="371"/>
      <c r="W274" s="371"/>
      <c r="X274" s="371"/>
      <c r="Y274" s="371"/>
      <c r="Z274" s="371"/>
      <c r="AA274" s="371"/>
      <c r="AB274" s="371"/>
      <c r="AC274" s="371"/>
      <c r="AD274" s="371"/>
      <c r="AE274" s="371">
        <v>1200</v>
      </c>
      <c r="AF274" s="385">
        <f t="shared" si="98"/>
        <v>0</v>
      </c>
      <c r="AG274" s="371"/>
      <c r="AH274" s="371"/>
      <c r="AI274" s="387">
        <f t="shared" si="93"/>
        <v>0</v>
      </c>
    </row>
    <row r="275" spans="1:35" s="393" customFormat="1" ht="24" customHeight="1">
      <c r="A275" s="397" t="s">
        <v>178</v>
      </c>
      <c r="B275" s="394" t="s">
        <v>407</v>
      </c>
      <c r="C275" s="395" t="s">
        <v>975</v>
      </c>
      <c r="D275" s="396">
        <v>4</v>
      </c>
      <c r="E275" s="385">
        <f t="shared" si="95"/>
        <v>2684</v>
      </c>
      <c r="F275" s="368">
        <v>2684</v>
      </c>
      <c r="G275" s="368"/>
      <c r="H275" s="385">
        <f t="shared" si="96"/>
        <v>169</v>
      </c>
      <c r="I275" s="371"/>
      <c r="J275" s="371">
        <v>0</v>
      </c>
      <c r="K275" s="371"/>
      <c r="L275" s="371"/>
      <c r="M275" s="371"/>
      <c r="N275" s="371"/>
      <c r="O275" s="370">
        <v>169</v>
      </c>
      <c r="P275" s="386">
        <f t="shared" si="97"/>
        <v>1885</v>
      </c>
      <c r="Q275" s="371"/>
      <c r="R275" s="371"/>
      <c r="S275" s="371"/>
      <c r="T275" s="371"/>
      <c r="U275" s="371"/>
      <c r="V275" s="371"/>
      <c r="W275" s="371"/>
      <c r="X275" s="371"/>
      <c r="Y275" s="371"/>
      <c r="Z275" s="371"/>
      <c r="AA275" s="371"/>
      <c r="AB275" s="371"/>
      <c r="AC275" s="371"/>
      <c r="AD275" s="371"/>
      <c r="AE275" s="371">
        <v>1885</v>
      </c>
      <c r="AF275" s="385">
        <f t="shared" si="98"/>
        <v>630</v>
      </c>
      <c r="AG275" s="371">
        <v>255</v>
      </c>
      <c r="AH275" s="371">
        <v>375</v>
      </c>
      <c r="AI275" s="387">
        <f t="shared" si="93"/>
        <v>0</v>
      </c>
    </row>
    <row r="276" spans="1:35" s="393" customFormat="1" ht="24" customHeight="1">
      <c r="A276" s="397" t="s">
        <v>178</v>
      </c>
      <c r="B276" s="394" t="s">
        <v>407</v>
      </c>
      <c r="C276" s="395" t="s">
        <v>976</v>
      </c>
      <c r="D276" s="396">
        <v>4</v>
      </c>
      <c r="E276" s="385">
        <f t="shared" si="95"/>
        <v>50200</v>
      </c>
      <c r="F276" s="368"/>
      <c r="G276" s="368">
        <v>50200</v>
      </c>
      <c r="H276" s="385">
        <f t="shared" si="96"/>
        <v>12000</v>
      </c>
      <c r="I276" s="371"/>
      <c r="J276" s="371">
        <v>0</v>
      </c>
      <c r="K276" s="371"/>
      <c r="L276" s="371"/>
      <c r="M276" s="371">
        <v>6000</v>
      </c>
      <c r="N276" s="371">
        <v>6000</v>
      </c>
      <c r="O276" s="370"/>
      <c r="P276" s="386">
        <f t="shared" si="97"/>
        <v>35700</v>
      </c>
      <c r="Q276" s="371">
        <v>5000</v>
      </c>
      <c r="R276" s="371"/>
      <c r="S276" s="371"/>
      <c r="T276" s="371">
        <v>7000</v>
      </c>
      <c r="U276" s="371"/>
      <c r="V276" s="371">
        <v>7000</v>
      </c>
      <c r="W276" s="371">
        <v>7000</v>
      </c>
      <c r="X276" s="371">
        <v>7000</v>
      </c>
      <c r="Y276" s="371"/>
      <c r="Z276" s="371">
        <v>2700</v>
      </c>
      <c r="AA276" s="371"/>
      <c r="AB276" s="371"/>
      <c r="AC276" s="371"/>
      <c r="AD276" s="371"/>
      <c r="AE276" s="371"/>
      <c r="AF276" s="385">
        <f t="shared" si="98"/>
        <v>2500</v>
      </c>
      <c r="AG276" s="371">
        <v>2500</v>
      </c>
      <c r="AH276" s="371"/>
      <c r="AI276" s="387">
        <f t="shared" si="93"/>
        <v>0</v>
      </c>
    </row>
    <row r="277" spans="1:35" s="393" customFormat="1" ht="35.450000000000003" customHeight="1">
      <c r="A277" s="397" t="s">
        <v>178</v>
      </c>
      <c r="B277" s="394" t="s">
        <v>407</v>
      </c>
      <c r="C277" s="395" t="s">
        <v>977</v>
      </c>
      <c r="D277" s="396">
        <v>4</v>
      </c>
      <c r="E277" s="385">
        <f t="shared" si="95"/>
        <v>20000</v>
      </c>
      <c r="F277" s="368"/>
      <c r="G277" s="368">
        <v>20000</v>
      </c>
      <c r="H277" s="385">
        <f t="shared" si="96"/>
        <v>0</v>
      </c>
      <c r="I277" s="371"/>
      <c r="J277" s="371"/>
      <c r="K277" s="371"/>
      <c r="L277" s="371"/>
      <c r="M277" s="371"/>
      <c r="N277" s="371"/>
      <c r="O277" s="370"/>
      <c r="P277" s="386">
        <f t="shared" si="97"/>
        <v>20000</v>
      </c>
      <c r="Q277" s="371"/>
      <c r="R277" s="371"/>
      <c r="S277" s="371"/>
      <c r="T277" s="371"/>
      <c r="U277" s="371"/>
      <c r="V277" s="371"/>
      <c r="W277" s="371"/>
      <c r="X277" s="371">
        <v>20000</v>
      </c>
      <c r="Y277" s="371"/>
      <c r="Z277" s="371"/>
      <c r="AA277" s="371"/>
      <c r="AB277" s="371"/>
      <c r="AC277" s="371"/>
      <c r="AD277" s="371"/>
      <c r="AE277" s="371"/>
      <c r="AF277" s="385">
        <f t="shared" si="98"/>
        <v>0</v>
      </c>
      <c r="AG277" s="371"/>
      <c r="AH277" s="371"/>
      <c r="AI277" s="387">
        <f t="shared" si="93"/>
        <v>0</v>
      </c>
    </row>
    <row r="278" spans="1:35" s="393" customFormat="1" ht="24" customHeight="1">
      <c r="A278" s="397" t="s">
        <v>178</v>
      </c>
      <c r="B278" s="394" t="s">
        <v>407</v>
      </c>
      <c r="C278" s="395" t="s">
        <v>978</v>
      </c>
      <c r="D278" s="396">
        <v>4</v>
      </c>
      <c r="E278" s="385">
        <f t="shared" si="95"/>
        <v>185300</v>
      </c>
      <c r="F278" s="368">
        <v>4500</v>
      </c>
      <c r="G278" s="368">
        <v>180800</v>
      </c>
      <c r="H278" s="385">
        <f t="shared" si="96"/>
        <v>50000</v>
      </c>
      <c r="I278" s="371">
        <v>9000</v>
      </c>
      <c r="J278" s="371">
        <v>0</v>
      </c>
      <c r="K278" s="371">
        <v>8000</v>
      </c>
      <c r="L278" s="371">
        <v>3000</v>
      </c>
      <c r="M278" s="371">
        <v>8000</v>
      </c>
      <c r="N278" s="371">
        <v>20000</v>
      </c>
      <c r="O278" s="370">
        <v>2000</v>
      </c>
      <c r="P278" s="386">
        <f t="shared" si="97"/>
        <v>127800</v>
      </c>
      <c r="Q278" s="371">
        <v>10000</v>
      </c>
      <c r="R278" s="371">
        <v>3000</v>
      </c>
      <c r="S278" s="371">
        <v>9000</v>
      </c>
      <c r="T278" s="371">
        <v>5000</v>
      </c>
      <c r="U278" s="371"/>
      <c r="V278" s="371">
        <v>12000</v>
      </c>
      <c r="W278" s="371">
        <v>10000</v>
      </c>
      <c r="X278" s="371">
        <v>20000</v>
      </c>
      <c r="Y278" s="371">
        <v>15000</v>
      </c>
      <c r="Z278" s="371">
        <v>10000</v>
      </c>
      <c r="AA278" s="371">
        <v>6000</v>
      </c>
      <c r="AB278" s="371">
        <v>5000</v>
      </c>
      <c r="AC278" s="371">
        <v>3000</v>
      </c>
      <c r="AD278" s="371"/>
      <c r="AE278" s="371">
        <v>19800</v>
      </c>
      <c r="AF278" s="385">
        <f t="shared" si="98"/>
        <v>7500</v>
      </c>
      <c r="AG278" s="371">
        <v>1000</v>
      </c>
      <c r="AH278" s="371">
        <v>6500</v>
      </c>
      <c r="AI278" s="387">
        <f t="shared" si="93"/>
        <v>0</v>
      </c>
    </row>
    <row r="279" spans="1:35" s="393" customFormat="1" ht="24" customHeight="1">
      <c r="A279" s="397" t="s">
        <v>178</v>
      </c>
      <c r="B279" s="394" t="s">
        <v>407</v>
      </c>
      <c r="C279" s="395" t="s">
        <v>414</v>
      </c>
      <c r="D279" s="396">
        <v>4</v>
      </c>
      <c r="E279" s="385">
        <f t="shared" si="95"/>
        <v>18200</v>
      </c>
      <c r="F279" s="368">
        <v>18200</v>
      </c>
      <c r="G279" s="368">
        <v>0</v>
      </c>
      <c r="H279" s="385">
        <f t="shared" si="96"/>
        <v>6800</v>
      </c>
      <c r="I279" s="371"/>
      <c r="J279" s="371">
        <v>0</v>
      </c>
      <c r="K279" s="371"/>
      <c r="L279" s="371"/>
      <c r="M279" s="371">
        <v>3800</v>
      </c>
      <c r="N279" s="371">
        <v>3000</v>
      </c>
      <c r="O279" s="370"/>
      <c r="P279" s="386">
        <f t="shared" si="97"/>
        <v>11400</v>
      </c>
      <c r="Q279" s="371">
        <v>1000</v>
      </c>
      <c r="R279" s="371"/>
      <c r="S279" s="371"/>
      <c r="T279" s="371">
        <v>1500</v>
      </c>
      <c r="U279" s="371"/>
      <c r="V279" s="371">
        <v>2500</v>
      </c>
      <c r="W279" s="371">
        <v>2500</v>
      </c>
      <c r="X279" s="371">
        <v>3400</v>
      </c>
      <c r="Y279" s="371"/>
      <c r="Z279" s="371"/>
      <c r="AA279" s="371">
        <v>500</v>
      </c>
      <c r="AB279" s="371"/>
      <c r="AC279" s="371"/>
      <c r="AD279" s="371"/>
      <c r="AE279" s="371"/>
      <c r="AF279" s="385">
        <f t="shared" si="98"/>
        <v>0</v>
      </c>
      <c r="AG279" s="371"/>
      <c r="AH279" s="371"/>
      <c r="AI279" s="387">
        <f t="shared" si="93"/>
        <v>0</v>
      </c>
    </row>
    <row r="280" spans="1:35" s="393" customFormat="1" ht="24" customHeight="1">
      <c r="A280" s="397" t="s">
        <v>178</v>
      </c>
      <c r="B280" s="394" t="s">
        <v>407</v>
      </c>
      <c r="C280" s="395" t="s">
        <v>979</v>
      </c>
      <c r="D280" s="396">
        <v>4</v>
      </c>
      <c r="E280" s="385">
        <f t="shared" si="95"/>
        <v>97772</v>
      </c>
      <c r="F280" s="368">
        <v>3500</v>
      </c>
      <c r="G280" s="368">
        <v>94272</v>
      </c>
      <c r="H280" s="385">
        <f t="shared" si="96"/>
        <v>47511</v>
      </c>
      <c r="I280" s="371"/>
      <c r="J280" s="371">
        <v>17511</v>
      </c>
      <c r="K280" s="371"/>
      <c r="L280" s="371"/>
      <c r="M280" s="371"/>
      <c r="N280" s="371">
        <v>30000</v>
      </c>
      <c r="O280" s="370"/>
      <c r="P280" s="386">
        <f t="shared" si="97"/>
        <v>50261</v>
      </c>
      <c r="Q280" s="371"/>
      <c r="R280" s="371"/>
      <c r="S280" s="371">
        <v>5000</v>
      </c>
      <c r="T280" s="371">
        <v>5000</v>
      </c>
      <c r="U280" s="371"/>
      <c r="V280" s="371">
        <v>5000</v>
      </c>
      <c r="W280" s="371">
        <v>5000</v>
      </c>
      <c r="X280" s="371">
        <v>5000</v>
      </c>
      <c r="Y280" s="371">
        <v>5000</v>
      </c>
      <c r="Z280" s="371">
        <v>5000</v>
      </c>
      <c r="AA280" s="371">
        <v>5000</v>
      </c>
      <c r="AB280" s="371">
        <v>5000</v>
      </c>
      <c r="AC280" s="371">
        <v>5000</v>
      </c>
      <c r="AD280" s="371"/>
      <c r="AE280" s="371">
        <v>261</v>
      </c>
      <c r="AF280" s="385">
        <f t="shared" si="98"/>
        <v>0</v>
      </c>
      <c r="AG280" s="371"/>
      <c r="AH280" s="371"/>
      <c r="AI280" s="387">
        <f t="shared" si="93"/>
        <v>0</v>
      </c>
    </row>
    <row r="281" spans="1:35" s="393" customFormat="1" ht="24" customHeight="1">
      <c r="A281" s="397" t="s">
        <v>178</v>
      </c>
      <c r="B281" s="394" t="s">
        <v>407</v>
      </c>
      <c r="C281" s="395" t="s">
        <v>980</v>
      </c>
      <c r="D281" s="396">
        <v>4</v>
      </c>
      <c r="E281" s="385">
        <f t="shared" si="95"/>
        <v>182700</v>
      </c>
      <c r="F281" s="368"/>
      <c r="G281" s="368">
        <v>182700</v>
      </c>
      <c r="H281" s="385">
        <f t="shared" si="96"/>
        <v>0</v>
      </c>
      <c r="I281" s="371"/>
      <c r="J281" s="371">
        <v>0</v>
      </c>
      <c r="K281" s="371"/>
      <c r="L281" s="371"/>
      <c r="M281" s="371"/>
      <c r="N281" s="371"/>
      <c r="O281" s="370"/>
      <c r="P281" s="386">
        <f t="shared" si="97"/>
        <v>182700</v>
      </c>
      <c r="Q281" s="371"/>
      <c r="R281" s="371"/>
      <c r="S281" s="371"/>
      <c r="T281" s="371">
        <v>182700</v>
      </c>
      <c r="U281" s="371"/>
      <c r="V281" s="371"/>
      <c r="W281" s="371"/>
      <c r="X281" s="371"/>
      <c r="Y281" s="371"/>
      <c r="Z281" s="371"/>
      <c r="AA281" s="371"/>
      <c r="AB281" s="371"/>
      <c r="AC281" s="371"/>
      <c r="AD281" s="371"/>
      <c r="AE281" s="371"/>
      <c r="AF281" s="385">
        <f t="shared" si="98"/>
        <v>0</v>
      </c>
      <c r="AG281" s="371"/>
      <c r="AH281" s="371"/>
      <c r="AI281" s="387">
        <f t="shared" si="93"/>
        <v>0</v>
      </c>
    </row>
    <row r="282" spans="1:35" s="393" customFormat="1" ht="24" customHeight="1">
      <c r="A282" s="397" t="s">
        <v>178</v>
      </c>
      <c r="B282" s="394" t="s">
        <v>407</v>
      </c>
      <c r="C282" s="395" t="s">
        <v>981</v>
      </c>
      <c r="D282" s="396">
        <v>4</v>
      </c>
      <c r="E282" s="385">
        <f t="shared" si="95"/>
        <v>2750</v>
      </c>
      <c r="F282" s="368">
        <v>2750</v>
      </c>
      <c r="G282" s="368">
        <v>0</v>
      </c>
      <c r="H282" s="385">
        <f t="shared" si="96"/>
        <v>1250</v>
      </c>
      <c r="I282" s="371"/>
      <c r="J282" s="371">
        <v>0</v>
      </c>
      <c r="K282" s="371"/>
      <c r="L282" s="371"/>
      <c r="M282" s="371">
        <v>720</v>
      </c>
      <c r="N282" s="371">
        <v>530</v>
      </c>
      <c r="O282" s="370"/>
      <c r="P282" s="386">
        <f t="shared" si="97"/>
        <v>1500</v>
      </c>
      <c r="Q282" s="371">
        <v>250</v>
      </c>
      <c r="R282" s="371"/>
      <c r="S282" s="371"/>
      <c r="T282" s="371">
        <v>250</v>
      </c>
      <c r="U282" s="371"/>
      <c r="V282" s="371">
        <v>250</v>
      </c>
      <c r="W282" s="371">
        <v>250</v>
      </c>
      <c r="X282" s="371">
        <v>500</v>
      </c>
      <c r="Y282" s="371"/>
      <c r="Z282" s="371"/>
      <c r="AA282" s="371"/>
      <c r="AB282" s="371"/>
      <c r="AC282" s="371"/>
      <c r="AD282" s="371"/>
      <c r="AE282" s="371"/>
      <c r="AF282" s="385">
        <f t="shared" si="98"/>
        <v>0</v>
      </c>
      <c r="AG282" s="371"/>
      <c r="AH282" s="371"/>
      <c r="AI282" s="387">
        <f t="shared" si="93"/>
        <v>0</v>
      </c>
    </row>
    <row r="283" spans="1:35" s="410" customFormat="1" ht="22.5" customHeight="1">
      <c r="A283" s="405" t="s">
        <v>998</v>
      </c>
      <c r="B283" s="406"/>
      <c r="C283" s="407" t="s">
        <v>1169</v>
      </c>
      <c r="D283" s="408"/>
      <c r="E283" s="409">
        <f t="shared" ref="E283:AH283" si="99">SUM(E284:E297)</f>
        <v>144591</v>
      </c>
      <c r="F283" s="409">
        <f t="shared" si="99"/>
        <v>143135</v>
      </c>
      <c r="G283" s="409">
        <f t="shared" si="99"/>
        <v>1456</v>
      </c>
      <c r="H283" s="409">
        <f t="shared" si="99"/>
        <v>42777</v>
      </c>
      <c r="I283" s="409">
        <f t="shared" si="99"/>
        <v>5148</v>
      </c>
      <c r="J283" s="409">
        <f t="shared" si="99"/>
        <v>0</v>
      </c>
      <c r="K283" s="409">
        <f t="shared" si="99"/>
        <v>8835</v>
      </c>
      <c r="L283" s="409">
        <f t="shared" si="99"/>
        <v>7683</v>
      </c>
      <c r="M283" s="409">
        <f t="shared" si="99"/>
        <v>9651</v>
      </c>
      <c r="N283" s="409">
        <f t="shared" si="99"/>
        <v>11460</v>
      </c>
      <c r="O283" s="409">
        <f t="shared" si="99"/>
        <v>0</v>
      </c>
      <c r="P283" s="409">
        <f t="shared" si="99"/>
        <v>96420</v>
      </c>
      <c r="Q283" s="409">
        <f t="shared" si="99"/>
        <v>4712</v>
      </c>
      <c r="R283" s="409">
        <f t="shared" si="99"/>
        <v>5230</v>
      </c>
      <c r="S283" s="409">
        <f t="shared" si="99"/>
        <v>4788</v>
      </c>
      <c r="T283" s="409">
        <f t="shared" si="99"/>
        <v>11072</v>
      </c>
      <c r="U283" s="409">
        <f t="shared" si="99"/>
        <v>5326</v>
      </c>
      <c r="V283" s="409">
        <f t="shared" si="99"/>
        <v>9516</v>
      </c>
      <c r="W283" s="409">
        <f t="shared" si="99"/>
        <v>5881</v>
      </c>
      <c r="X283" s="409">
        <f t="shared" si="99"/>
        <v>8015</v>
      </c>
      <c r="Y283" s="409">
        <f t="shared" si="99"/>
        <v>4254</v>
      </c>
      <c r="Z283" s="409">
        <f t="shared" si="99"/>
        <v>4484</v>
      </c>
      <c r="AA283" s="409">
        <f t="shared" si="99"/>
        <v>2924</v>
      </c>
      <c r="AB283" s="409">
        <f t="shared" si="99"/>
        <v>1326</v>
      </c>
      <c r="AC283" s="409">
        <f t="shared" si="99"/>
        <v>1581</v>
      </c>
      <c r="AD283" s="409">
        <f t="shared" si="99"/>
        <v>2836</v>
      </c>
      <c r="AE283" s="409">
        <f t="shared" si="99"/>
        <v>24475</v>
      </c>
      <c r="AF283" s="409">
        <f t="shared" si="99"/>
        <v>5394</v>
      </c>
      <c r="AG283" s="409">
        <f t="shared" si="99"/>
        <v>4012</v>
      </c>
      <c r="AH283" s="409">
        <f t="shared" si="99"/>
        <v>1382</v>
      </c>
      <c r="AI283" s="387">
        <f t="shared" si="93"/>
        <v>0</v>
      </c>
    </row>
    <row r="284" spans="1:35" s="393" customFormat="1" ht="24" customHeight="1">
      <c r="A284" s="397" t="s">
        <v>178</v>
      </c>
      <c r="B284" s="394" t="s">
        <v>1109</v>
      </c>
      <c r="C284" s="395" t="s">
        <v>421</v>
      </c>
      <c r="D284" s="396">
        <v>4</v>
      </c>
      <c r="E284" s="385">
        <f t="shared" ref="E284:E297" si="100">SUM(H284,P284,AF284)</f>
        <v>5282</v>
      </c>
      <c r="F284" s="368">
        <v>4982</v>
      </c>
      <c r="G284" s="368">
        <v>300</v>
      </c>
      <c r="H284" s="385">
        <f t="shared" ref="H284:H297" si="101">SUM(I284:O284)</f>
        <v>1300</v>
      </c>
      <c r="I284" s="371">
        <v>160</v>
      </c>
      <c r="J284" s="371">
        <v>0</v>
      </c>
      <c r="K284" s="371">
        <v>206</v>
      </c>
      <c r="L284" s="371">
        <v>206</v>
      </c>
      <c r="M284" s="371">
        <v>407</v>
      </c>
      <c r="N284" s="371">
        <v>321</v>
      </c>
      <c r="O284" s="370"/>
      <c r="P284" s="386">
        <f t="shared" ref="P284:P297" si="102">SUM(Q284:AE284)</f>
        <v>3682</v>
      </c>
      <c r="Q284" s="371">
        <v>159</v>
      </c>
      <c r="R284" s="371">
        <v>285</v>
      </c>
      <c r="S284" s="371">
        <v>199</v>
      </c>
      <c r="T284" s="371">
        <v>478</v>
      </c>
      <c r="U284" s="371">
        <v>359</v>
      </c>
      <c r="V284" s="371">
        <v>532</v>
      </c>
      <c r="W284" s="371">
        <v>478</v>
      </c>
      <c r="X284" s="371">
        <v>478</v>
      </c>
      <c r="Y284" s="371">
        <v>199</v>
      </c>
      <c r="Z284" s="371">
        <v>199</v>
      </c>
      <c r="AA284" s="371">
        <v>154</v>
      </c>
      <c r="AB284" s="371">
        <v>41</v>
      </c>
      <c r="AC284" s="371">
        <v>80</v>
      </c>
      <c r="AD284" s="371">
        <v>41</v>
      </c>
      <c r="AE284" s="371"/>
      <c r="AF284" s="385">
        <f t="shared" ref="AF284:AF297" si="103">SUM(AG284:AH284)</f>
        <v>300</v>
      </c>
      <c r="AG284" s="371">
        <v>276</v>
      </c>
      <c r="AH284" s="371">
        <v>24</v>
      </c>
      <c r="AI284" s="387">
        <f t="shared" si="93"/>
        <v>0</v>
      </c>
    </row>
    <row r="285" spans="1:35" s="393" customFormat="1" ht="24" customHeight="1">
      <c r="A285" s="397" t="s">
        <v>178</v>
      </c>
      <c r="B285" s="394" t="s">
        <v>982</v>
      </c>
      <c r="C285" s="395" t="s">
        <v>422</v>
      </c>
      <c r="D285" s="396">
        <v>4</v>
      </c>
      <c r="E285" s="385">
        <f t="shared" si="100"/>
        <v>3638</v>
      </c>
      <c r="F285" s="368">
        <v>3638</v>
      </c>
      <c r="G285" s="368"/>
      <c r="H285" s="385">
        <f t="shared" si="101"/>
        <v>908</v>
      </c>
      <c r="I285" s="371">
        <v>103</v>
      </c>
      <c r="J285" s="371">
        <v>0</v>
      </c>
      <c r="K285" s="371">
        <v>151</v>
      </c>
      <c r="L285" s="371">
        <v>218</v>
      </c>
      <c r="M285" s="371">
        <v>218</v>
      </c>
      <c r="N285" s="371">
        <v>218</v>
      </c>
      <c r="O285" s="370"/>
      <c r="P285" s="386">
        <f t="shared" si="102"/>
        <v>2490</v>
      </c>
      <c r="Q285" s="371">
        <v>181</v>
      </c>
      <c r="R285" s="371">
        <v>181</v>
      </c>
      <c r="S285" s="371">
        <v>170</v>
      </c>
      <c r="T285" s="371">
        <v>170</v>
      </c>
      <c r="U285" s="371">
        <v>293</v>
      </c>
      <c r="V285" s="371">
        <v>170</v>
      </c>
      <c r="W285" s="371">
        <v>181</v>
      </c>
      <c r="X285" s="371">
        <v>170</v>
      </c>
      <c r="Y285" s="371">
        <v>253</v>
      </c>
      <c r="Z285" s="371">
        <v>181</v>
      </c>
      <c r="AA285" s="371">
        <v>135</v>
      </c>
      <c r="AB285" s="371">
        <v>135</v>
      </c>
      <c r="AC285" s="371">
        <v>135</v>
      </c>
      <c r="AD285" s="371">
        <v>135</v>
      </c>
      <c r="AE285" s="371"/>
      <c r="AF285" s="385">
        <f t="shared" si="103"/>
        <v>240</v>
      </c>
      <c r="AG285" s="371">
        <v>176</v>
      </c>
      <c r="AH285" s="371">
        <v>64</v>
      </c>
      <c r="AI285" s="387">
        <f t="shared" si="93"/>
        <v>0</v>
      </c>
    </row>
    <row r="286" spans="1:35" s="393" customFormat="1" ht="24" customHeight="1">
      <c r="A286" s="397" t="s">
        <v>178</v>
      </c>
      <c r="B286" s="394" t="s">
        <v>982</v>
      </c>
      <c r="C286" s="395" t="s">
        <v>423</v>
      </c>
      <c r="D286" s="396">
        <v>4</v>
      </c>
      <c r="E286" s="385">
        <f t="shared" si="100"/>
        <v>116</v>
      </c>
      <c r="F286" s="368">
        <v>116</v>
      </c>
      <c r="G286" s="368"/>
      <c r="H286" s="385">
        <f t="shared" si="101"/>
        <v>0</v>
      </c>
      <c r="I286" s="371">
        <v>0</v>
      </c>
      <c r="J286" s="371">
        <v>0</v>
      </c>
      <c r="K286" s="371">
        <v>0</v>
      </c>
      <c r="L286" s="371">
        <v>0</v>
      </c>
      <c r="M286" s="371">
        <v>0</v>
      </c>
      <c r="N286" s="371">
        <v>0</v>
      </c>
      <c r="O286" s="370"/>
      <c r="P286" s="386">
        <f t="shared" si="102"/>
        <v>116</v>
      </c>
      <c r="Q286" s="371">
        <v>39</v>
      </c>
      <c r="R286" s="371">
        <v>0</v>
      </c>
      <c r="S286" s="371">
        <v>39</v>
      </c>
      <c r="T286" s="371">
        <v>0</v>
      </c>
      <c r="U286" s="371">
        <v>0</v>
      </c>
      <c r="V286" s="371">
        <v>0</v>
      </c>
      <c r="W286" s="371">
        <v>38</v>
      </c>
      <c r="X286" s="371">
        <v>0</v>
      </c>
      <c r="Y286" s="371">
        <v>0</v>
      </c>
      <c r="Z286" s="371">
        <v>0</v>
      </c>
      <c r="AA286" s="371">
        <v>0</v>
      </c>
      <c r="AB286" s="371">
        <v>0</v>
      </c>
      <c r="AC286" s="371">
        <v>0</v>
      </c>
      <c r="AD286" s="371">
        <v>0</v>
      </c>
      <c r="AE286" s="371"/>
      <c r="AF286" s="385">
        <f t="shared" si="103"/>
        <v>0</v>
      </c>
      <c r="AG286" s="371">
        <v>0</v>
      </c>
      <c r="AH286" s="371">
        <v>0</v>
      </c>
      <c r="AI286" s="387">
        <f t="shared" si="93"/>
        <v>0</v>
      </c>
    </row>
    <row r="287" spans="1:35" s="393" customFormat="1" ht="24" customHeight="1">
      <c r="A287" s="397" t="s">
        <v>178</v>
      </c>
      <c r="B287" s="394" t="s">
        <v>982</v>
      </c>
      <c r="C287" s="395" t="s">
        <v>983</v>
      </c>
      <c r="D287" s="396">
        <v>4</v>
      </c>
      <c r="E287" s="385">
        <f t="shared" si="100"/>
        <v>1856</v>
      </c>
      <c r="F287" s="368">
        <v>1856</v>
      </c>
      <c r="G287" s="368"/>
      <c r="H287" s="385">
        <f t="shared" si="101"/>
        <v>512</v>
      </c>
      <c r="I287" s="371">
        <v>80</v>
      </c>
      <c r="J287" s="371">
        <v>0</v>
      </c>
      <c r="K287" s="371">
        <v>80</v>
      </c>
      <c r="L287" s="371">
        <v>108</v>
      </c>
      <c r="M287" s="371">
        <v>124</v>
      </c>
      <c r="N287" s="371">
        <v>120</v>
      </c>
      <c r="O287" s="370"/>
      <c r="P287" s="386">
        <f t="shared" si="102"/>
        <v>1300</v>
      </c>
      <c r="Q287" s="371">
        <v>84</v>
      </c>
      <c r="R287" s="371">
        <v>80</v>
      </c>
      <c r="S287" s="371">
        <v>76</v>
      </c>
      <c r="T287" s="371">
        <v>116</v>
      </c>
      <c r="U287" s="371">
        <v>84</v>
      </c>
      <c r="V287" s="371">
        <v>112</v>
      </c>
      <c r="W287" s="371">
        <v>116</v>
      </c>
      <c r="X287" s="371">
        <v>116</v>
      </c>
      <c r="Y287" s="371">
        <v>84</v>
      </c>
      <c r="Z287" s="371">
        <v>84</v>
      </c>
      <c r="AA287" s="371">
        <v>28</v>
      </c>
      <c r="AB287" s="371">
        <v>16</v>
      </c>
      <c r="AC287" s="371">
        <v>28</v>
      </c>
      <c r="AD287" s="371">
        <v>20</v>
      </c>
      <c r="AE287" s="371">
        <v>256</v>
      </c>
      <c r="AF287" s="385">
        <f t="shared" si="103"/>
        <v>44</v>
      </c>
      <c r="AG287" s="371">
        <v>44</v>
      </c>
      <c r="AH287" s="371">
        <v>0</v>
      </c>
      <c r="AI287" s="387">
        <f t="shared" si="93"/>
        <v>0</v>
      </c>
    </row>
    <row r="288" spans="1:35" s="393" customFormat="1" ht="24" customHeight="1">
      <c r="A288" s="397" t="s">
        <v>178</v>
      </c>
      <c r="B288" s="394" t="s">
        <v>982</v>
      </c>
      <c r="C288" s="395" t="s">
        <v>425</v>
      </c>
      <c r="D288" s="396">
        <v>4</v>
      </c>
      <c r="E288" s="385">
        <f t="shared" si="100"/>
        <v>30366</v>
      </c>
      <c r="F288" s="368">
        <v>29710</v>
      </c>
      <c r="G288" s="368">
        <v>656</v>
      </c>
      <c r="H288" s="385">
        <f t="shared" si="101"/>
        <v>13058</v>
      </c>
      <c r="I288" s="371">
        <v>1318</v>
      </c>
      <c r="J288" s="371">
        <v>0</v>
      </c>
      <c r="K288" s="371">
        <v>1348</v>
      </c>
      <c r="L288" s="371">
        <v>2575</v>
      </c>
      <c r="M288" s="371">
        <v>2662</v>
      </c>
      <c r="N288" s="371">
        <v>5155</v>
      </c>
      <c r="O288" s="370"/>
      <c r="P288" s="386">
        <f t="shared" si="102"/>
        <v>16205</v>
      </c>
      <c r="Q288" s="371">
        <v>1284</v>
      </c>
      <c r="R288" s="371">
        <v>1301</v>
      </c>
      <c r="S288" s="371">
        <v>1280</v>
      </c>
      <c r="T288" s="371">
        <v>1450</v>
      </c>
      <c r="U288" s="371">
        <v>1282</v>
      </c>
      <c r="V288" s="371">
        <v>1442</v>
      </c>
      <c r="W288" s="371">
        <v>1294</v>
      </c>
      <c r="X288" s="371">
        <v>1420</v>
      </c>
      <c r="Y288" s="371">
        <v>1342</v>
      </c>
      <c r="Z288" s="371">
        <v>1368</v>
      </c>
      <c r="AA288" s="371">
        <v>1459</v>
      </c>
      <c r="AB288" s="371">
        <v>16</v>
      </c>
      <c r="AC288" s="371">
        <v>20</v>
      </c>
      <c r="AD288" s="371">
        <v>1247</v>
      </c>
      <c r="AE288" s="371"/>
      <c r="AF288" s="385">
        <f t="shared" si="103"/>
        <v>1103</v>
      </c>
      <c r="AG288" s="371">
        <v>1101</v>
      </c>
      <c r="AH288" s="371">
        <v>2</v>
      </c>
      <c r="AI288" s="387">
        <f t="shared" si="93"/>
        <v>0</v>
      </c>
    </row>
    <row r="289" spans="1:35" s="393" customFormat="1" ht="24" customHeight="1">
      <c r="A289" s="397" t="s">
        <v>178</v>
      </c>
      <c r="B289" s="394" t="s">
        <v>982</v>
      </c>
      <c r="C289" s="395" t="s">
        <v>426</v>
      </c>
      <c r="D289" s="396">
        <v>4</v>
      </c>
      <c r="E289" s="385">
        <f t="shared" si="100"/>
        <v>47335</v>
      </c>
      <c r="F289" s="368">
        <v>47335</v>
      </c>
      <c r="G289" s="368"/>
      <c r="H289" s="385">
        <f t="shared" si="101"/>
        <v>7834</v>
      </c>
      <c r="I289" s="371">
        <v>1054</v>
      </c>
      <c r="J289" s="371">
        <v>0</v>
      </c>
      <c r="K289" s="371">
        <v>1404</v>
      </c>
      <c r="L289" s="371">
        <v>1587</v>
      </c>
      <c r="M289" s="371">
        <v>1789</v>
      </c>
      <c r="N289" s="371">
        <v>2000</v>
      </c>
      <c r="O289" s="370"/>
      <c r="P289" s="386">
        <f t="shared" si="102"/>
        <v>38382</v>
      </c>
      <c r="Q289" s="371">
        <v>1054</v>
      </c>
      <c r="R289" s="371">
        <v>1054</v>
      </c>
      <c r="S289" s="371">
        <v>1054</v>
      </c>
      <c r="T289" s="371">
        <v>1696</v>
      </c>
      <c r="U289" s="371">
        <v>1054</v>
      </c>
      <c r="V289" s="371">
        <v>1776</v>
      </c>
      <c r="W289" s="371">
        <v>1416</v>
      </c>
      <c r="X289" s="371">
        <v>1426</v>
      </c>
      <c r="Y289" s="371">
        <v>798</v>
      </c>
      <c r="Z289" s="371">
        <v>1084</v>
      </c>
      <c r="AA289" s="371">
        <v>377</v>
      </c>
      <c r="AB289" s="371">
        <v>377</v>
      </c>
      <c r="AC289" s="371">
        <v>377</v>
      </c>
      <c r="AD289" s="371">
        <v>620</v>
      </c>
      <c r="AE289" s="371">
        <v>24219</v>
      </c>
      <c r="AF289" s="385">
        <f t="shared" si="103"/>
        <v>1119</v>
      </c>
      <c r="AG289" s="371">
        <v>1044</v>
      </c>
      <c r="AH289" s="371">
        <v>75</v>
      </c>
      <c r="AI289" s="387">
        <f t="shared" si="93"/>
        <v>0</v>
      </c>
    </row>
    <row r="290" spans="1:35" s="393" customFormat="1" ht="24" customHeight="1">
      <c r="A290" s="397" t="s">
        <v>178</v>
      </c>
      <c r="B290" s="394" t="s">
        <v>982</v>
      </c>
      <c r="C290" s="395" t="s">
        <v>427</v>
      </c>
      <c r="D290" s="396">
        <v>4</v>
      </c>
      <c r="E290" s="385">
        <f t="shared" si="100"/>
        <v>2062</v>
      </c>
      <c r="F290" s="368">
        <v>2062</v>
      </c>
      <c r="G290" s="368"/>
      <c r="H290" s="385">
        <f t="shared" si="101"/>
        <v>600</v>
      </c>
      <c r="I290" s="371">
        <v>84</v>
      </c>
      <c r="J290" s="371">
        <v>0</v>
      </c>
      <c r="K290" s="371">
        <v>64</v>
      </c>
      <c r="L290" s="371">
        <v>140</v>
      </c>
      <c r="M290" s="371">
        <v>137</v>
      </c>
      <c r="N290" s="371">
        <v>175</v>
      </c>
      <c r="O290" s="370"/>
      <c r="P290" s="386">
        <f t="shared" si="102"/>
        <v>1462</v>
      </c>
      <c r="Q290" s="371">
        <v>121</v>
      </c>
      <c r="R290" s="371">
        <v>117</v>
      </c>
      <c r="S290" s="371">
        <v>93</v>
      </c>
      <c r="T290" s="371">
        <v>117</v>
      </c>
      <c r="U290" s="371">
        <v>109</v>
      </c>
      <c r="V290" s="371">
        <v>135</v>
      </c>
      <c r="W290" s="371">
        <v>171</v>
      </c>
      <c r="X290" s="371">
        <v>194</v>
      </c>
      <c r="Y290" s="371">
        <v>124</v>
      </c>
      <c r="Z290" s="371">
        <v>124</v>
      </c>
      <c r="AA290" s="371">
        <v>109</v>
      </c>
      <c r="AB290" s="371">
        <v>27</v>
      </c>
      <c r="AC290" s="371">
        <v>21</v>
      </c>
      <c r="AD290" s="371">
        <v>0</v>
      </c>
      <c r="AE290" s="371"/>
      <c r="AF290" s="385">
        <f t="shared" si="103"/>
        <v>0</v>
      </c>
      <c r="AG290" s="371">
        <v>0</v>
      </c>
      <c r="AH290" s="371">
        <v>0</v>
      </c>
      <c r="AI290" s="387">
        <f t="shared" si="93"/>
        <v>0</v>
      </c>
    </row>
    <row r="291" spans="1:35" s="393" customFormat="1" ht="24" customHeight="1">
      <c r="A291" s="397" t="s">
        <v>178</v>
      </c>
      <c r="B291" s="394" t="s">
        <v>982</v>
      </c>
      <c r="C291" s="395" t="s">
        <v>544</v>
      </c>
      <c r="D291" s="396">
        <v>4</v>
      </c>
      <c r="E291" s="385">
        <f t="shared" si="100"/>
        <v>25450</v>
      </c>
      <c r="F291" s="368">
        <v>24950</v>
      </c>
      <c r="G291" s="368">
        <v>500</v>
      </c>
      <c r="H291" s="385">
        <f t="shared" si="101"/>
        <v>8826</v>
      </c>
      <c r="I291" s="371">
        <v>1332</v>
      </c>
      <c r="J291" s="371">
        <v>0</v>
      </c>
      <c r="K291" s="371">
        <v>1173</v>
      </c>
      <c r="L291" s="371">
        <v>1687</v>
      </c>
      <c r="M291" s="371">
        <v>2451</v>
      </c>
      <c r="N291" s="371">
        <v>2183</v>
      </c>
      <c r="O291" s="370">
        <v>0</v>
      </c>
      <c r="P291" s="386">
        <f t="shared" si="102"/>
        <v>15757</v>
      </c>
      <c r="Q291" s="371">
        <v>428</v>
      </c>
      <c r="R291" s="371">
        <v>609</v>
      </c>
      <c r="S291" s="371">
        <v>644</v>
      </c>
      <c r="T291" s="371">
        <v>5623</v>
      </c>
      <c r="U291" s="371">
        <v>983</v>
      </c>
      <c r="V291" s="371">
        <v>2270</v>
      </c>
      <c r="W291" s="371">
        <v>1008</v>
      </c>
      <c r="X291" s="371">
        <v>1736</v>
      </c>
      <c r="Y291" s="371">
        <v>647</v>
      </c>
      <c r="Z291" s="371">
        <v>568</v>
      </c>
      <c r="AA291" s="371">
        <v>243</v>
      </c>
      <c r="AB291" s="371">
        <v>244</v>
      </c>
      <c r="AC291" s="371">
        <v>420</v>
      </c>
      <c r="AD291" s="371">
        <v>334</v>
      </c>
      <c r="AE291" s="371">
        <v>0</v>
      </c>
      <c r="AF291" s="385">
        <f t="shared" si="103"/>
        <v>867</v>
      </c>
      <c r="AG291" s="371">
        <v>649</v>
      </c>
      <c r="AH291" s="371">
        <v>218</v>
      </c>
      <c r="AI291" s="387">
        <f t="shared" si="93"/>
        <v>0</v>
      </c>
    </row>
    <row r="292" spans="1:35" s="393" customFormat="1" ht="24" customHeight="1">
      <c r="A292" s="397" t="s">
        <v>178</v>
      </c>
      <c r="B292" s="394" t="s">
        <v>982</v>
      </c>
      <c r="C292" s="395" t="s">
        <v>420</v>
      </c>
      <c r="D292" s="396">
        <v>4</v>
      </c>
      <c r="E292" s="385">
        <f t="shared" si="100"/>
        <v>763</v>
      </c>
      <c r="F292" s="368">
        <v>763</v>
      </c>
      <c r="G292" s="368"/>
      <c r="H292" s="385">
        <f t="shared" si="101"/>
        <v>306</v>
      </c>
      <c r="I292" s="371">
        <v>83</v>
      </c>
      <c r="J292" s="371">
        <v>0</v>
      </c>
      <c r="K292" s="371">
        <v>47</v>
      </c>
      <c r="L292" s="371">
        <v>51</v>
      </c>
      <c r="M292" s="371">
        <v>52</v>
      </c>
      <c r="N292" s="371">
        <v>73</v>
      </c>
      <c r="O292" s="370"/>
      <c r="P292" s="386">
        <f t="shared" si="102"/>
        <v>457</v>
      </c>
      <c r="Q292" s="371">
        <v>24</v>
      </c>
      <c r="R292" s="371">
        <v>34</v>
      </c>
      <c r="S292" s="371">
        <v>73</v>
      </c>
      <c r="T292" s="371">
        <v>39</v>
      </c>
      <c r="U292" s="371">
        <v>44</v>
      </c>
      <c r="V292" s="371">
        <v>40</v>
      </c>
      <c r="W292" s="371">
        <v>37</v>
      </c>
      <c r="X292" s="371">
        <v>27</v>
      </c>
      <c r="Y292" s="371">
        <v>19</v>
      </c>
      <c r="Z292" s="371">
        <v>28</v>
      </c>
      <c r="AA292" s="371">
        <v>0</v>
      </c>
      <c r="AB292" s="371">
        <v>48</v>
      </c>
      <c r="AC292" s="371">
        <v>30</v>
      </c>
      <c r="AD292" s="371">
        <v>14</v>
      </c>
      <c r="AE292" s="371"/>
      <c r="AF292" s="385">
        <f t="shared" si="103"/>
        <v>0</v>
      </c>
      <c r="AG292" s="371"/>
      <c r="AH292" s="371"/>
      <c r="AI292" s="387">
        <f t="shared" si="93"/>
        <v>0</v>
      </c>
    </row>
    <row r="293" spans="1:35" s="393" customFormat="1" ht="24" customHeight="1">
      <c r="A293" s="397" t="s">
        <v>178</v>
      </c>
      <c r="B293" s="394" t="s">
        <v>982</v>
      </c>
      <c r="C293" s="395" t="s">
        <v>418</v>
      </c>
      <c r="D293" s="396">
        <v>4</v>
      </c>
      <c r="E293" s="385">
        <f t="shared" si="100"/>
        <v>11800</v>
      </c>
      <c r="F293" s="368">
        <v>11800</v>
      </c>
      <c r="G293" s="368"/>
      <c r="H293" s="385">
        <f t="shared" si="101"/>
        <v>3900</v>
      </c>
      <c r="I293" s="371">
        <v>500</v>
      </c>
      <c r="J293" s="371">
        <v>0</v>
      </c>
      <c r="K293" s="371">
        <v>500</v>
      </c>
      <c r="L293" s="371">
        <v>920</v>
      </c>
      <c r="M293" s="371">
        <v>980</v>
      </c>
      <c r="N293" s="371">
        <v>1000</v>
      </c>
      <c r="O293" s="370"/>
      <c r="P293" s="386">
        <f t="shared" si="102"/>
        <v>7500</v>
      </c>
      <c r="Q293" s="371">
        <v>550</v>
      </c>
      <c r="R293" s="371">
        <v>400</v>
      </c>
      <c r="S293" s="371">
        <v>550</v>
      </c>
      <c r="T293" s="371">
        <v>900</v>
      </c>
      <c r="U293" s="371">
        <v>750</v>
      </c>
      <c r="V293" s="371">
        <v>850</v>
      </c>
      <c r="W293" s="371">
        <v>750</v>
      </c>
      <c r="X293" s="371">
        <v>750</v>
      </c>
      <c r="Y293" s="371">
        <v>500</v>
      </c>
      <c r="Z293" s="371">
        <v>550</v>
      </c>
      <c r="AA293" s="371">
        <v>200</v>
      </c>
      <c r="AB293" s="371">
        <v>200</v>
      </c>
      <c r="AC293" s="371">
        <v>250</v>
      </c>
      <c r="AD293" s="371">
        <v>300</v>
      </c>
      <c r="AE293" s="371"/>
      <c r="AF293" s="385">
        <f t="shared" si="103"/>
        <v>400</v>
      </c>
      <c r="AG293" s="371">
        <v>210</v>
      </c>
      <c r="AH293" s="371">
        <v>190</v>
      </c>
      <c r="AI293" s="387">
        <f t="shared" si="93"/>
        <v>0</v>
      </c>
    </row>
    <row r="294" spans="1:35" s="393" customFormat="1" ht="24" customHeight="1">
      <c r="A294" s="397" t="s">
        <v>178</v>
      </c>
      <c r="B294" s="394" t="s">
        <v>982</v>
      </c>
      <c r="C294" s="395" t="s">
        <v>839</v>
      </c>
      <c r="D294" s="396">
        <v>4</v>
      </c>
      <c r="E294" s="385">
        <f t="shared" si="100"/>
        <v>5752</v>
      </c>
      <c r="F294" s="368">
        <v>5752</v>
      </c>
      <c r="G294" s="368"/>
      <c r="H294" s="385">
        <f t="shared" si="101"/>
        <v>3843</v>
      </c>
      <c r="I294" s="371">
        <v>243</v>
      </c>
      <c r="J294" s="371">
        <v>0</v>
      </c>
      <c r="K294" s="371">
        <v>3600</v>
      </c>
      <c r="L294" s="371">
        <v>0</v>
      </c>
      <c r="M294" s="371">
        <v>0</v>
      </c>
      <c r="N294" s="371">
        <v>0</v>
      </c>
      <c r="O294" s="370"/>
      <c r="P294" s="386">
        <f t="shared" si="102"/>
        <v>1509</v>
      </c>
      <c r="Q294" s="371">
        <v>430</v>
      </c>
      <c r="R294" s="371">
        <v>730</v>
      </c>
      <c r="S294" s="371">
        <v>325</v>
      </c>
      <c r="T294" s="371">
        <v>0</v>
      </c>
      <c r="U294" s="371">
        <v>0</v>
      </c>
      <c r="V294" s="371">
        <v>0</v>
      </c>
      <c r="W294" s="371">
        <v>24</v>
      </c>
      <c r="X294" s="371">
        <v>0</v>
      </c>
      <c r="Y294" s="371">
        <v>0</v>
      </c>
      <c r="Z294" s="371">
        <v>0</v>
      </c>
      <c r="AA294" s="371">
        <v>0</v>
      </c>
      <c r="AB294" s="371">
        <v>0</v>
      </c>
      <c r="AC294" s="371">
        <v>0</v>
      </c>
      <c r="AD294" s="371">
        <v>0</v>
      </c>
      <c r="AE294" s="371"/>
      <c r="AF294" s="385">
        <f t="shared" si="103"/>
        <v>400</v>
      </c>
      <c r="AG294" s="371">
        <v>400</v>
      </c>
      <c r="AH294" s="371">
        <v>0</v>
      </c>
      <c r="AI294" s="387">
        <f t="shared" si="93"/>
        <v>0</v>
      </c>
    </row>
    <row r="295" spans="1:35" s="393" customFormat="1" ht="24" customHeight="1">
      <c r="A295" s="397" t="s">
        <v>178</v>
      </c>
      <c r="B295" s="394" t="s">
        <v>982</v>
      </c>
      <c r="C295" s="395" t="s">
        <v>416</v>
      </c>
      <c r="D295" s="396">
        <v>4</v>
      </c>
      <c r="E295" s="385">
        <f t="shared" si="100"/>
        <v>721</v>
      </c>
      <c r="F295" s="368">
        <v>721</v>
      </c>
      <c r="G295" s="368"/>
      <c r="H295" s="385">
        <f t="shared" si="101"/>
        <v>0</v>
      </c>
      <c r="I295" s="371"/>
      <c r="J295" s="371">
        <v>0</v>
      </c>
      <c r="K295" s="371"/>
      <c r="L295" s="371"/>
      <c r="M295" s="371"/>
      <c r="N295" s="371"/>
      <c r="O295" s="370"/>
      <c r="P295" s="386">
        <f t="shared" si="102"/>
        <v>0</v>
      </c>
      <c r="Q295" s="371"/>
      <c r="R295" s="371"/>
      <c r="S295" s="371"/>
      <c r="T295" s="371"/>
      <c r="U295" s="371"/>
      <c r="V295" s="371"/>
      <c r="W295" s="371"/>
      <c r="X295" s="371"/>
      <c r="Y295" s="371"/>
      <c r="Z295" s="371"/>
      <c r="AA295" s="371"/>
      <c r="AB295" s="371"/>
      <c r="AC295" s="371"/>
      <c r="AD295" s="371"/>
      <c r="AE295" s="371"/>
      <c r="AF295" s="385">
        <f t="shared" si="103"/>
        <v>721</v>
      </c>
      <c r="AG295" s="371"/>
      <c r="AH295" s="371">
        <v>721</v>
      </c>
      <c r="AI295" s="387">
        <f t="shared" si="93"/>
        <v>0</v>
      </c>
    </row>
    <row r="296" spans="1:35" s="393" customFormat="1" ht="24" customHeight="1">
      <c r="A296" s="397" t="s">
        <v>178</v>
      </c>
      <c r="B296" s="394" t="s">
        <v>982</v>
      </c>
      <c r="C296" s="395" t="s">
        <v>984</v>
      </c>
      <c r="D296" s="396">
        <v>4</v>
      </c>
      <c r="E296" s="385">
        <f t="shared" si="100"/>
        <v>4200</v>
      </c>
      <c r="F296" s="368">
        <v>4200</v>
      </c>
      <c r="G296" s="368"/>
      <c r="H296" s="385">
        <f t="shared" si="101"/>
        <v>690</v>
      </c>
      <c r="I296" s="371">
        <v>0</v>
      </c>
      <c r="J296" s="371">
        <v>0</v>
      </c>
      <c r="K296" s="371">
        <v>0</v>
      </c>
      <c r="L296" s="371">
        <v>0</v>
      </c>
      <c r="M296" s="371">
        <v>666</v>
      </c>
      <c r="N296" s="371">
        <v>24</v>
      </c>
      <c r="O296" s="370"/>
      <c r="P296" s="386">
        <f t="shared" si="102"/>
        <v>3510</v>
      </c>
      <c r="Q296" s="371">
        <v>95</v>
      </c>
      <c r="R296" s="371">
        <v>98</v>
      </c>
      <c r="S296" s="371">
        <v>22</v>
      </c>
      <c r="T296" s="371">
        <v>27</v>
      </c>
      <c r="U296" s="371">
        <v>27</v>
      </c>
      <c r="V296" s="371">
        <v>1766</v>
      </c>
      <c r="W296" s="371">
        <v>27</v>
      </c>
      <c r="X296" s="371">
        <v>1400</v>
      </c>
      <c r="Y296" s="371">
        <v>27</v>
      </c>
      <c r="Z296" s="371">
        <v>0</v>
      </c>
      <c r="AA296" s="371">
        <v>0</v>
      </c>
      <c r="AB296" s="371">
        <v>0</v>
      </c>
      <c r="AC296" s="371">
        <v>0</v>
      </c>
      <c r="AD296" s="371">
        <v>21</v>
      </c>
      <c r="AE296" s="371"/>
      <c r="AF296" s="385">
        <f t="shared" si="103"/>
        <v>0</v>
      </c>
      <c r="AG296" s="371">
        <v>0</v>
      </c>
      <c r="AH296" s="371">
        <v>0</v>
      </c>
      <c r="AI296" s="387">
        <f t="shared" si="93"/>
        <v>0</v>
      </c>
    </row>
    <row r="297" spans="1:35" s="393" customFormat="1" ht="24" customHeight="1">
      <c r="A297" s="397" t="s">
        <v>178</v>
      </c>
      <c r="B297" s="394" t="s">
        <v>982</v>
      </c>
      <c r="C297" s="395" t="s">
        <v>417</v>
      </c>
      <c r="D297" s="396">
        <v>4</v>
      </c>
      <c r="E297" s="385">
        <f t="shared" si="100"/>
        <v>5250</v>
      </c>
      <c r="F297" s="368">
        <v>5250</v>
      </c>
      <c r="G297" s="368"/>
      <c r="H297" s="385">
        <f t="shared" si="101"/>
        <v>1000</v>
      </c>
      <c r="I297" s="371">
        <v>191</v>
      </c>
      <c r="J297" s="371">
        <v>0</v>
      </c>
      <c r="K297" s="371">
        <v>262</v>
      </c>
      <c r="L297" s="371">
        <v>191</v>
      </c>
      <c r="M297" s="371">
        <v>165</v>
      </c>
      <c r="N297" s="371">
        <v>191</v>
      </c>
      <c r="O297" s="370"/>
      <c r="P297" s="386">
        <f t="shared" si="102"/>
        <v>4050</v>
      </c>
      <c r="Q297" s="371">
        <v>263</v>
      </c>
      <c r="R297" s="371">
        <v>341</v>
      </c>
      <c r="S297" s="371">
        <v>263</v>
      </c>
      <c r="T297" s="371">
        <v>456</v>
      </c>
      <c r="U297" s="371">
        <v>341</v>
      </c>
      <c r="V297" s="371">
        <v>423</v>
      </c>
      <c r="W297" s="371">
        <v>341</v>
      </c>
      <c r="X297" s="371">
        <v>298</v>
      </c>
      <c r="Y297" s="371">
        <v>261</v>
      </c>
      <c r="Z297" s="371">
        <v>298</v>
      </c>
      <c r="AA297" s="371">
        <v>219</v>
      </c>
      <c r="AB297" s="371">
        <v>222</v>
      </c>
      <c r="AC297" s="371">
        <v>220</v>
      </c>
      <c r="AD297" s="371">
        <v>104</v>
      </c>
      <c r="AE297" s="371"/>
      <c r="AF297" s="385">
        <f t="shared" si="103"/>
        <v>200</v>
      </c>
      <c r="AG297" s="371">
        <v>112</v>
      </c>
      <c r="AH297" s="371">
        <v>88</v>
      </c>
      <c r="AI297" s="387">
        <f t="shared" si="93"/>
        <v>0</v>
      </c>
    </row>
    <row r="298" spans="1:35" s="410" customFormat="1" ht="22.5" customHeight="1">
      <c r="A298" s="405" t="s">
        <v>999</v>
      </c>
      <c r="B298" s="406"/>
      <c r="C298" s="407" t="s">
        <v>1169</v>
      </c>
      <c r="D298" s="408"/>
      <c r="E298" s="409">
        <f t="shared" ref="E298:AH298" si="104">SUM(E299:E312)</f>
        <v>527135</v>
      </c>
      <c r="F298" s="409">
        <f t="shared" si="104"/>
        <v>277035</v>
      </c>
      <c r="G298" s="409">
        <f t="shared" si="104"/>
        <v>250100</v>
      </c>
      <c r="H298" s="409">
        <f t="shared" si="104"/>
        <v>451404</v>
      </c>
      <c r="I298" s="409">
        <f t="shared" si="104"/>
        <v>2798</v>
      </c>
      <c r="J298" s="409">
        <f t="shared" si="104"/>
        <v>0</v>
      </c>
      <c r="K298" s="409">
        <f t="shared" si="104"/>
        <v>3157</v>
      </c>
      <c r="L298" s="409">
        <f t="shared" si="104"/>
        <v>226357</v>
      </c>
      <c r="M298" s="409">
        <f t="shared" si="104"/>
        <v>197903</v>
      </c>
      <c r="N298" s="409">
        <f t="shared" si="104"/>
        <v>3819</v>
      </c>
      <c r="O298" s="409">
        <f t="shared" si="104"/>
        <v>17370</v>
      </c>
      <c r="P298" s="409">
        <f t="shared" si="104"/>
        <v>74560</v>
      </c>
      <c r="Q298" s="409">
        <f t="shared" si="104"/>
        <v>3575</v>
      </c>
      <c r="R298" s="409">
        <f t="shared" si="104"/>
        <v>3856</v>
      </c>
      <c r="S298" s="409">
        <f t="shared" si="104"/>
        <v>4048</v>
      </c>
      <c r="T298" s="409">
        <f t="shared" si="104"/>
        <v>5852</v>
      </c>
      <c r="U298" s="409">
        <f t="shared" si="104"/>
        <v>5204</v>
      </c>
      <c r="V298" s="409">
        <f t="shared" si="104"/>
        <v>6124</v>
      </c>
      <c r="W298" s="409">
        <f t="shared" si="104"/>
        <v>5288</v>
      </c>
      <c r="X298" s="409">
        <f t="shared" si="104"/>
        <v>5858</v>
      </c>
      <c r="Y298" s="409">
        <f t="shared" si="104"/>
        <v>7811</v>
      </c>
      <c r="Z298" s="409">
        <f t="shared" si="104"/>
        <v>7480</v>
      </c>
      <c r="AA298" s="409">
        <f t="shared" si="104"/>
        <v>1271</v>
      </c>
      <c r="AB298" s="409">
        <f t="shared" si="104"/>
        <v>483</v>
      </c>
      <c r="AC298" s="409">
        <f t="shared" si="104"/>
        <v>532</v>
      </c>
      <c r="AD298" s="409">
        <f t="shared" si="104"/>
        <v>532</v>
      </c>
      <c r="AE298" s="409">
        <f t="shared" si="104"/>
        <v>16646</v>
      </c>
      <c r="AF298" s="409">
        <f t="shared" si="104"/>
        <v>1171</v>
      </c>
      <c r="AG298" s="409">
        <f t="shared" si="104"/>
        <v>1050</v>
      </c>
      <c r="AH298" s="409">
        <f t="shared" si="104"/>
        <v>121</v>
      </c>
      <c r="AI298" s="387">
        <f t="shared" si="93"/>
        <v>0</v>
      </c>
    </row>
    <row r="299" spans="1:35" s="393" customFormat="1" ht="50.45" customHeight="1">
      <c r="A299" s="397" t="s">
        <v>178</v>
      </c>
      <c r="B299" s="394" t="s">
        <v>489</v>
      </c>
      <c r="C299" s="395" t="s">
        <v>985</v>
      </c>
      <c r="D299" s="396">
        <v>4</v>
      </c>
      <c r="E299" s="385">
        <f t="shared" ref="E299:E312" si="105">SUM(H299,P299,AF299)</f>
        <v>38856</v>
      </c>
      <c r="F299" s="368">
        <v>38856</v>
      </c>
      <c r="G299" s="368">
        <v>0</v>
      </c>
      <c r="H299" s="385">
        <f t="shared" ref="H299:H312" si="106">SUM(I299:O299)</f>
        <v>9500</v>
      </c>
      <c r="I299" s="371">
        <v>1900</v>
      </c>
      <c r="J299" s="371">
        <v>0</v>
      </c>
      <c r="K299" s="371">
        <v>1900</v>
      </c>
      <c r="L299" s="371">
        <v>1900</v>
      </c>
      <c r="M299" s="371">
        <v>1900</v>
      </c>
      <c r="N299" s="371">
        <v>1900</v>
      </c>
      <c r="O299" s="370"/>
      <c r="P299" s="386">
        <f t="shared" ref="P299:P312" si="107">SUM(Q299:AE299)</f>
        <v>28706</v>
      </c>
      <c r="Q299" s="371">
        <v>2000</v>
      </c>
      <c r="R299" s="371">
        <v>2000</v>
      </c>
      <c r="S299" s="371">
        <v>2200</v>
      </c>
      <c r="T299" s="371">
        <v>3100</v>
      </c>
      <c r="U299" s="371">
        <v>3100</v>
      </c>
      <c r="V299" s="371">
        <v>3160</v>
      </c>
      <c r="W299" s="371">
        <v>3100</v>
      </c>
      <c r="X299" s="371">
        <v>3406</v>
      </c>
      <c r="Y299" s="371">
        <v>2700</v>
      </c>
      <c r="Z299" s="371">
        <v>2700</v>
      </c>
      <c r="AA299" s="371">
        <v>750</v>
      </c>
      <c r="AB299" s="371">
        <v>150</v>
      </c>
      <c r="AC299" s="371">
        <v>170</v>
      </c>
      <c r="AD299" s="371">
        <v>170</v>
      </c>
      <c r="AE299" s="371"/>
      <c r="AF299" s="385">
        <f t="shared" ref="AF299:AF312" si="108">SUM(AG299:AH299)</f>
        <v>650</v>
      </c>
      <c r="AG299" s="371">
        <v>650</v>
      </c>
      <c r="AH299" s="371"/>
      <c r="AI299" s="387">
        <f t="shared" si="93"/>
        <v>0</v>
      </c>
    </row>
    <row r="300" spans="1:35" s="393" customFormat="1" ht="35.450000000000003" customHeight="1">
      <c r="A300" s="397" t="s">
        <v>178</v>
      </c>
      <c r="B300" s="394" t="s">
        <v>9</v>
      </c>
      <c r="C300" s="395" t="s">
        <v>986</v>
      </c>
      <c r="D300" s="396">
        <v>4</v>
      </c>
      <c r="E300" s="385">
        <f t="shared" si="105"/>
        <v>10250</v>
      </c>
      <c r="F300" s="368">
        <v>10250</v>
      </c>
      <c r="G300" s="368">
        <v>0</v>
      </c>
      <c r="H300" s="385">
        <f t="shared" si="106"/>
        <v>3051</v>
      </c>
      <c r="I300" s="371">
        <v>80</v>
      </c>
      <c r="J300" s="371">
        <v>0</v>
      </c>
      <c r="K300" s="371">
        <v>380</v>
      </c>
      <c r="L300" s="371">
        <v>821</v>
      </c>
      <c r="M300" s="371">
        <v>920</v>
      </c>
      <c r="N300" s="371">
        <v>850</v>
      </c>
      <c r="O300" s="370"/>
      <c r="P300" s="386">
        <f t="shared" si="107"/>
        <v>7119</v>
      </c>
      <c r="Q300" s="371">
        <v>410</v>
      </c>
      <c r="R300" s="371">
        <v>720</v>
      </c>
      <c r="S300" s="371">
        <v>639</v>
      </c>
      <c r="T300" s="371">
        <v>920</v>
      </c>
      <c r="U300" s="371">
        <v>600</v>
      </c>
      <c r="V300" s="371">
        <v>990</v>
      </c>
      <c r="W300" s="371">
        <v>650</v>
      </c>
      <c r="X300" s="371">
        <v>900</v>
      </c>
      <c r="Y300" s="371">
        <v>550</v>
      </c>
      <c r="Z300" s="371">
        <v>450</v>
      </c>
      <c r="AA300" s="371">
        <v>80</v>
      </c>
      <c r="AB300" s="371">
        <v>50</v>
      </c>
      <c r="AC300" s="371">
        <v>80</v>
      </c>
      <c r="AD300" s="371">
        <v>80</v>
      </c>
      <c r="AE300" s="371"/>
      <c r="AF300" s="385">
        <f t="shared" si="108"/>
        <v>80</v>
      </c>
      <c r="AG300" s="371">
        <v>80</v>
      </c>
      <c r="AH300" s="371"/>
      <c r="AI300" s="387">
        <f t="shared" si="93"/>
        <v>0</v>
      </c>
    </row>
    <row r="301" spans="1:35" s="393" customFormat="1" ht="24" customHeight="1">
      <c r="A301" s="397" t="s">
        <v>178</v>
      </c>
      <c r="B301" s="394" t="s">
        <v>9</v>
      </c>
      <c r="C301" s="395" t="s">
        <v>841</v>
      </c>
      <c r="D301" s="396">
        <v>4</v>
      </c>
      <c r="E301" s="385">
        <f t="shared" si="105"/>
        <v>967</v>
      </c>
      <c r="F301" s="368">
        <v>967</v>
      </c>
      <c r="G301" s="368">
        <v>0</v>
      </c>
      <c r="H301" s="385">
        <f t="shared" si="106"/>
        <v>323</v>
      </c>
      <c r="I301" s="371">
        <v>58</v>
      </c>
      <c r="J301" s="371">
        <v>0</v>
      </c>
      <c r="K301" s="371">
        <v>62</v>
      </c>
      <c r="L301" s="371">
        <v>67</v>
      </c>
      <c r="M301" s="371">
        <v>77</v>
      </c>
      <c r="N301" s="371">
        <v>59</v>
      </c>
      <c r="O301" s="370"/>
      <c r="P301" s="386">
        <f t="shared" si="107"/>
        <v>606</v>
      </c>
      <c r="Q301" s="371">
        <v>32</v>
      </c>
      <c r="R301" s="371">
        <v>32</v>
      </c>
      <c r="S301" s="371">
        <v>40</v>
      </c>
      <c r="T301" s="371">
        <v>68</v>
      </c>
      <c r="U301" s="371">
        <v>60</v>
      </c>
      <c r="V301" s="371">
        <v>55</v>
      </c>
      <c r="W301" s="371">
        <v>49</v>
      </c>
      <c r="X301" s="371">
        <v>58</v>
      </c>
      <c r="Y301" s="371">
        <v>46</v>
      </c>
      <c r="Z301" s="371">
        <v>40</v>
      </c>
      <c r="AA301" s="371">
        <v>30</v>
      </c>
      <c r="AB301" s="371">
        <v>31</v>
      </c>
      <c r="AC301" s="371">
        <v>35</v>
      </c>
      <c r="AD301" s="371">
        <v>30</v>
      </c>
      <c r="AE301" s="371"/>
      <c r="AF301" s="385">
        <f t="shared" si="108"/>
        <v>38</v>
      </c>
      <c r="AG301" s="371">
        <v>38</v>
      </c>
      <c r="AH301" s="371"/>
      <c r="AI301" s="387">
        <f t="shared" si="93"/>
        <v>0</v>
      </c>
    </row>
    <row r="302" spans="1:35" s="393" customFormat="1" ht="24" customHeight="1">
      <c r="A302" s="397" t="s">
        <v>178</v>
      </c>
      <c r="B302" s="394" t="s">
        <v>9</v>
      </c>
      <c r="C302" s="395" t="s">
        <v>987</v>
      </c>
      <c r="D302" s="396">
        <v>4</v>
      </c>
      <c r="E302" s="385">
        <f t="shared" si="105"/>
        <v>48000</v>
      </c>
      <c r="F302" s="368">
        <v>43200</v>
      </c>
      <c r="G302" s="368">
        <v>4800</v>
      </c>
      <c r="H302" s="385">
        <f t="shared" si="106"/>
        <v>48000</v>
      </c>
      <c r="I302" s="371"/>
      <c r="J302" s="371">
        <v>0</v>
      </c>
      <c r="K302" s="371"/>
      <c r="L302" s="371"/>
      <c r="M302" s="371">
        <v>48000</v>
      </c>
      <c r="N302" s="371"/>
      <c r="O302" s="370"/>
      <c r="P302" s="386">
        <f t="shared" si="107"/>
        <v>0</v>
      </c>
      <c r="Q302" s="371"/>
      <c r="R302" s="371"/>
      <c r="S302" s="371"/>
      <c r="T302" s="371"/>
      <c r="U302" s="371"/>
      <c r="V302" s="371"/>
      <c r="W302" s="371"/>
      <c r="X302" s="371"/>
      <c r="Y302" s="371"/>
      <c r="Z302" s="371"/>
      <c r="AA302" s="371"/>
      <c r="AB302" s="371"/>
      <c r="AC302" s="371"/>
      <c r="AD302" s="371"/>
      <c r="AE302" s="371"/>
      <c r="AF302" s="385">
        <f t="shared" si="108"/>
        <v>0</v>
      </c>
      <c r="AG302" s="371"/>
      <c r="AH302" s="371"/>
      <c r="AI302" s="387">
        <f t="shared" si="93"/>
        <v>0</v>
      </c>
    </row>
    <row r="303" spans="1:35" s="393" customFormat="1" ht="24" customHeight="1">
      <c r="A303" s="397" t="s">
        <v>178</v>
      </c>
      <c r="B303" s="394" t="s">
        <v>9</v>
      </c>
      <c r="C303" s="395" t="s">
        <v>988</v>
      </c>
      <c r="D303" s="396">
        <v>4</v>
      </c>
      <c r="E303" s="385">
        <f t="shared" si="105"/>
        <v>10902</v>
      </c>
      <c r="F303" s="368">
        <v>10902</v>
      </c>
      <c r="G303" s="368">
        <v>0</v>
      </c>
      <c r="H303" s="385">
        <f t="shared" si="106"/>
        <v>2400</v>
      </c>
      <c r="I303" s="371">
        <v>50</v>
      </c>
      <c r="J303" s="371">
        <v>0</v>
      </c>
      <c r="K303" s="371">
        <v>65</v>
      </c>
      <c r="L303" s="371">
        <v>375</v>
      </c>
      <c r="M303" s="371">
        <v>90</v>
      </c>
      <c r="N303" s="371">
        <v>430</v>
      </c>
      <c r="O303" s="370">
        <v>1390</v>
      </c>
      <c r="P303" s="386">
        <f t="shared" si="107"/>
        <v>8437</v>
      </c>
      <c r="Q303" s="371">
        <v>80</v>
      </c>
      <c r="R303" s="371">
        <v>50</v>
      </c>
      <c r="S303" s="371">
        <v>75</v>
      </c>
      <c r="T303" s="371">
        <v>370</v>
      </c>
      <c r="U303" s="371">
        <v>80</v>
      </c>
      <c r="V303" s="371">
        <v>420</v>
      </c>
      <c r="W303" s="371">
        <v>105</v>
      </c>
      <c r="X303" s="371">
        <v>350</v>
      </c>
      <c r="Y303" s="371">
        <v>85</v>
      </c>
      <c r="Z303" s="371">
        <v>80</v>
      </c>
      <c r="AA303" s="371">
        <v>40</v>
      </c>
      <c r="AB303" s="371">
        <v>30</v>
      </c>
      <c r="AC303" s="371">
        <v>30</v>
      </c>
      <c r="AD303" s="371">
        <v>35</v>
      </c>
      <c r="AE303" s="371">
        <v>6607</v>
      </c>
      <c r="AF303" s="385">
        <f t="shared" si="108"/>
        <v>65</v>
      </c>
      <c r="AG303" s="371">
        <v>35</v>
      </c>
      <c r="AH303" s="371">
        <v>30</v>
      </c>
      <c r="AI303" s="387">
        <f t="shared" si="93"/>
        <v>0</v>
      </c>
    </row>
    <row r="304" spans="1:35" s="393" customFormat="1" ht="24" customHeight="1">
      <c r="A304" s="397" t="s">
        <v>178</v>
      </c>
      <c r="B304" s="394" t="s">
        <v>9</v>
      </c>
      <c r="C304" s="395" t="s">
        <v>989</v>
      </c>
      <c r="D304" s="396">
        <v>4</v>
      </c>
      <c r="E304" s="385">
        <f t="shared" si="105"/>
        <v>4994</v>
      </c>
      <c r="F304" s="368">
        <v>4994</v>
      </c>
      <c r="G304" s="368">
        <v>0</v>
      </c>
      <c r="H304" s="385">
        <f t="shared" si="106"/>
        <v>894</v>
      </c>
      <c r="I304" s="371">
        <v>149</v>
      </c>
      <c r="J304" s="371">
        <v>0</v>
      </c>
      <c r="K304" s="371">
        <v>149</v>
      </c>
      <c r="L304" s="371">
        <v>149</v>
      </c>
      <c r="M304" s="371">
        <v>149</v>
      </c>
      <c r="N304" s="371">
        <v>149</v>
      </c>
      <c r="O304" s="370">
        <v>149</v>
      </c>
      <c r="P304" s="386">
        <f t="shared" si="107"/>
        <v>4000</v>
      </c>
      <c r="Q304" s="371">
        <v>33</v>
      </c>
      <c r="R304" s="371">
        <v>33</v>
      </c>
      <c r="S304" s="371">
        <v>33</v>
      </c>
      <c r="T304" s="371">
        <v>33</v>
      </c>
      <c r="U304" s="371">
        <v>33</v>
      </c>
      <c r="V304" s="371">
        <v>33</v>
      </c>
      <c r="W304" s="371">
        <v>33</v>
      </c>
      <c r="X304" s="371">
        <v>33</v>
      </c>
      <c r="Y304" s="371"/>
      <c r="Z304" s="371"/>
      <c r="AA304" s="371">
        <v>33</v>
      </c>
      <c r="AB304" s="371">
        <v>33</v>
      </c>
      <c r="AC304" s="371">
        <v>33</v>
      </c>
      <c r="AD304" s="371">
        <v>33</v>
      </c>
      <c r="AE304" s="371">
        <v>3604</v>
      </c>
      <c r="AF304" s="385">
        <f t="shared" si="108"/>
        <v>100</v>
      </c>
      <c r="AG304" s="371">
        <v>100</v>
      </c>
      <c r="AH304" s="371">
        <v>0</v>
      </c>
      <c r="AI304" s="387">
        <f t="shared" si="93"/>
        <v>0</v>
      </c>
    </row>
    <row r="305" spans="1:35" s="393" customFormat="1" ht="33.6" customHeight="1">
      <c r="A305" s="397" t="s">
        <v>178</v>
      </c>
      <c r="B305" s="394" t="s">
        <v>9</v>
      </c>
      <c r="C305" s="395" t="s">
        <v>990</v>
      </c>
      <c r="D305" s="396">
        <v>4</v>
      </c>
      <c r="E305" s="385">
        <f t="shared" si="105"/>
        <v>2300</v>
      </c>
      <c r="F305" s="368">
        <v>2300</v>
      </c>
      <c r="G305" s="368">
        <v>0</v>
      </c>
      <c r="H305" s="385">
        <f t="shared" si="106"/>
        <v>650</v>
      </c>
      <c r="I305" s="371">
        <v>90</v>
      </c>
      <c r="J305" s="371">
        <v>0</v>
      </c>
      <c r="K305" s="371">
        <v>130</v>
      </c>
      <c r="L305" s="371">
        <v>100</v>
      </c>
      <c r="M305" s="371">
        <v>170</v>
      </c>
      <c r="N305" s="371">
        <v>110</v>
      </c>
      <c r="O305" s="370">
        <v>50</v>
      </c>
      <c r="P305" s="386">
        <f t="shared" si="107"/>
        <v>1600</v>
      </c>
      <c r="Q305" s="371">
        <v>110</v>
      </c>
      <c r="R305" s="371">
        <v>100</v>
      </c>
      <c r="S305" s="371">
        <v>140</v>
      </c>
      <c r="T305" s="371">
        <v>140</v>
      </c>
      <c r="U305" s="371">
        <v>110</v>
      </c>
      <c r="V305" s="371">
        <v>240</v>
      </c>
      <c r="W305" s="371">
        <v>130</v>
      </c>
      <c r="X305" s="371">
        <v>190</v>
      </c>
      <c r="Y305" s="371">
        <v>120</v>
      </c>
      <c r="Z305" s="371">
        <v>100</v>
      </c>
      <c r="AA305" s="371">
        <v>70</v>
      </c>
      <c r="AB305" s="371">
        <v>40</v>
      </c>
      <c r="AC305" s="371">
        <v>30</v>
      </c>
      <c r="AD305" s="371">
        <v>30</v>
      </c>
      <c r="AE305" s="371">
        <v>50</v>
      </c>
      <c r="AF305" s="385">
        <f t="shared" si="108"/>
        <v>50</v>
      </c>
      <c r="AG305" s="371">
        <v>50</v>
      </c>
      <c r="AH305" s="371"/>
      <c r="AI305" s="387">
        <f t="shared" si="93"/>
        <v>0</v>
      </c>
    </row>
    <row r="306" spans="1:35" s="393" customFormat="1" ht="24" customHeight="1">
      <c r="A306" s="397" t="s">
        <v>178</v>
      </c>
      <c r="B306" s="394" t="s">
        <v>9</v>
      </c>
      <c r="C306" s="395" t="s">
        <v>991</v>
      </c>
      <c r="D306" s="396">
        <v>4</v>
      </c>
      <c r="E306" s="385">
        <f t="shared" si="105"/>
        <v>5000</v>
      </c>
      <c r="F306" s="368">
        <v>5000</v>
      </c>
      <c r="G306" s="368">
        <v>0</v>
      </c>
      <c r="H306" s="385">
        <f t="shared" si="106"/>
        <v>2150</v>
      </c>
      <c r="I306" s="371">
        <v>71</v>
      </c>
      <c r="J306" s="371" t="s">
        <v>145</v>
      </c>
      <c r="K306" s="371">
        <v>71</v>
      </c>
      <c r="L306" s="371">
        <v>71</v>
      </c>
      <c r="M306" s="371">
        <v>35</v>
      </c>
      <c r="N306" s="371">
        <v>71</v>
      </c>
      <c r="O306" s="370">
        <v>1831</v>
      </c>
      <c r="P306" s="386">
        <f t="shared" si="107"/>
        <v>2800</v>
      </c>
      <c r="Q306" s="371">
        <v>60</v>
      </c>
      <c r="R306" s="371">
        <v>71</v>
      </c>
      <c r="S306" s="371">
        <v>71</v>
      </c>
      <c r="T306" s="371">
        <v>71</v>
      </c>
      <c r="U306" s="371">
        <v>71</v>
      </c>
      <c r="V306" s="371">
        <v>76</v>
      </c>
      <c r="W306" s="371">
        <v>71</v>
      </c>
      <c r="X306" s="371">
        <v>71</v>
      </c>
      <c r="Y306" s="371">
        <v>60</v>
      </c>
      <c r="Z306" s="371">
        <v>60</v>
      </c>
      <c r="AA306" s="371">
        <v>28</v>
      </c>
      <c r="AB306" s="371">
        <v>20</v>
      </c>
      <c r="AC306" s="371">
        <v>25</v>
      </c>
      <c r="AD306" s="371">
        <v>25</v>
      </c>
      <c r="AE306" s="371">
        <v>2020</v>
      </c>
      <c r="AF306" s="385">
        <f t="shared" si="108"/>
        <v>50</v>
      </c>
      <c r="AG306" s="371">
        <v>28</v>
      </c>
      <c r="AH306" s="371">
        <v>22</v>
      </c>
      <c r="AI306" s="387">
        <f t="shared" si="93"/>
        <v>0</v>
      </c>
    </row>
    <row r="307" spans="1:35" s="393" customFormat="1" ht="24" customHeight="1">
      <c r="A307" s="397" t="s">
        <v>178</v>
      </c>
      <c r="B307" s="394" t="s">
        <v>9</v>
      </c>
      <c r="C307" s="395" t="s">
        <v>992</v>
      </c>
      <c r="D307" s="396">
        <v>4</v>
      </c>
      <c r="E307" s="385">
        <f t="shared" si="105"/>
        <v>11580</v>
      </c>
      <c r="F307" s="368">
        <v>11580</v>
      </c>
      <c r="G307" s="368">
        <v>0</v>
      </c>
      <c r="H307" s="385">
        <f t="shared" si="106"/>
        <v>1500</v>
      </c>
      <c r="I307" s="371">
        <v>350</v>
      </c>
      <c r="J307" s="371">
        <v>0</v>
      </c>
      <c r="K307" s="371">
        <v>350</v>
      </c>
      <c r="L307" s="371">
        <v>200</v>
      </c>
      <c r="M307" s="371">
        <v>200</v>
      </c>
      <c r="N307" s="371">
        <v>200</v>
      </c>
      <c r="O307" s="370">
        <v>200</v>
      </c>
      <c r="P307" s="386">
        <f t="shared" si="107"/>
        <v>10000</v>
      </c>
      <c r="Q307" s="371">
        <v>800</v>
      </c>
      <c r="R307" s="371">
        <v>800</v>
      </c>
      <c r="S307" s="371">
        <v>800</v>
      </c>
      <c r="T307" s="371">
        <v>1100</v>
      </c>
      <c r="U307" s="371">
        <v>1100</v>
      </c>
      <c r="V307" s="371">
        <v>1100</v>
      </c>
      <c r="W307" s="371">
        <v>1100</v>
      </c>
      <c r="X307" s="371">
        <v>800</v>
      </c>
      <c r="Y307" s="371">
        <v>800</v>
      </c>
      <c r="Z307" s="371">
        <v>600</v>
      </c>
      <c r="AA307" s="371">
        <v>200</v>
      </c>
      <c r="AB307" s="371">
        <v>100</v>
      </c>
      <c r="AC307" s="371">
        <v>100</v>
      </c>
      <c r="AD307" s="371">
        <v>100</v>
      </c>
      <c r="AE307" s="371">
        <v>500</v>
      </c>
      <c r="AF307" s="385">
        <f t="shared" si="108"/>
        <v>80</v>
      </c>
      <c r="AG307" s="371">
        <v>40</v>
      </c>
      <c r="AH307" s="371">
        <v>40</v>
      </c>
      <c r="AI307" s="387">
        <f t="shared" si="93"/>
        <v>0</v>
      </c>
    </row>
    <row r="308" spans="1:35" s="393" customFormat="1" ht="24" customHeight="1">
      <c r="A308" s="397" t="s">
        <v>178</v>
      </c>
      <c r="B308" s="394" t="s">
        <v>9</v>
      </c>
      <c r="C308" s="395" t="s">
        <v>431</v>
      </c>
      <c r="D308" s="396">
        <v>4</v>
      </c>
      <c r="E308" s="385">
        <f t="shared" si="105"/>
        <v>6800</v>
      </c>
      <c r="F308" s="368">
        <v>6800</v>
      </c>
      <c r="G308" s="368">
        <v>0</v>
      </c>
      <c r="H308" s="385">
        <f t="shared" si="106"/>
        <v>0</v>
      </c>
      <c r="I308" s="371"/>
      <c r="J308" s="371">
        <v>0</v>
      </c>
      <c r="K308" s="371"/>
      <c r="L308" s="371"/>
      <c r="M308" s="371"/>
      <c r="N308" s="371"/>
      <c r="O308" s="370"/>
      <c r="P308" s="386">
        <f t="shared" si="107"/>
        <v>6800</v>
      </c>
      <c r="Q308" s="371"/>
      <c r="R308" s="371"/>
      <c r="S308" s="371"/>
      <c r="T308" s="371"/>
      <c r="U308" s="371"/>
      <c r="V308" s="371"/>
      <c r="W308" s="371"/>
      <c r="X308" s="371"/>
      <c r="Y308" s="371">
        <v>3400</v>
      </c>
      <c r="Z308" s="371">
        <v>3400</v>
      </c>
      <c r="AA308" s="371"/>
      <c r="AB308" s="371"/>
      <c r="AC308" s="371"/>
      <c r="AD308" s="371"/>
      <c r="AE308" s="371"/>
      <c r="AF308" s="385">
        <f t="shared" si="108"/>
        <v>0</v>
      </c>
      <c r="AG308" s="371"/>
      <c r="AH308" s="371"/>
      <c r="AI308" s="387">
        <f t="shared" si="93"/>
        <v>0</v>
      </c>
    </row>
    <row r="309" spans="1:35" s="393" customFormat="1" ht="30.95" customHeight="1">
      <c r="A309" s="397" t="s">
        <v>178</v>
      </c>
      <c r="B309" s="394" t="s">
        <v>9</v>
      </c>
      <c r="C309" s="395" t="s">
        <v>993</v>
      </c>
      <c r="D309" s="396">
        <v>4</v>
      </c>
      <c r="E309" s="385">
        <f t="shared" si="105"/>
        <v>5550</v>
      </c>
      <c r="F309" s="368">
        <v>5550</v>
      </c>
      <c r="G309" s="368">
        <v>0</v>
      </c>
      <c r="H309" s="385">
        <f t="shared" si="106"/>
        <v>1000</v>
      </c>
      <c r="I309" s="371">
        <v>50</v>
      </c>
      <c r="J309" s="371" t="s">
        <v>145</v>
      </c>
      <c r="K309" s="371">
        <v>50</v>
      </c>
      <c r="L309" s="371">
        <v>50</v>
      </c>
      <c r="M309" s="371">
        <v>50</v>
      </c>
      <c r="N309" s="371">
        <v>50</v>
      </c>
      <c r="O309" s="370">
        <v>750</v>
      </c>
      <c r="P309" s="386">
        <f t="shared" si="107"/>
        <v>4492</v>
      </c>
      <c r="Q309" s="371">
        <v>50</v>
      </c>
      <c r="R309" s="371">
        <v>50</v>
      </c>
      <c r="S309" s="371">
        <v>50</v>
      </c>
      <c r="T309" s="371">
        <v>50</v>
      </c>
      <c r="U309" s="371">
        <v>50</v>
      </c>
      <c r="V309" s="371">
        <v>50</v>
      </c>
      <c r="W309" s="371">
        <v>50</v>
      </c>
      <c r="X309" s="371">
        <v>50</v>
      </c>
      <c r="Y309" s="371">
        <v>50</v>
      </c>
      <c r="Z309" s="371">
        <v>50</v>
      </c>
      <c r="AA309" s="371">
        <v>40</v>
      </c>
      <c r="AB309" s="371">
        <v>29</v>
      </c>
      <c r="AC309" s="371">
        <v>29</v>
      </c>
      <c r="AD309" s="371">
        <v>29</v>
      </c>
      <c r="AE309" s="371">
        <v>3865</v>
      </c>
      <c r="AF309" s="385">
        <f t="shared" si="108"/>
        <v>58</v>
      </c>
      <c r="AG309" s="371">
        <v>29</v>
      </c>
      <c r="AH309" s="371">
        <v>29</v>
      </c>
      <c r="AI309" s="387">
        <f t="shared" si="93"/>
        <v>0</v>
      </c>
    </row>
    <row r="310" spans="1:35" s="393" customFormat="1" ht="24" customHeight="1">
      <c r="A310" s="397" t="s">
        <v>178</v>
      </c>
      <c r="B310" s="394" t="s">
        <v>9</v>
      </c>
      <c r="C310" s="395" t="s">
        <v>994</v>
      </c>
      <c r="D310" s="396">
        <v>4</v>
      </c>
      <c r="E310" s="385">
        <f t="shared" si="105"/>
        <v>20000</v>
      </c>
      <c r="F310" s="368">
        <v>20000</v>
      </c>
      <c r="G310" s="368"/>
      <c r="H310" s="385">
        <f t="shared" si="106"/>
        <v>20000</v>
      </c>
      <c r="I310" s="371"/>
      <c r="J310" s="371">
        <v>0</v>
      </c>
      <c r="K310" s="371"/>
      <c r="L310" s="371"/>
      <c r="M310" s="371">
        <v>20000</v>
      </c>
      <c r="N310" s="371"/>
      <c r="O310" s="370"/>
      <c r="P310" s="386">
        <f t="shared" si="107"/>
        <v>0</v>
      </c>
      <c r="Q310" s="371"/>
      <c r="R310" s="371"/>
      <c r="S310" s="371"/>
      <c r="T310" s="371"/>
      <c r="U310" s="371"/>
      <c r="V310" s="371"/>
      <c r="W310" s="371"/>
      <c r="X310" s="371"/>
      <c r="Y310" s="371"/>
      <c r="Z310" s="371"/>
      <c r="AA310" s="371"/>
      <c r="AB310" s="371"/>
      <c r="AC310" s="371"/>
      <c r="AD310" s="371"/>
      <c r="AE310" s="371"/>
      <c r="AF310" s="385">
        <f t="shared" si="108"/>
        <v>0</v>
      </c>
      <c r="AG310" s="371"/>
      <c r="AH310" s="371"/>
      <c r="AI310" s="387">
        <f t="shared" si="93"/>
        <v>0</v>
      </c>
    </row>
    <row r="311" spans="1:35" s="393" customFormat="1" ht="24" customHeight="1">
      <c r="A311" s="397" t="s">
        <v>178</v>
      </c>
      <c r="B311" s="394" t="s">
        <v>9</v>
      </c>
      <c r="C311" s="395" t="s">
        <v>995</v>
      </c>
      <c r="D311" s="396">
        <v>4</v>
      </c>
      <c r="E311" s="385">
        <f t="shared" si="105"/>
        <v>222624</v>
      </c>
      <c r="F311" s="368">
        <v>69624</v>
      </c>
      <c r="G311" s="368">
        <v>153000</v>
      </c>
      <c r="H311" s="385">
        <f t="shared" si="106"/>
        <v>222624</v>
      </c>
      <c r="I311" s="371"/>
      <c r="J311" s="371">
        <v>0</v>
      </c>
      <c r="K311" s="371"/>
      <c r="L311" s="371">
        <v>222624</v>
      </c>
      <c r="M311" s="371"/>
      <c r="N311" s="371"/>
      <c r="O311" s="370"/>
      <c r="P311" s="386">
        <f t="shared" si="107"/>
        <v>0</v>
      </c>
      <c r="Q311" s="371"/>
      <c r="R311" s="371"/>
      <c r="S311" s="371"/>
      <c r="T311" s="371"/>
      <c r="U311" s="371"/>
      <c r="V311" s="371"/>
      <c r="W311" s="371"/>
      <c r="X311" s="371"/>
      <c r="Y311" s="371"/>
      <c r="Z311" s="371"/>
      <c r="AA311" s="371"/>
      <c r="AB311" s="371"/>
      <c r="AC311" s="371"/>
      <c r="AD311" s="371"/>
      <c r="AE311" s="371"/>
      <c r="AF311" s="385">
        <f t="shared" si="108"/>
        <v>0</v>
      </c>
      <c r="AG311" s="371"/>
      <c r="AH311" s="371"/>
      <c r="AI311" s="387">
        <f t="shared" si="93"/>
        <v>0</v>
      </c>
    </row>
    <row r="312" spans="1:35" s="393" customFormat="1" ht="24" customHeight="1">
      <c r="A312" s="397" t="s">
        <v>178</v>
      </c>
      <c r="B312" s="394" t="s">
        <v>9</v>
      </c>
      <c r="C312" s="395" t="s">
        <v>996</v>
      </c>
      <c r="D312" s="396">
        <v>4</v>
      </c>
      <c r="E312" s="385">
        <f t="shared" si="105"/>
        <v>139312</v>
      </c>
      <c r="F312" s="368">
        <v>47012</v>
      </c>
      <c r="G312" s="368">
        <v>92300</v>
      </c>
      <c r="H312" s="385">
        <f t="shared" si="106"/>
        <v>139312</v>
      </c>
      <c r="I312" s="371"/>
      <c r="J312" s="371">
        <v>0</v>
      </c>
      <c r="K312" s="371"/>
      <c r="L312" s="371" t="s">
        <v>292</v>
      </c>
      <c r="M312" s="371">
        <v>126312</v>
      </c>
      <c r="N312" s="371"/>
      <c r="O312" s="370">
        <v>13000</v>
      </c>
      <c r="P312" s="386">
        <f t="shared" si="107"/>
        <v>0</v>
      </c>
      <c r="Q312" s="371"/>
      <c r="R312" s="371"/>
      <c r="S312" s="371"/>
      <c r="T312" s="371"/>
      <c r="U312" s="371"/>
      <c r="V312" s="371"/>
      <c r="W312" s="371"/>
      <c r="X312" s="371"/>
      <c r="Y312" s="371"/>
      <c r="Z312" s="371"/>
      <c r="AA312" s="371"/>
      <c r="AB312" s="371"/>
      <c r="AC312" s="371"/>
      <c r="AD312" s="371"/>
      <c r="AE312" s="371"/>
      <c r="AF312" s="385">
        <f t="shared" si="108"/>
        <v>0</v>
      </c>
      <c r="AG312" s="371"/>
      <c r="AH312" s="371"/>
      <c r="AI312" s="387">
        <f t="shared" si="93"/>
        <v>0</v>
      </c>
    </row>
    <row r="313" spans="1:35" s="404" customFormat="1" ht="24" customHeight="1">
      <c r="A313" s="398" t="s">
        <v>907</v>
      </c>
      <c r="B313" s="399"/>
      <c r="C313" s="400"/>
      <c r="D313" s="401"/>
      <c r="E313" s="402">
        <f t="shared" ref="E313:AH313" si="109">E314+E328+E329+E343+E344</f>
        <v>22155479</v>
      </c>
      <c r="F313" s="402">
        <f t="shared" si="109"/>
        <v>21897731</v>
      </c>
      <c r="G313" s="402">
        <f t="shared" si="109"/>
        <v>257748</v>
      </c>
      <c r="H313" s="402">
        <f t="shared" si="109"/>
        <v>14808367</v>
      </c>
      <c r="I313" s="402">
        <f t="shared" si="109"/>
        <v>2662927</v>
      </c>
      <c r="J313" s="402">
        <f t="shared" si="109"/>
        <v>2315823</v>
      </c>
      <c r="K313" s="402">
        <f t="shared" si="109"/>
        <v>1521807</v>
      </c>
      <c r="L313" s="402">
        <f t="shared" si="109"/>
        <v>2548098</v>
      </c>
      <c r="M313" s="402">
        <f t="shared" si="109"/>
        <v>1604727</v>
      </c>
      <c r="N313" s="402">
        <f t="shared" si="109"/>
        <v>4154985</v>
      </c>
      <c r="O313" s="402">
        <f t="shared" si="109"/>
        <v>0</v>
      </c>
      <c r="P313" s="402">
        <f t="shared" si="109"/>
        <v>7126651</v>
      </c>
      <c r="Q313" s="402">
        <f t="shared" si="109"/>
        <v>431958</v>
      </c>
      <c r="R313" s="402">
        <f t="shared" si="109"/>
        <v>414149</v>
      </c>
      <c r="S313" s="402">
        <f t="shared" si="109"/>
        <v>562288</v>
      </c>
      <c r="T313" s="402">
        <f t="shared" si="109"/>
        <v>1169255</v>
      </c>
      <c r="U313" s="402">
        <f t="shared" si="109"/>
        <v>626620</v>
      </c>
      <c r="V313" s="402">
        <f t="shared" si="109"/>
        <v>731074</v>
      </c>
      <c r="W313" s="402">
        <f t="shared" si="109"/>
        <v>530074</v>
      </c>
      <c r="X313" s="402">
        <f t="shared" si="109"/>
        <v>996094</v>
      </c>
      <c r="Y313" s="402">
        <f t="shared" si="109"/>
        <v>324802</v>
      </c>
      <c r="Z313" s="402">
        <f t="shared" si="109"/>
        <v>377998</v>
      </c>
      <c r="AA313" s="402">
        <f t="shared" si="109"/>
        <v>190867</v>
      </c>
      <c r="AB313" s="402">
        <f t="shared" si="109"/>
        <v>281408</v>
      </c>
      <c r="AC313" s="402">
        <f t="shared" si="109"/>
        <v>280018</v>
      </c>
      <c r="AD313" s="402">
        <f t="shared" si="109"/>
        <v>207383</v>
      </c>
      <c r="AE313" s="402">
        <f t="shared" si="109"/>
        <v>2663</v>
      </c>
      <c r="AF313" s="402">
        <f t="shared" si="109"/>
        <v>220461</v>
      </c>
      <c r="AG313" s="402">
        <f t="shared" si="109"/>
        <v>144690</v>
      </c>
      <c r="AH313" s="402">
        <f t="shared" si="109"/>
        <v>75771</v>
      </c>
      <c r="AI313" s="387">
        <f t="shared" si="93"/>
        <v>0</v>
      </c>
    </row>
    <row r="314" spans="1:35" s="410" customFormat="1" ht="22.5" customHeight="1">
      <c r="A314" s="405" t="s">
        <v>908</v>
      </c>
      <c r="B314" s="406"/>
      <c r="C314" s="407"/>
      <c r="D314" s="408"/>
      <c r="E314" s="409">
        <f t="shared" ref="E314:AH314" si="110">SUM(E315:E327)</f>
        <v>4411575</v>
      </c>
      <c r="F314" s="409">
        <f t="shared" si="110"/>
        <v>4320354</v>
      </c>
      <c r="G314" s="409">
        <f t="shared" si="110"/>
        <v>91221</v>
      </c>
      <c r="H314" s="409">
        <f t="shared" si="110"/>
        <v>3600071</v>
      </c>
      <c r="I314" s="409">
        <f t="shared" si="110"/>
        <v>208950</v>
      </c>
      <c r="J314" s="409">
        <f t="shared" si="110"/>
        <v>881613</v>
      </c>
      <c r="K314" s="409">
        <f t="shared" si="110"/>
        <v>119492</v>
      </c>
      <c r="L314" s="409">
        <f t="shared" si="110"/>
        <v>433876</v>
      </c>
      <c r="M314" s="409">
        <f t="shared" si="110"/>
        <v>167469</v>
      </c>
      <c r="N314" s="409">
        <f t="shared" si="110"/>
        <v>1788671</v>
      </c>
      <c r="O314" s="409">
        <f t="shared" si="110"/>
        <v>0</v>
      </c>
      <c r="P314" s="409">
        <f t="shared" si="110"/>
        <v>693858</v>
      </c>
      <c r="Q314" s="409">
        <f t="shared" si="110"/>
        <v>43772</v>
      </c>
      <c r="R314" s="409">
        <f t="shared" si="110"/>
        <v>32159</v>
      </c>
      <c r="S314" s="409">
        <f t="shared" si="110"/>
        <v>64002</v>
      </c>
      <c r="T314" s="409">
        <f t="shared" si="110"/>
        <v>75853</v>
      </c>
      <c r="U314" s="409">
        <f t="shared" si="110"/>
        <v>50687</v>
      </c>
      <c r="V314" s="409">
        <f t="shared" si="110"/>
        <v>37197</v>
      </c>
      <c r="W314" s="409">
        <f t="shared" si="110"/>
        <v>43310</v>
      </c>
      <c r="X314" s="409">
        <f t="shared" si="110"/>
        <v>76334</v>
      </c>
      <c r="Y314" s="409">
        <f t="shared" si="110"/>
        <v>51895</v>
      </c>
      <c r="Z314" s="409">
        <f t="shared" si="110"/>
        <v>52419</v>
      </c>
      <c r="AA314" s="409">
        <f t="shared" si="110"/>
        <v>75858</v>
      </c>
      <c r="AB314" s="409">
        <f t="shared" si="110"/>
        <v>42565</v>
      </c>
      <c r="AC314" s="409">
        <f t="shared" si="110"/>
        <v>23790</v>
      </c>
      <c r="AD314" s="409">
        <f t="shared" si="110"/>
        <v>24017</v>
      </c>
      <c r="AE314" s="409">
        <f t="shared" si="110"/>
        <v>0</v>
      </c>
      <c r="AF314" s="409">
        <f t="shared" si="110"/>
        <v>117646</v>
      </c>
      <c r="AG314" s="409">
        <f t="shared" si="110"/>
        <v>50444</v>
      </c>
      <c r="AH314" s="409">
        <f t="shared" si="110"/>
        <v>67202</v>
      </c>
      <c r="AI314" s="387">
        <f t="shared" si="93"/>
        <v>0</v>
      </c>
    </row>
    <row r="315" spans="1:35" s="393" customFormat="1" ht="29.1" customHeight="1">
      <c r="A315" s="427" t="s">
        <v>906</v>
      </c>
      <c r="B315" s="428" t="s">
        <v>1170</v>
      </c>
      <c r="C315" s="395" t="s">
        <v>182</v>
      </c>
      <c r="D315" s="396">
        <v>5</v>
      </c>
      <c r="E315" s="385">
        <f t="shared" ref="E315:E328" si="111">SUM(H315,P315,AF315)</f>
        <v>145346</v>
      </c>
      <c r="F315" s="368">
        <v>145346</v>
      </c>
      <c r="G315" s="368">
        <v>0</v>
      </c>
      <c r="H315" s="385">
        <f t="shared" ref="H315:H328" si="112">SUM(I315:O315)</f>
        <v>65073</v>
      </c>
      <c r="I315" s="371">
        <v>17185</v>
      </c>
      <c r="J315" s="371">
        <v>0</v>
      </c>
      <c r="K315" s="371">
        <v>7806</v>
      </c>
      <c r="L315" s="371">
        <v>12930</v>
      </c>
      <c r="M315" s="371">
        <v>10949</v>
      </c>
      <c r="N315" s="371">
        <v>16203</v>
      </c>
      <c r="O315" s="370">
        <v>0</v>
      </c>
      <c r="P315" s="386">
        <f t="shared" ref="P315:P328" si="113">SUM(Q315:AE315)</f>
        <v>76973</v>
      </c>
      <c r="Q315" s="371">
        <v>6270</v>
      </c>
      <c r="R315" s="371">
        <v>5748</v>
      </c>
      <c r="S315" s="371">
        <v>5747</v>
      </c>
      <c r="T315" s="371">
        <v>7838</v>
      </c>
      <c r="U315" s="371">
        <v>6792</v>
      </c>
      <c r="V315" s="371">
        <v>6793</v>
      </c>
      <c r="W315" s="371">
        <v>5225</v>
      </c>
      <c r="X315" s="371">
        <v>7315</v>
      </c>
      <c r="Y315" s="371">
        <v>4703</v>
      </c>
      <c r="Z315" s="371">
        <v>6297</v>
      </c>
      <c r="AA315" s="371">
        <v>2750</v>
      </c>
      <c r="AB315" s="371">
        <v>4180</v>
      </c>
      <c r="AC315" s="371">
        <v>3657</v>
      </c>
      <c r="AD315" s="371">
        <v>3658</v>
      </c>
      <c r="AE315" s="371">
        <v>0</v>
      </c>
      <c r="AF315" s="385">
        <f t="shared" ref="AF315:AF328" si="114">SUM(AG315:AH315)</f>
        <v>3300</v>
      </c>
      <c r="AG315" s="371">
        <v>2200</v>
      </c>
      <c r="AH315" s="371">
        <v>1100</v>
      </c>
      <c r="AI315" s="387">
        <f t="shared" si="93"/>
        <v>0</v>
      </c>
    </row>
    <row r="316" spans="1:35" s="393" customFormat="1" ht="30.95" customHeight="1">
      <c r="A316" s="427" t="s">
        <v>906</v>
      </c>
      <c r="B316" s="428" t="s">
        <v>1171</v>
      </c>
      <c r="C316" s="395" t="s">
        <v>188</v>
      </c>
      <c r="D316" s="396">
        <v>5</v>
      </c>
      <c r="E316" s="385">
        <f t="shared" si="111"/>
        <v>84595</v>
      </c>
      <c r="F316" s="368">
        <v>84595</v>
      </c>
      <c r="G316" s="368">
        <v>0</v>
      </c>
      <c r="H316" s="385">
        <f t="shared" si="112"/>
        <v>51190</v>
      </c>
      <c r="I316" s="371">
        <v>11098</v>
      </c>
      <c r="J316" s="371">
        <v>7703</v>
      </c>
      <c r="K316" s="371">
        <v>7250</v>
      </c>
      <c r="L316" s="371">
        <v>11491</v>
      </c>
      <c r="M316" s="371">
        <v>6109</v>
      </c>
      <c r="N316" s="371">
        <v>7539</v>
      </c>
      <c r="O316" s="370">
        <v>0</v>
      </c>
      <c r="P316" s="386">
        <f t="shared" si="113"/>
        <v>32563</v>
      </c>
      <c r="Q316" s="371">
        <v>2331</v>
      </c>
      <c r="R316" s="371">
        <v>2977</v>
      </c>
      <c r="S316" s="371">
        <v>2430</v>
      </c>
      <c r="T316" s="371">
        <v>7680</v>
      </c>
      <c r="U316" s="371">
        <v>1947</v>
      </c>
      <c r="V316" s="371">
        <v>3047</v>
      </c>
      <c r="W316" s="371">
        <v>1345</v>
      </c>
      <c r="X316" s="371">
        <v>4353</v>
      </c>
      <c r="Y316" s="371">
        <v>561</v>
      </c>
      <c r="Z316" s="371">
        <v>1656</v>
      </c>
      <c r="AA316" s="371">
        <v>299</v>
      </c>
      <c r="AB316" s="371">
        <v>1505</v>
      </c>
      <c r="AC316" s="371">
        <v>1565</v>
      </c>
      <c r="AD316" s="371">
        <v>867</v>
      </c>
      <c r="AE316" s="371">
        <v>0</v>
      </c>
      <c r="AF316" s="385">
        <f t="shared" si="114"/>
        <v>842</v>
      </c>
      <c r="AG316" s="371">
        <v>552</v>
      </c>
      <c r="AH316" s="371">
        <v>290</v>
      </c>
      <c r="AI316" s="387">
        <f t="shared" si="93"/>
        <v>0</v>
      </c>
    </row>
    <row r="317" spans="1:35" s="393" customFormat="1" ht="48" customHeight="1">
      <c r="A317" s="427" t="s">
        <v>906</v>
      </c>
      <c r="B317" s="428" t="s">
        <v>1172</v>
      </c>
      <c r="C317" s="395" t="s">
        <v>892</v>
      </c>
      <c r="D317" s="396">
        <v>5</v>
      </c>
      <c r="E317" s="385">
        <f t="shared" si="111"/>
        <v>792654</v>
      </c>
      <c r="F317" s="368">
        <v>792654</v>
      </c>
      <c r="G317" s="368">
        <v>0</v>
      </c>
      <c r="H317" s="385">
        <f t="shared" si="112"/>
        <v>721887</v>
      </c>
      <c r="I317" s="371">
        <v>80564</v>
      </c>
      <c r="J317" s="371">
        <v>61153</v>
      </c>
      <c r="K317" s="371">
        <v>46236</v>
      </c>
      <c r="L317" s="371">
        <v>296011</v>
      </c>
      <c r="M317" s="371">
        <v>99126</v>
      </c>
      <c r="N317" s="371">
        <v>138797</v>
      </c>
      <c r="O317" s="370">
        <v>0</v>
      </c>
      <c r="P317" s="386">
        <f t="shared" si="113"/>
        <v>70608</v>
      </c>
      <c r="Q317" s="371">
        <v>0</v>
      </c>
      <c r="R317" s="371">
        <v>1223</v>
      </c>
      <c r="S317" s="371">
        <v>20549</v>
      </c>
      <c r="T317" s="371">
        <v>19513</v>
      </c>
      <c r="U317" s="371">
        <v>0</v>
      </c>
      <c r="V317" s="371">
        <v>0</v>
      </c>
      <c r="W317" s="371">
        <v>5170</v>
      </c>
      <c r="X317" s="371">
        <v>0</v>
      </c>
      <c r="Y317" s="371">
        <v>0</v>
      </c>
      <c r="Z317" s="371">
        <v>5977</v>
      </c>
      <c r="AA317" s="371">
        <v>0</v>
      </c>
      <c r="AB317" s="371">
        <v>13308</v>
      </c>
      <c r="AC317" s="371">
        <v>4868</v>
      </c>
      <c r="AD317" s="371">
        <v>0</v>
      </c>
      <c r="AE317" s="371">
        <v>0</v>
      </c>
      <c r="AF317" s="385">
        <f t="shared" si="114"/>
        <v>159</v>
      </c>
      <c r="AG317" s="371">
        <v>0</v>
      </c>
      <c r="AH317" s="371">
        <v>159</v>
      </c>
      <c r="AI317" s="387">
        <f t="shared" si="93"/>
        <v>0</v>
      </c>
    </row>
    <row r="318" spans="1:35" s="393" customFormat="1" ht="37.5" customHeight="1">
      <c r="A318" s="427" t="s">
        <v>906</v>
      </c>
      <c r="B318" s="428" t="s">
        <v>1172</v>
      </c>
      <c r="C318" s="395" t="s">
        <v>85</v>
      </c>
      <c r="D318" s="396">
        <v>5</v>
      </c>
      <c r="E318" s="385">
        <f t="shared" si="111"/>
        <v>92215</v>
      </c>
      <c r="F318" s="368">
        <v>92215</v>
      </c>
      <c r="G318" s="368">
        <v>0</v>
      </c>
      <c r="H318" s="385">
        <f t="shared" si="112"/>
        <v>59001</v>
      </c>
      <c r="I318" s="371">
        <v>15785</v>
      </c>
      <c r="J318" s="371">
        <v>5467</v>
      </c>
      <c r="K318" s="371">
        <v>9245</v>
      </c>
      <c r="L318" s="371">
        <v>14362</v>
      </c>
      <c r="M318" s="371">
        <v>8621</v>
      </c>
      <c r="N318" s="371">
        <v>5521</v>
      </c>
      <c r="O318" s="370">
        <v>0</v>
      </c>
      <c r="P318" s="386">
        <f t="shared" si="113"/>
        <v>32477</v>
      </c>
      <c r="Q318" s="371">
        <v>1684</v>
      </c>
      <c r="R318" s="371">
        <v>2205</v>
      </c>
      <c r="S318" s="371">
        <v>2774</v>
      </c>
      <c r="T318" s="371">
        <v>7120</v>
      </c>
      <c r="U318" s="371">
        <v>2259</v>
      </c>
      <c r="V318" s="371">
        <v>3621</v>
      </c>
      <c r="W318" s="371">
        <v>2559</v>
      </c>
      <c r="X318" s="371">
        <v>3010</v>
      </c>
      <c r="Y318" s="371">
        <v>1240</v>
      </c>
      <c r="Z318" s="371">
        <v>1756</v>
      </c>
      <c r="AA318" s="371">
        <v>521</v>
      </c>
      <c r="AB318" s="371">
        <v>1513</v>
      </c>
      <c r="AC318" s="371">
        <v>1172</v>
      </c>
      <c r="AD318" s="371">
        <v>1043</v>
      </c>
      <c r="AE318" s="371">
        <v>0</v>
      </c>
      <c r="AF318" s="385">
        <f t="shared" si="114"/>
        <v>737</v>
      </c>
      <c r="AG318" s="371">
        <v>522</v>
      </c>
      <c r="AH318" s="371">
        <v>215</v>
      </c>
      <c r="AI318" s="387">
        <f t="shared" si="93"/>
        <v>0</v>
      </c>
    </row>
    <row r="319" spans="1:35" s="393" customFormat="1" ht="51" customHeight="1">
      <c r="A319" s="427" t="s">
        <v>906</v>
      </c>
      <c r="B319" s="428" t="s">
        <v>1172</v>
      </c>
      <c r="C319" s="395" t="s">
        <v>893</v>
      </c>
      <c r="D319" s="396">
        <v>5</v>
      </c>
      <c r="E319" s="385">
        <f t="shared" si="111"/>
        <v>27421</v>
      </c>
      <c r="F319" s="368">
        <v>27421</v>
      </c>
      <c r="G319" s="368">
        <v>0</v>
      </c>
      <c r="H319" s="385">
        <f t="shared" si="112"/>
        <v>19827</v>
      </c>
      <c r="I319" s="371">
        <v>4361</v>
      </c>
      <c r="J319" s="371">
        <v>5353</v>
      </c>
      <c r="K319" s="371">
        <v>2775</v>
      </c>
      <c r="L319" s="371">
        <v>3370</v>
      </c>
      <c r="M319" s="371">
        <v>1788</v>
      </c>
      <c r="N319" s="371">
        <v>2180</v>
      </c>
      <c r="O319" s="370">
        <v>0</v>
      </c>
      <c r="P319" s="386">
        <f t="shared" si="113"/>
        <v>7540</v>
      </c>
      <c r="Q319" s="371">
        <v>999</v>
      </c>
      <c r="R319" s="371">
        <v>382</v>
      </c>
      <c r="S319" s="371">
        <v>720</v>
      </c>
      <c r="T319" s="371">
        <v>516</v>
      </c>
      <c r="U319" s="371">
        <v>362</v>
      </c>
      <c r="V319" s="371">
        <v>743</v>
      </c>
      <c r="W319" s="371">
        <v>600</v>
      </c>
      <c r="X319" s="371">
        <v>343</v>
      </c>
      <c r="Y319" s="371">
        <v>721</v>
      </c>
      <c r="Z319" s="371">
        <v>421</v>
      </c>
      <c r="AA319" s="371">
        <v>183</v>
      </c>
      <c r="AB319" s="371">
        <v>446</v>
      </c>
      <c r="AC319" s="371">
        <v>795</v>
      </c>
      <c r="AD319" s="371">
        <v>309</v>
      </c>
      <c r="AE319" s="371">
        <v>0</v>
      </c>
      <c r="AF319" s="385">
        <f t="shared" si="114"/>
        <v>54</v>
      </c>
      <c r="AG319" s="371">
        <v>39</v>
      </c>
      <c r="AH319" s="371">
        <v>15</v>
      </c>
      <c r="AI319" s="387">
        <f t="shared" si="93"/>
        <v>0</v>
      </c>
    </row>
    <row r="320" spans="1:35" s="393" customFormat="1" ht="41.45" customHeight="1">
      <c r="A320" s="427" t="s">
        <v>906</v>
      </c>
      <c r="B320" s="428" t="s">
        <v>1172</v>
      </c>
      <c r="C320" s="395" t="s">
        <v>894</v>
      </c>
      <c r="D320" s="396">
        <v>5</v>
      </c>
      <c r="E320" s="385">
        <f t="shared" si="111"/>
        <v>12698</v>
      </c>
      <c r="F320" s="368">
        <v>12698</v>
      </c>
      <c r="G320" s="368">
        <v>0</v>
      </c>
      <c r="H320" s="385">
        <f t="shared" si="112"/>
        <v>12698</v>
      </c>
      <c r="I320" s="371">
        <v>12698</v>
      </c>
      <c r="J320" s="371">
        <v>0</v>
      </c>
      <c r="K320" s="371">
        <v>0</v>
      </c>
      <c r="L320" s="371">
        <v>0</v>
      </c>
      <c r="M320" s="371">
        <v>0</v>
      </c>
      <c r="N320" s="371">
        <v>0</v>
      </c>
      <c r="O320" s="370">
        <v>0</v>
      </c>
      <c r="P320" s="386">
        <f t="shared" si="113"/>
        <v>0</v>
      </c>
      <c r="Q320" s="371">
        <v>0</v>
      </c>
      <c r="R320" s="371">
        <v>0</v>
      </c>
      <c r="S320" s="371">
        <v>0</v>
      </c>
      <c r="T320" s="371">
        <v>0</v>
      </c>
      <c r="U320" s="371">
        <v>0</v>
      </c>
      <c r="V320" s="371">
        <v>0</v>
      </c>
      <c r="W320" s="371">
        <v>0</v>
      </c>
      <c r="X320" s="371">
        <v>0</v>
      </c>
      <c r="Y320" s="371">
        <v>0</v>
      </c>
      <c r="Z320" s="371">
        <v>0</v>
      </c>
      <c r="AA320" s="371">
        <v>0</v>
      </c>
      <c r="AB320" s="371">
        <v>0</v>
      </c>
      <c r="AC320" s="371">
        <v>0</v>
      </c>
      <c r="AD320" s="371">
        <v>0</v>
      </c>
      <c r="AE320" s="371">
        <v>0</v>
      </c>
      <c r="AF320" s="385">
        <f t="shared" si="114"/>
        <v>0</v>
      </c>
      <c r="AG320" s="371">
        <v>0</v>
      </c>
      <c r="AH320" s="371">
        <v>0</v>
      </c>
      <c r="AI320" s="387">
        <f t="shared" si="93"/>
        <v>0</v>
      </c>
    </row>
    <row r="321" spans="1:35" s="393" customFormat="1" ht="37.5" customHeight="1">
      <c r="A321" s="427" t="s">
        <v>906</v>
      </c>
      <c r="B321" s="428" t="s">
        <v>1172</v>
      </c>
      <c r="C321" s="395" t="s">
        <v>895</v>
      </c>
      <c r="D321" s="396">
        <v>5</v>
      </c>
      <c r="E321" s="385">
        <f t="shared" si="111"/>
        <v>272000</v>
      </c>
      <c r="F321" s="368">
        <v>272000</v>
      </c>
      <c r="G321" s="368">
        <v>0</v>
      </c>
      <c r="H321" s="385">
        <f t="shared" si="112"/>
        <v>152464</v>
      </c>
      <c r="I321" s="371">
        <v>38234</v>
      </c>
      <c r="J321" s="371">
        <v>20737</v>
      </c>
      <c r="K321" s="371">
        <v>20806</v>
      </c>
      <c r="L321" s="371">
        <v>22792</v>
      </c>
      <c r="M321" s="371">
        <v>12611</v>
      </c>
      <c r="N321" s="371">
        <v>37284</v>
      </c>
      <c r="O321" s="370">
        <v>0</v>
      </c>
      <c r="P321" s="386">
        <f t="shared" si="113"/>
        <v>118303</v>
      </c>
      <c r="Q321" s="371">
        <v>4560</v>
      </c>
      <c r="R321" s="371">
        <v>5269</v>
      </c>
      <c r="S321" s="371">
        <v>9136</v>
      </c>
      <c r="T321" s="371">
        <v>9590</v>
      </c>
      <c r="U321" s="371">
        <v>12367</v>
      </c>
      <c r="V321" s="371">
        <v>7452</v>
      </c>
      <c r="W321" s="371">
        <v>7133</v>
      </c>
      <c r="X321" s="371">
        <v>25798</v>
      </c>
      <c r="Y321" s="371">
        <v>6785</v>
      </c>
      <c r="Z321" s="371">
        <v>11379</v>
      </c>
      <c r="AA321" s="371">
        <v>904</v>
      </c>
      <c r="AB321" s="371">
        <v>12619</v>
      </c>
      <c r="AC321" s="371">
        <v>2377</v>
      </c>
      <c r="AD321" s="371">
        <v>2934</v>
      </c>
      <c r="AE321" s="371">
        <v>0</v>
      </c>
      <c r="AF321" s="385">
        <f t="shared" si="114"/>
        <v>1233</v>
      </c>
      <c r="AG321" s="371">
        <v>903</v>
      </c>
      <c r="AH321" s="371">
        <v>330</v>
      </c>
      <c r="AI321" s="387">
        <f t="shared" si="93"/>
        <v>0</v>
      </c>
    </row>
    <row r="322" spans="1:35" s="393" customFormat="1" ht="39.950000000000003" customHeight="1">
      <c r="A322" s="427" t="s">
        <v>906</v>
      </c>
      <c r="B322" s="428" t="s">
        <v>1173</v>
      </c>
      <c r="C322" s="395" t="s">
        <v>896</v>
      </c>
      <c r="D322" s="396">
        <v>9</v>
      </c>
      <c r="E322" s="385">
        <f t="shared" si="111"/>
        <v>20485</v>
      </c>
      <c r="F322" s="368">
        <v>1190</v>
      </c>
      <c r="G322" s="368">
        <v>19295</v>
      </c>
      <c r="H322" s="385">
        <f t="shared" si="112"/>
        <v>2850</v>
      </c>
      <c r="I322" s="371">
        <v>0</v>
      </c>
      <c r="J322" s="371">
        <v>0</v>
      </c>
      <c r="K322" s="371">
        <v>0</v>
      </c>
      <c r="L322" s="371">
        <v>2850</v>
      </c>
      <c r="M322" s="371">
        <v>0</v>
      </c>
      <c r="N322" s="371">
        <v>0</v>
      </c>
      <c r="O322" s="370">
        <v>0</v>
      </c>
      <c r="P322" s="386">
        <f t="shared" si="113"/>
        <v>17635</v>
      </c>
      <c r="Q322" s="371">
        <v>895</v>
      </c>
      <c r="R322" s="371">
        <v>0</v>
      </c>
      <c r="S322" s="371">
        <v>0</v>
      </c>
      <c r="T322" s="371">
        <v>0</v>
      </c>
      <c r="U322" s="371">
        <v>0</v>
      </c>
      <c r="V322" s="371">
        <v>2850</v>
      </c>
      <c r="W322" s="371">
        <v>0</v>
      </c>
      <c r="X322" s="371">
        <v>0</v>
      </c>
      <c r="Y322" s="371">
        <v>3050</v>
      </c>
      <c r="Z322" s="371">
        <v>0</v>
      </c>
      <c r="AA322" s="371">
        <v>0</v>
      </c>
      <c r="AB322" s="371">
        <v>3280</v>
      </c>
      <c r="AC322" s="371">
        <v>3960</v>
      </c>
      <c r="AD322" s="371">
        <v>3600</v>
      </c>
      <c r="AE322" s="371">
        <v>0</v>
      </c>
      <c r="AF322" s="385">
        <f t="shared" si="114"/>
        <v>0</v>
      </c>
      <c r="AG322" s="371">
        <v>0</v>
      </c>
      <c r="AH322" s="371">
        <v>0</v>
      </c>
      <c r="AI322" s="387">
        <f t="shared" si="93"/>
        <v>0</v>
      </c>
    </row>
    <row r="323" spans="1:35" s="393" customFormat="1" ht="33.6" customHeight="1">
      <c r="A323" s="427" t="s">
        <v>906</v>
      </c>
      <c r="B323" s="428" t="s">
        <v>1174</v>
      </c>
      <c r="C323" s="395" t="s">
        <v>152</v>
      </c>
      <c r="D323" s="396">
        <v>5</v>
      </c>
      <c r="E323" s="385">
        <f t="shared" si="111"/>
        <v>16258</v>
      </c>
      <c r="F323" s="368">
        <v>10862</v>
      </c>
      <c r="G323" s="368">
        <v>5396</v>
      </c>
      <c r="H323" s="385">
        <f t="shared" si="112"/>
        <v>3674</v>
      </c>
      <c r="I323" s="371">
        <v>550</v>
      </c>
      <c r="J323" s="371">
        <v>0</v>
      </c>
      <c r="K323" s="371">
        <v>555</v>
      </c>
      <c r="L323" s="371">
        <v>640</v>
      </c>
      <c r="M323" s="371">
        <v>1171</v>
      </c>
      <c r="N323" s="371">
        <v>758</v>
      </c>
      <c r="O323" s="370">
        <v>0</v>
      </c>
      <c r="P323" s="386">
        <f t="shared" si="113"/>
        <v>12483</v>
      </c>
      <c r="Q323" s="371">
        <v>880</v>
      </c>
      <c r="R323" s="371">
        <v>379</v>
      </c>
      <c r="S323" s="371">
        <v>785</v>
      </c>
      <c r="T323" s="371">
        <v>1055</v>
      </c>
      <c r="U323" s="371">
        <v>460</v>
      </c>
      <c r="V323" s="371">
        <v>1460</v>
      </c>
      <c r="W323" s="371">
        <v>1101</v>
      </c>
      <c r="X323" s="371">
        <v>1253</v>
      </c>
      <c r="Y323" s="371">
        <v>1410</v>
      </c>
      <c r="Z323" s="371">
        <v>1160</v>
      </c>
      <c r="AA323" s="371">
        <v>1430</v>
      </c>
      <c r="AB323" s="371">
        <v>365</v>
      </c>
      <c r="AC323" s="371">
        <v>300</v>
      </c>
      <c r="AD323" s="371">
        <v>445</v>
      </c>
      <c r="AE323" s="371">
        <v>0</v>
      </c>
      <c r="AF323" s="385">
        <f t="shared" si="114"/>
        <v>101</v>
      </c>
      <c r="AG323" s="371">
        <v>10</v>
      </c>
      <c r="AH323" s="371">
        <v>91</v>
      </c>
      <c r="AI323" s="387">
        <f t="shared" si="93"/>
        <v>0</v>
      </c>
    </row>
    <row r="324" spans="1:35" s="393" customFormat="1" ht="36" customHeight="1">
      <c r="A324" s="427" t="s">
        <v>906</v>
      </c>
      <c r="B324" s="428" t="s">
        <v>1175</v>
      </c>
      <c r="C324" s="395" t="s">
        <v>897</v>
      </c>
      <c r="D324" s="396">
        <v>5</v>
      </c>
      <c r="E324" s="385">
        <f t="shared" si="111"/>
        <v>44624</v>
      </c>
      <c r="F324" s="368">
        <v>44624</v>
      </c>
      <c r="G324" s="368">
        <v>0</v>
      </c>
      <c r="H324" s="385">
        <f t="shared" si="112"/>
        <v>3598</v>
      </c>
      <c r="I324" s="371">
        <v>510</v>
      </c>
      <c r="J324" s="371">
        <v>0</v>
      </c>
      <c r="K324" s="371">
        <v>821</v>
      </c>
      <c r="L324" s="371">
        <v>900</v>
      </c>
      <c r="M324" s="371">
        <v>0</v>
      </c>
      <c r="N324" s="371">
        <v>1367</v>
      </c>
      <c r="O324" s="370">
        <v>0</v>
      </c>
      <c r="P324" s="386">
        <f t="shared" si="113"/>
        <v>32967</v>
      </c>
      <c r="Q324" s="371">
        <v>1222</v>
      </c>
      <c r="R324" s="371">
        <v>1275</v>
      </c>
      <c r="S324" s="371">
        <v>1071</v>
      </c>
      <c r="T324" s="371">
        <v>0</v>
      </c>
      <c r="U324" s="371">
        <v>2966</v>
      </c>
      <c r="V324" s="371">
        <v>0</v>
      </c>
      <c r="W324" s="371">
        <v>824</v>
      </c>
      <c r="X324" s="371">
        <v>4060</v>
      </c>
      <c r="Y324" s="371">
        <v>9513</v>
      </c>
      <c r="Z324" s="371">
        <v>2384</v>
      </c>
      <c r="AA324" s="371">
        <v>9652</v>
      </c>
      <c r="AB324" s="371">
        <v>0</v>
      </c>
      <c r="AC324" s="371">
        <v>0</v>
      </c>
      <c r="AD324" s="371">
        <v>0</v>
      </c>
      <c r="AE324" s="371">
        <v>0</v>
      </c>
      <c r="AF324" s="385">
        <f t="shared" si="114"/>
        <v>8059</v>
      </c>
      <c r="AG324" s="371">
        <v>6819</v>
      </c>
      <c r="AH324" s="371">
        <v>1240</v>
      </c>
      <c r="AI324" s="387">
        <f t="shared" si="93"/>
        <v>0</v>
      </c>
    </row>
    <row r="325" spans="1:35" s="393" customFormat="1" ht="31.5" customHeight="1">
      <c r="A325" s="427" t="s">
        <v>906</v>
      </c>
      <c r="B325" s="428" t="s">
        <v>1175</v>
      </c>
      <c r="C325" s="395" t="s">
        <v>898</v>
      </c>
      <c r="D325" s="396">
        <v>5</v>
      </c>
      <c r="E325" s="385">
        <f t="shared" si="111"/>
        <v>222924</v>
      </c>
      <c r="F325" s="368">
        <v>156394</v>
      </c>
      <c r="G325" s="368">
        <v>66530</v>
      </c>
      <c r="H325" s="385">
        <f t="shared" si="112"/>
        <v>9178</v>
      </c>
      <c r="I325" s="371">
        <v>920</v>
      </c>
      <c r="J325" s="371">
        <v>0</v>
      </c>
      <c r="K325" s="371">
        <v>1138</v>
      </c>
      <c r="L325" s="371">
        <v>2405</v>
      </c>
      <c r="M325" s="371">
        <v>0</v>
      </c>
      <c r="N325" s="371">
        <v>4715</v>
      </c>
      <c r="O325" s="370">
        <v>0</v>
      </c>
      <c r="P325" s="386">
        <f t="shared" si="113"/>
        <v>112607</v>
      </c>
      <c r="Q325" s="371">
        <v>4217</v>
      </c>
      <c r="R325" s="371">
        <v>2058</v>
      </c>
      <c r="S325" s="371">
        <v>3093</v>
      </c>
      <c r="T325" s="371">
        <v>0</v>
      </c>
      <c r="U325" s="371">
        <v>4212</v>
      </c>
      <c r="V325" s="371">
        <v>0</v>
      </c>
      <c r="W325" s="371">
        <v>1960</v>
      </c>
      <c r="X325" s="371">
        <v>19400</v>
      </c>
      <c r="Y325" s="371">
        <v>14521</v>
      </c>
      <c r="Z325" s="371">
        <v>6295</v>
      </c>
      <c r="AA325" s="371">
        <v>56851</v>
      </c>
      <c r="AB325" s="371">
        <v>0</v>
      </c>
      <c r="AC325" s="371">
        <v>0</v>
      </c>
      <c r="AD325" s="371">
        <v>0</v>
      </c>
      <c r="AE325" s="371">
        <v>0</v>
      </c>
      <c r="AF325" s="385">
        <f t="shared" si="114"/>
        <v>101139</v>
      </c>
      <c r="AG325" s="371">
        <v>37681</v>
      </c>
      <c r="AH325" s="371">
        <v>63458</v>
      </c>
      <c r="AI325" s="387">
        <f t="shared" si="93"/>
        <v>0</v>
      </c>
    </row>
    <row r="326" spans="1:35" s="393" customFormat="1" ht="30.6" customHeight="1">
      <c r="A326" s="427" t="s">
        <v>906</v>
      </c>
      <c r="B326" s="428" t="s">
        <v>1175</v>
      </c>
      <c r="C326" s="395" t="s">
        <v>899</v>
      </c>
      <c r="D326" s="396">
        <v>5</v>
      </c>
      <c r="E326" s="385">
        <f t="shared" si="111"/>
        <v>353735</v>
      </c>
      <c r="F326" s="368">
        <v>353735</v>
      </c>
      <c r="G326" s="368">
        <v>0</v>
      </c>
      <c r="H326" s="385">
        <f t="shared" si="112"/>
        <v>172011</v>
      </c>
      <c r="I326" s="371">
        <v>27045</v>
      </c>
      <c r="J326" s="371">
        <v>0</v>
      </c>
      <c r="K326" s="371">
        <v>22860</v>
      </c>
      <c r="L326" s="371">
        <v>66125</v>
      </c>
      <c r="M326" s="371">
        <v>27094</v>
      </c>
      <c r="N326" s="371">
        <v>28887</v>
      </c>
      <c r="O326" s="370">
        <v>0</v>
      </c>
      <c r="P326" s="386">
        <f t="shared" si="113"/>
        <v>179702</v>
      </c>
      <c r="Q326" s="371">
        <v>20714</v>
      </c>
      <c r="R326" s="371">
        <v>10643</v>
      </c>
      <c r="S326" s="371">
        <v>17697</v>
      </c>
      <c r="T326" s="371">
        <v>22541</v>
      </c>
      <c r="U326" s="371">
        <v>19322</v>
      </c>
      <c r="V326" s="371">
        <v>11231</v>
      </c>
      <c r="W326" s="371">
        <v>17393</v>
      </c>
      <c r="X326" s="371">
        <v>10802</v>
      </c>
      <c r="Y326" s="371">
        <v>9391</v>
      </c>
      <c r="Z326" s="371">
        <v>15094</v>
      </c>
      <c r="AA326" s="371">
        <v>3268</v>
      </c>
      <c r="AB326" s="371">
        <v>5349</v>
      </c>
      <c r="AC326" s="371">
        <v>5096</v>
      </c>
      <c r="AD326" s="371">
        <v>11161</v>
      </c>
      <c r="AE326" s="371">
        <v>0</v>
      </c>
      <c r="AF326" s="385">
        <f t="shared" si="114"/>
        <v>2022</v>
      </c>
      <c r="AG326" s="371">
        <v>1718</v>
      </c>
      <c r="AH326" s="371">
        <v>304</v>
      </c>
      <c r="AI326" s="387">
        <f t="shared" ref="AI326:AI371" si="115">IF(+F326+G326=E326,0,FALSE)</f>
        <v>0</v>
      </c>
    </row>
    <row r="327" spans="1:35" s="393" customFormat="1" ht="24" customHeight="1">
      <c r="A327" s="427" t="s">
        <v>906</v>
      </c>
      <c r="B327" s="428" t="s">
        <v>181</v>
      </c>
      <c r="C327" s="395" t="s">
        <v>1176</v>
      </c>
      <c r="D327" s="396">
        <v>5</v>
      </c>
      <c r="E327" s="385">
        <f t="shared" si="111"/>
        <v>2326620</v>
      </c>
      <c r="F327" s="368">
        <v>2326620</v>
      </c>
      <c r="G327" s="368">
        <v>0</v>
      </c>
      <c r="H327" s="385">
        <f t="shared" si="112"/>
        <v>2326620</v>
      </c>
      <c r="I327" s="371">
        <v>0</v>
      </c>
      <c r="J327" s="371">
        <v>781200</v>
      </c>
      <c r="K327" s="371">
        <v>0</v>
      </c>
      <c r="L327" s="371">
        <v>0</v>
      </c>
      <c r="M327" s="371">
        <v>0</v>
      </c>
      <c r="N327" s="371">
        <v>1545420</v>
      </c>
      <c r="O327" s="370">
        <v>0</v>
      </c>
      <c r="P327" s="386">
        <f t="shared" si="113"/>
        <v>0</v>
      </c>
      <c r="Q327" s="371">
        <v>0</v>
      </c>
      <c r="R327" s="371">
        <v>0</v>
      </c>
      <c r="S327" s="371">
        <v>0</v>
      </c>
      <c r="T327" s="371">
        <v>0</v>
      </c>
      <c r="U327" s="371">
        <v>0</v>
      </c>
      <c r="V327" s="371">
        <v>0</v>
      </c>
      <c r="W327" s="371">
        <v>0</v>
      </c>
      <c r="X327" s="371">
        <v>0</v>
      </c>
      <c r="Y327" s="371">
        <v>0</v>
      </c>
      <c r="Z327" s="371">
        <v>0</v>
      </c>
      <c r="AA327" s="371">
        <v>0</v>
      </c>
      <c r="AB327" s="371">
        <v>0</v>
      </c>
      <c r="AC327" s="371">
        <v>0</v>
      </c>
      <c r="AD327" s="371">
        <v>0</v>
      </c>
      <c r="AE327" s="371">
        <v>0</v>
      </c>
      <c r="AF327" s="385">
        <f t="shared" si="114"/>
        <v>0</v>
      </c>
      <c r="AG327" s="371">
        <v>0</v>
      </c>
      <c r="AH327" s="371">
        <v>0</v>
      </c>
      <c r="AI327" s="387">
        <f t="shared" si="115"/>
        <v>0</v>
      </c>
    </row>
    <row r="328" spans="1:35" s="410" customFormat="1" ht="30" customHeight="1">
      <c r="A328" s="429" t="s">
        <v>906</v>
      </c>
      <c r="B328" s="430" t="s">
        <v>194</v>
      </c>
      <c r="C328" s="413" t="s">
        <v>195</v>
      </c>
      <c r="D328" s="414">
        <v>5</v>
      </c>
      <c r="E328" s="415">
        <f t="shared" si="111"/>
        <v>125132</v>
      </c>
      <c r="F328" s="415">
        <v>125132</v>
      </c>
      <c r="G328" s="415">
        <v>0</v>
      </c>
      <c r="H328" s="415">
        <f t="shared" si="112"/>
        <v>58903</v>
      </c>
      <c r="I328" s="415">
        <v>11063</v>
      </c>
      <c r="J328" s="415">
        <v>5382</v>
      </c>
      <c r="K328" s="415">
        <v>5382</v>
      </c>
      <c r="L328" s="415">
        <v>11512</v>
      </c>
      <c r="M328" s="415">
        <v>12259</v>
      </c>
      <c r="N328" s="415">
        <v>13305</v>
      </c>
      <c r="O328" s="416">
        <v>0</v>
      </c>
      <c r="P328" s="416">
        <f t="shared" si="113"/>
        <v>63239</v>
      </c>
      <c r="Q328" s="415">
        <v>3738</v>
      </c>
      <c r="R328" s="415">
        <v>4335</v>
      </c>
      <c r="S328" s="415">
        <v>5681</v>
      </c>
      <c r="T328" s="415">
        <v>8073</v>
      </c>
      <c r="U328" s="415">
        <v>4336</v>
      </c>
      <c r="V328" s="415">
        <v>6129</v>
      </c>
      <c r="W328" s="415">
        <v>5532</v>
      </c>
      <c r="X328" s="415">
        <v>10016</v>
      </c>
      <c r="Y328" s="415">
        <v>4934</v>
      </c>
      <c r="Z328" s="415">
        <v>4186</v>
      </c>
      <c r="AA328" s="415">
        <v>1794</v>
      </c>
      <c r="AB328" s="415">
        <v>2392</v>
      </c>
      <c r="AC328" s="415">
        <v>1196</v>
      </c>
      <c r="AD328" s="415">
        <v>897</v>
      </c>
      <c r="AE328" s="415">
        <v>0</v>
      </c>
      <c r="AF328" s="415">
        <f t="shared" si="114"/>
        <v>2990</v>
      </c>
      <c r="AG328" s="415">
        <v>1794</v>
      </c>
      <c r="AH328" s="415">
        <v>1196</v>
      </c>
      <c r="AI328" s="387">
        <f t="shared" si="115"/>
        <v>0</v>
      </c>
    </row>
    <row r="329" spans="1:35" s="410" customFormat="1" ht="26.1" customHeight="1">
      <c r="A329" s="405" t="s">
        <v>1114</v>
      </c>
      <c r="B329" s="406"/>
      <c r="C329" s="407"/>
      <c r="D329" s="408"/>
      <c r="E329" s="409">
        <f t="shared" ref="E329:AH329" si="116">SUM(E330:E342)</f>
        <v>17535246</v>
      </c>
      <c r="F329" s="409">
        <f t="shared" si="116"/>
        <v>17368719</v>
      </c>
      <c r="G329" s="409">
        <f t="shared" si="116"/>
        <v>166527</v>
      </c>
      <c r="H329" s="409">
        <f t="shared" si="116"/>
        <v>11108407</v>
      </c>
      <c r="I329" s="409">
        <f t="shared" si="116"/>
        <v>2437802</v>
      </c>
      <c r="J329" s="409">
        <f t="shared" si="116"/>
        <v>1428828</v>
      </c>
      <c r="K329" s="409">
        <f t="shared" si="116"/>
        <v>1392265</v>
      </c>
      <c r="L329" s="409">
        <f t="shared" si="116"/>
        <v>2097849</v>
      </c>
      <c r="M329" s="409">
        <f t="shared" si="116"/>
        <v>1412800</v>
      </c>
      <c r="N329" s="409">
        <f t="shared" si="116"/>
        <v>2338863</v>
      </c>
      <c r="O329" s="409">
        <f t="shared" si="116"/>
        <v>0</v>
      </c>
      <c r="P329" s="409">
        <f t="shared" si="116"/>
        <v>6328180</v>
      </c>
      <c r="Q329" s="409">
        <f t="shared" si="116"/>
        <v>381321</v>
      </c>
      <c r="R329" s="409">
        <f t="shared" si="116"/>
        <v>375544</v>
      </c>
      <c r="S329" s="409">
        <f t="shared" si="116"/>
        <v>489793</v>
      </c>
      <c r="T329" s="409">
        <f t="shared" si="116"/>
        <v>1081865</v>
      </c>
      <c r="U329" s="409">
        <f t="shared" si="116"/>
        <v>568967</v>
      </c>
      <c r="V329" s="409">
        <f t="shared" si="116"/>
        <v>684581</v>
      </c>
      <c r="W329" s="409">
        <f t="shared" si="116"/>
        <v>477571</v>
      </c>
      <c r="X329" s="409">
        <f t="shared" si="116"/>
        <v>901083</v>
      </c>
      <c r="Y329" s="409">
        <f t="shared" si="116"/>
        <v>265853</v>
      </c>
      <c r="Z329" s="409">
        <f t="shared" si="116"/>
        <v>319612</v>
      </c>
      <c r="AA329" s="409">
        <f t="shared" si="116"/>
        <v>111578</v>
      </c>
      <c r="AB329" s="409">
        <f t="shared" si="116"/>
        <v>234423</v>
      </c>
      <c r="AC329" s="409">
        <f t="shared" si="116"/>
        <v>253242</v>
      </c>
      <c r="AD329" s="409">
        <f t="shared" si="116"/>
        <v>180084</v>
      </c>
      <c r="AE329" s="409">
        <f t="shared" si="116"/>
        <v>2663</v>
      </c>
      <c r="AF329" s="409">
        <f t="shared" si="116"/>
        <v>98659</v>
      </c>
      <c r="AG329" s="409">
        <f t="shared" si="116"/>
        <v>91882</v>
      </c>
      <c r="AH329" s="409">
        <f t="shared" si="116"/>
        <v>6777</v>
      </c>
      <c r="AI329" s="387">
        <f t="shared" si="115"/>
        <v>0</v>
      </c>
    </row>
    <row r="330" spans="1:35" s="393" customFormat="1" ht="24" customHeight="1">
      <c r="A330" s="427" t="s">
        <v>906</v>
      </c>
      <c r="B330" s="428" t="s">
        <v>900</v>
      </c>
      <c r="C330" s="395" t="s">
        <v>699</v>
      </c>
      <c r="D330" s="396">
        <v>5</v>
      </c>
      <c r="E330" s="385">
        <f t="shared" ref="E330:E344" si="117">SUM(H330,P330,AF330)</f>
        <v>7633970</v>
      </c>
      <c r="F330" s="368">
        <v>7476826</v>
      </c>
      <c r="G330" s="368">
        <v>157144</v>
      </c>
      <c r="H330" s="385">
        <f t="shared" ref="H330:H344" si="118">SUM(I330:O330)</f>
        <v>4502632</v>
      </c>
      <c r="I330" s="371">
        <v>806900</v>
      </c>
      <c r="J330" s="371">
        <v>602372</v>
      </c>
      <c r="K330" s="371">
        <v>498539</v>
      </c>
      <c r="L330" s="371">
        <v>774509</v>
      </c>
      <c r="M330" s="371">
        <v>654202</v>
      </c>
      <c r="N330" s="371">
        <v>1166110</v>
      </c>
      <c r="O330" s="370">
        <v>0</v>
      </c>
      <c r="P330" s="386">
        <f t="shared" ref="P330:P344" si="119">SUM(Q330:AE330)</f>
        <v>3086189</v>
      </c>
      <c r="Q330" s="371">
        <v>182747</v>
      </c>
      <c r="R330" s="371">
        <v>158099</v>
      </c>
      <c r="S330" s="371">
        <v>251635</v>
      </c>
      <c r="T330" s="371">
        <v>469112</v>
      </c>
      <c r="U330" s="371">
        <v>304125</v>
      </c>
      <c r="V330" s="371">
        <v>373784</v>
      </c>
      <c r="W330" s="371">
        <v>269300</v>
      </c>
      <c r="X330" s="371">
        <v>507964</v>
      </c>
      <c r="Y330" s="371">
        <v>142227</v>
      </c>
      <c r="Z330" s="371">
        <v>152727</v>
      </c>
      <c r="AA330" s="371">
        <v>51634</v>
      </c>
      <c r="AB330" s="371">
        <v>90101</v>
      </c>
      <c r="AC330" s="371">
        <v>67050</v>
      </c>
      <c r="AD330" s="371">
        <v>65684</v>
      </c>
      <c r="AE330" s="371">
        <v>0</v>
      </c>
      <c r="AF330" s="385">
        <f t="shared" ref="AF330:AF344" si="120">SUM(AG330:AH330)</f>
        <v>45149</v>
      </c>
      <c r="AG330" s="371">
        <v>42250</v>
      </c>
      <c r="AH330" s="371">
        <v>2899</v>
      </c>
      <c r="AI330" s="387">
        <f t="shared" si="115"/>
        <v>0</v>
      </c>
    </row>
    <row r="331" spans="1:35" s="393" customFormat="1" ht="24" customHeight="1">
      <c r="A331" s="427" t="s">
        <v>906</v>
      </c>
      <c r="B331" s="428" t="s">
        <v>900</v>
      </c>
      <c r="C331" s="395" t="s">
        <v>192</v>
      </c>
      <c r="D331" s="396">
        <v>5</v>
      </c>
      <c r="E331" s="385">
        <f t="shared" si="117"/>
        <v>94492</v>
      </c>
      <c r="F331" s="368">
        <v>87772</v>
      </c>
      <c r="G331" s="368">
        <v>6720</v>
      </c>
      <c r="H331" s="385">
        <f t="shared" si="118"/>
        <v>61556</v>
      </c>
      <c r="I331" s="371">
        <v>9140</v>
      </c>
      <c r="J331" s="371">
        <v>595</v>
      </c>
      <c r="K331" s="371">
        <v>10842</v>
      </c>
      <c r="L331" s="371">
        <v>6804</v>
      </c>
      <c r="M331" s="371">
        <v>27498</v>
      </c>
      <c r="N331" s="371">
        <v>6677</v>
      </c>
      <c r="O331" s="370">
        <v>0</v>
      </c>
      <c r="P331" s="386">
        <f t="shared" si="119"/>
        <v>32129</v>
      </c>
      <c r="Q331" s="371">
        <v>2168</v>
      </c>
      <c r="R331" s="371">
        <v>1109</v>
      </c>
      <c r="S331" s="371">
        <v>2420</v>
      </c>
      <c r="T331" s="371">
        <v>3402</v>
      </c>
      <c r="U331" s="371">
        <v>2718</v>
      </c>
      <c r="V331" s="371">
        <v>1764</v>
      </c>
      <c r="W331" s="371">
        <v>2145</v>
      </c>
      <c r="X331" s="371">
        <v>5771</v>
      </c>
      <c r="Y331" s="371">
        <v>1512</v>
      </c>
      <c r="Z331" s="371">
        <v>1134</v>
      </c>
      <c r="AA331" s="371">
        <v>889</v>
      </c>
      <c r="AB331" s="371">
        <v>5486</v>
      </c>
      <c r="AC331" s="371">
        <v>857</v>
      </c>
      <c r="AD331" s="371">
        <v>754</v>
      </c>
      <c r="AE331" s="371">
        <v>0</v>
      </c>
      <c r="AF331" s="385">
        <f t="shared" si="120"/>
        <v>807</v>
      </c>
      <c r="AG331" s="371">
        <v>580</v>
      </c>
      <c r="AH331" s="371">
        <v>227</v>
      </c>
      <c r="AI331" s="387">
        <f t="shared" si="115"/>
        <v>0</v>
      </c>
    </row>
    <row r="332" spans="1:35" s="393" customFormat="1" ht="36.6" customHeight="1">
      <c r="A332" s="427" t="s">
        <v>906</v>
      </c>
      <c r="B332" s="428" t="s">
        <v>900</v>
      </c>
      <c r="C332" s="395" t="s">
        <v>901</v>
      </c>
      <c r="D332" s="396">
        <v>5</v>
      </c>
      <c r="E332" s="385">
        <f t="shared" si="117"/>
        <v>105732</v>
      </c>
      <c r="F332" s="368">
        <v>105732</v>
      </c>
      <c r="G332" s="368">
        <v>0</v>
      </c>
      <c r="H332" s="385">
        <f t="shared" si="118"/>
        <v>66894</v>
      </c>
      <c r="I332" s="371">
        <v>9000</v>
      </c>
      <c r="J332" s="371">
        <v>0</v>
      </c>
      <c r="K332" s="371">
        <v>11200</v>
      </c>
      <c r="L332" s="371">
        <v>8894</v>
      </c>
      <c r="M332" s="371">
        <v>7800</v>
      </c>
      <c r="N332" s="371">
        <v>30000</v>
      </c>
      <c r="O332" s="370">
        <v>0</v>
      </c>
      <c r="P332" s="386">
        <f t="shared" si="119"/>
        <v>38838</v>
      </c>
      <c r="Q332" s="371">
        <v>1160</v>
      </c>
      <c r="R332" s="371">
        <v>1000</v>
      </c>
      <c r="S332" s="371">
        <v>900</v>
      </c>
      <c r="T332" s="371">
        <v>5300</v>
      </c>
      <c r="U332" s="371">
        <v>5178</v>
      </c>
      <c r="V332" s="371">
        <v>4600</v>
      </c>
      <c r="W332" s="371">
        <v>3100</v>
      </c>
      <c r="X332" s="371">
        <v>5100</v>
      </c>
      <c r="Y332" s="371">
        <v>1100</v>
      </c>
      <c r="Z332" s="371">
        <v>1600</v>
      </c>
      <c r="AA332" s="371">
        <v>700</v>
      </c>
      <c r="AB332" s="371">
        <v>5600</v>
      </c>
      <c r="AC332" s="371">
        <v>1400</v>
      </c>
      <c r="AD332" s="371">
        <v>2100</v>
      </c>
      <c r="AE332" s="371">
        <v>0</v>
      </c>
      <c r="AF332" s="385">
        <f t="shared" si="120"/>
        <v>0</v>
      </c>
      <c r="AG332" s="371">
        <v>0</v>
      </c>
      <c r="AH332" s="371">
        <v>0</v>
      </c>
      <c r="AI332" s="387">
        <f t="shared" si="115"/>
        <v>0</v>
      </c>
    </row>
    <row r="333" spans="1:35" s="393" customFormat="1" ht="24" customHeight="1">
      <c r="A333" s="427" t="s">
        <v>906</v>
      </c>
      <c r="B333" s="428" t="s">
        <v>900</v>
      </c>
      <c r="C333" s="395" t="s">
        <v>117</v>
      </c>
      <c r="D333" s="396">
        <v>5</v>
      </c>
      <c r="E333" s="385">
        <f t="shared" si="117"/>
        <v>268200</v>
      </c>
      <c r="F333" s="368">
        <v>268200</v>
      </c>
      <c r="G333" s="368">
        <v>0</v>
      </c>
      <c r="H333" s="385">
        <f t="shared" si="118"/>
        <v>179288</v>
      </c>
      <c r="I333" s="371">
        <v>40039</v>
      </c>
      <c r="J333" s="371">
        <v>22000</v>
      </c>
      <c r="K333" s="371">
        <v>11569</v>
      </c>
      <c r="L333" s="371">
        <v>33259</v>
      </c>
      <c r="M333" s="371">
        <v>20463</v>
      </c>
      <c r="N333" s="371">
        <v>51958</v>
      </c>
      <c r="O333" s="370">
        <v>0</v>
      </c>
      <c r="P333" s="386">
        <f t="shared" si="119"/>
        <v>88725</v>
      </c>
      <c r="Q333" s="371">
        <v>3199</v>
      </c>
      <c r="R333" s="371">
        <v>2224</v>
      </c>
      <c r="S333" s="371">
        <v>4875</v>
      </c>
      <c r="T333" s="371">
        <v>11924</v>
      </c>
      <c r="U333" s="371">
        <v>11088</v>
      </c>
      <c r="V333" s="371">
        <v>10390</v>
      </c>
      <c r="W333" s="371">
        <v>9154</v>
      </c>
      <c r="X333" s="371">
        <v>11311</v>
      </c>
      <c r="Y333" s="371">
        <v>2516</v>
      </c>
      <c r="Z333" s="371">
        <v>3816</v>
      </c>
      <c r="AA333" s="371">
        <v>2376</v>
      </c>
      <c r="AB333" s="371">
        <v>6093</v>
      </c>
      <c r="AC333" s="371">
        <v>4770</v>
      </c>
      <c r="AD333" s="371">
        <v>4989</v>
      </c>
      <c r="AE333" s="371">
        <v>0</v>
      </c>
      <c r="AF333" s="385">
        <f t="shared" si="120"/>
        <v>187</v>
      </c>
      <c r="AG333" s="371">
        <v>100</v>
      </c>
      <c r="AH333" s="371">
        <v>87</v>
      </c>
      <c r="AI333" s="387">
        <f t="shared" si="115"/>
        <v>0</v>
      </c>
    </row>
    <row r="334" spans="1:35" s="393" customFormat="1" ht="33" customHeight="1">
      <c r="A334" s="427" t="s">
        <v>906</v>
      </c>
      <c r="B334" s="428" t="s">
        <v>900</v>
      </c>
      <c r="C334" s="395" t="s">
        <v>700</v>
      </c>
      <c r="D334" s="396">
        <v>5</v>
      </c>
      <c r="E334" s="385">
        <f t="shared" si="117"/>
        <v>1417116</v>
      </c>
      <c r="F334" s="368">
        <v>1417116</v>
      </c>
      <c r="G334" s="368">
        <v>0</v>
      </c>
      <c r="H334" s="385">
        <f t="shared" si="118"/>
        <v>845930</v>
      </c>
      <c r="I334" s="371">
        <v>194000</v>
      </c>
      <c r="J334" s="371">
        <v>75000</v>
      </c>
      <c r="K334" s="371">
        <v>83330</v>
      </c>
      <c r="L334" s="371">
        <v>159000</v>
      </c>
      <c r="M334" s="371">
        <v>134600</v>
      </c>
      <c r="N334" s="371">
        <v>200000</v>
      </c>
      <c r="O334" s="370">
        <v>0</v>
      </c>
      <c r="P334" s="386">
        <f t="shared" si="119"/>
        <v>568000</v>
      </c>
      <c r="Q334" s="371">
        <v>33700</v>
      </c>
      <c r="R334" s="371">
        <v>21500</v>
      </c>
      <c r="S334" s="371">
        <v>41000</v>
      </c>
      <c r="T334" s="371">
        <v>91600</v>
      </c>
      <c r="U334" s="371">
        <v>45400</v>
      </c>
      <c r="V334" s="371">
        <v>66700</v>
      </c>
      <c r="W334" s="371">
        <v>46500</v>
      </c>
      <c r="X334" s="371">
        <v>85000</v>
      </c>
      <c r="Y334" s="371">
        <v>28100</v>
      </c>
      <c r="Z334" s="371">
        <v>35500</v>
      </c>
      <c r="AA334" s="371">
        <v>10000</v>
      </c>
      <c r="AB334" s="371">
        <v>28000</v>
      </c>
      <c r="AC334" s="371">
        <v>17500</v>
      </c>
      <c r="AD334" s="371">
        <v>17500</v>
      </c>
      <c r="AE334" s="371">
        <v>0</v>
      </c>
      <c r="AF334" s="385">
        <f t="shared" si="120"/>
        <v>3186</v>
      </c>
      <c r="AG334" s="371">
        <v>3000</v>
      </c>
      <c r="AH334" s="371">
        <v>186</v>
      </c>
      <c r="AI334" s="387">
        <f t="shared" si="115"/>
        <v>0</v>
      </c>
    </row>
    <row r="335" spans="1:35" s="393" customFormat="1" ht="32.450000000000003" customHeight="1">
      <c r="A335" s="427" t="s">
        <v>906</v>
      </c>
      <c r="B335" s="428" t="s">
        <v>900</v>
      </c>
      <c r="C335" s="395" t="s">
        <v>701</v>
      </c>
      <c r="D335" s="396">
        <v>5</v>
      </c>
      <c r="E335" s="385">
        <f t="shared" si="117"/>
        <v>244800</v>
      </c>
      <c r="F335" s="368">
        <v>244800</v>
      </c>
      <c r="G335" s="368">
        <v>0</v>
      </c>
      <c r="H335" s="385">
        <f t="shared" si="118"/>
        <v>137134</v>
      </c>
      <c r="I335" s="371">
        <v>27936</v>
      </c>
      <c r="J335" s="371">
        <v>9408</v>
      </c>
      <c r="K335" s="371">
        <v>29428</v>
      </c>
      <c r="L335" s="371">
        <v>21795</v>
      </c>
      <c r="M335" s="371">
        <v>16055</v>
      </c>
      <c r="N335" s="371">
        <v>32512</v>
      </c>
      <c r="O335" s="370">
        <v>0</v>
      </c>
      <c r="P335" s="386">
        <f t="shared" si="119"/>
        <v>106869</v>
      </c>
      <c r="Q335" s="371">
        <v>3357</v>
      </c>
      <c r="R335" s="371">
        <v>6054</v>
      </c>
      <c r="S335" s="371">
        <v>8963</v>
      </c>
      <c r="T335" s="371">
        <v>25045</v>
      </c>
      <c r="U335" s="371">
        <v>14319</v>
      </c>
      <c r="V335" s="371">
        <v>10124</v>
      </c>
      <c r="W335" s="371">
        <v>6248</v>
      </c>
      <c r="X335" s="371">
        <v>11014</v>
      </c>
      <c r="Y335" s="371">
        <v>7496</v>
      </c>
      <c r="Z335" s="371">
        <v>5228</v>
      </c>
      <c r="AA335" s="371">
        <v>2403</v>
      </c>
      <c r="AB335" s="371">
        <v>4228</v>
      </c>
      <c r="AC335" s="371">
        <v>653</v>
      </c>
      <c r="AD335" s="371">
        <v>1737</v>
      </c>
      <c r="AE335" s="371">
        <v>0</v>
      </c>
      <c r="AF335" s="385">
        <f t="shared" si="120"/>
        <v>797</v>
      </c>
      <c r="AG335" s="371">
        <v>797</v>
      </c>
      <c r="AH335" s="371">
        <v>0</v>
      </c>
      <c r="AI335" s="387">
        <f t="shared" si="115"/>
        <v>0</v>
      </c>
    </row>
    <row r="336" spans="1:35" s="393" customFormat="1" ht="36.6" customHeight="1">
      <c r="A336" s="427" t="s">
        <v>906</v>
      </c>
      <c r="B336" s="428" t="s">
        <v>900</v>
      </c>
      <c r="C336" s="395" t="s">
        <v>705</v>
      </c>
      <c r="D336" s="396">
        <v>5</v>
      </c>
      <c r="E336" s="385">
        <f t="shared" si="117"/>
        <v>2663</v>
      </c>
      <c r="F336" s="368">
        <v>0</v>
      </c>
      <c r="G336" s="368">
        <v>2663</v>
      </c>
      <c r="H336" s="385">
        <f t="shared" si="118"/>
        <v>0</v>
      </c>
      <c r="I336" s="371">
        <v>0</v>
      </c>
      <c r="J336" s="371">
        <v>0</v>
      </c>
      <c r="K336" s="371">
        <v>0</v>
      </c>
      <c r="L336" s="371">
        <v>0</v>
      </c>
      <c r="M336" s="371">
        <v>0</v>
      </c>
      <c r="N336" s="371">
        <v>0</v>
      </c>
      <c r="O336" s="370">
        <v>0</v>
      </c>
      <c r="P336" s="386">
        <f t="shared" si="119"/>
        <v>2663</v>
      </c>
      <c r="Q336" s="371">
        <v>0</v>
      </c>
      <c r="R336" s="371">
        <v>0</v>
      </c>
      <c r="S336" s="371">
        <v>0</v>
      </c>
      <c r="T336" s="371">
        <v>0</v>
      </c>
      <c r="U336" s="371">
        <v>0</v>
      </c>
      <c r="V336" s="371">
        <v>0</v>
      </c>
      <c r="W336" s="371">
        <v>0</v>
      </c>
      <c r="X336" s="371"/>
      <c r="Y336" s="371">
        <v>0</v>
      </c>
      <c r="Z336" s="371">
        <v>0</v>
      </c>
      <c r="AA336" s="371">
        <v>0</v>
      </c>
      <c r="AB336" s="371">
        <v>0</v>
      </c>
      <c r="AC336" s="371">
        <v>0</v>
      </c>
      <c r="AD336" s="371">
        <v>0</v>
      </c>
      <c r="AE336" s="371">
        <v>2663</v>
      </c>
      <c r="AF336" s="385">
        <f t="shared" si="120"/>
        <v>0</v>
      </c>
      <c r="AG336" s="371">
        <v>0</v>
      </c>
      <c r="AH336" s="371">
        <v>0</v>
      </c>
      <c r="AI336" s="387">
        <f t="shared" si="115"/>
        <v>0</v>
      </c>
    </row>
    <row r="337" spans="1:35" s="393" customFormat="1" ht="24" customHeight="1">
      <c r="A337" s="427" t="s">
        <v>906</v>
      </c>
      <c r="B337" s="428" t="s">
        <v>900</v>
      </c>
      <c r="C337" s="395" t="s">
        <v>902</v>
      </c>
      <c r="D337" s="396">
        <v>5</v>
      </c>
      <c r="E337" s="385">
        <f t="shared" si="117"/>
        <v>68096</v>
      </c>
      <c r="F337" s="368">
        <v>68096</v>
      </c>
      <c r="G337" s="368">
        <v>0</v>
      </c>
      <c r="H337" s="385">
        <f t="shared" si="118"/>
        <v>52258</v>
      </c>
      <c r="I337" s="371">
        <v>22650</v>
      </c>
      <c r="J337" s="371">
        <v>758</v>
      </c>
      <c r="K337" s="371">
        <v>18016</v>
      </c>
      <c r="L337" s="371">
        <v>5621</v>
      </c>
      <c r="M337" s="371">
        <v>4195</v>
      </c>
      <c r="N337" s="371">
        <v>1018</v>
      </c>
      <c r="O337" s="370">
        <v>0</v>
      </c>
      <c r="P337" s="386">
        <f t="shared" si="119"/>
        <v>15838</v>
      </c>
      <c r="Q337" s="371">
        <v>1299</v>
      </c>
      <c r="R337" s="371">
        <v>3255</v>
      </c>
      <c r="S337" s="371">
        <v>1056</v>
      </c>
      <c r="T337" s="371">
        <v>569</v>
      </c>
      <c r="U337" s="371">
        <v>394</v>
      </c>
      <c r="V337" s="371">
        <v>636</v>
      </c>
      <c r="W337" s="371">
        <v>557</v>
      </c>
      <c r="X337" s="371">
        <v>557</v>
      </c>
      <c r="Y337" s="371">
        <v>487</v>
      </c>
      <c r="Z337" s="371">
        <v>557</v>
      </c>
      <c r="AA337" s="371">
        <v>0</v>
      </c>
      <c r="AB337" s="371">
        <v>576</v>
      </c>
      <c r="AC337" s="371">
        <v>5895</v>
      </c>
      <c r="AD337" s="371">
        <v>0</v>
      </c>
      <c r="AE337" s="371">
        <v>0</v>
      </c>
      <c r="AF337" s="385">
        <f t="shared" si="120"/>
        <v>0</v>
      </c>
      <c r="AG337" s="371">
        <v>0</v>
      </c>
      <c r="AH337" s="371">
        <v>0</v>
      </c>
      <c r="AI337" s="387">
        <f t="shared" si="115"/>
        <v>0</v>
      </c>
    </row>
    <row r="338" spans="1:35" s="393" customFormat="1" ht="36.950000000000003" customHeight="1">
      <c r="A338" s="427" t="s">
        <v>906</v>
      </c>
      <c r="B338" s="428" t="s">
        <v>900</v>
      </c>
      <c r="C338" s="395" t="s">
        <v>903</v>
      </c>
      <c r="D338" s="396">
        <v>5</v>
      </c>
      <c r="E338" s="385">
        <f t="shared" si="117"/>
        <v>678848</v>
      </c>
      <c r="F338" s="368">
        <v>678848</v>
      </c>
      <c r="G338" s="368">
        <v>0</v>
      </c>
      <c r="H338" s="385">
        <f t="shared" si="118"/>
        <v>427341</v>
      </c>
      <c r="I338" s="371">
        <v>102492</v>
      </c>
      <c r="J338" s="371">
        <v>26119</v>
      </c>
      <c r="K338" s="371">
        <v>64130</v>
      </c>
      <c r="L338" s="371">
        <v>107039</v>
      </c>
      <c r="M338" s="371">
        <v>43259</v>
      </c>
      <c r="N338" s="371">
        <v>84302</v>
      </c>
      <c r="O338" s="370">
        <v>0</v>
      </c>
      <c r="P338" s="386">
        <f t="shared" si="119"/>
        <v>249525</v>
      </c>
      <c r="Q338" s="371">
        <v>8628</v>
      </c>
      <c r="R338" s="371">
        <v>11077</v>
      </c>
      <c r="S338" s="371">
        <v>17257</v>
      </c>
      <c r="T338" s="371">
        <v>51071</v>
      </c>
      <c r="U338" s="371">
        <v>35913</v>
      </c>
      <c r="V338" s="371">
        <v>15974</v>
      </c>
      <c r="W338" s="371">
        <v>11777</v>
      </c>
      <c r="X338" s="371">
        <v>46407</v>
      </c>
      <c r="Y338" s="371">
        <v>13176</v>
      </c>
      <c r="Z338" s="371">
        <v>13176</v>
      </c>
      <c r="AA338" s="371">
        <v>8396</v>
      </c>
      <c r="AB338" s="371">
        <v>6296</v>
      </c>
      <c r="AC338" s="371">
        <v>6063</v>
      </c>
      <c r="AD338" s="371">
        <v>4314</v>
      </c>
      <c r="AE338" s="371">
        <v>0</v>
      </c>
      <c r="AF338" s="385">
        <f t="shared" si="120"/>
        <v>1982</v>
      </c>
      <c r="AG338" s="371">
        <v>1749</v>
      </c>
      <c r="AH338" s="371">
        <v>233</v>
      </c>
      <c r="AI338" s="387">
        <f t="shared" si="115"/>
        <v>0</v>
      </c>
    </row>
    <row r="339" spans="1:35" s="393" customFormat="1" ht="31.5" customHeight="1">
      <c r="A339" s="427" t="s">
        <v>906</v>
      </c>
      <c r="B339" s="428" t="s">
        <v>900</v>
      </c>
      <c r="C339" s="395" t="s">
        <v>432</v>
      </c>
      <c r="D339" s="396">
        <v>5</v>
      </c>
      <c r="E339" s="385">
        <f t="shared" si="117"/>
        <v>5013986</v>
      </c>
      <c r="F339" s="368">
        <v>5013986</v>
      </c>
      <c r="G339" s="368">
        <v>0</v>
      </c>
      <c r="H339" s="385">
        <f t="shared" si="118"/>
        <v>3340232</v>
      </c>
      <c r="I339" s="371">
        <v>817879</v>
      </c>
      <c r="J339" s="371">
        <v>462058</v>
      </c>
      <c r="K339" s="371">
        <v>482958</v>
      </c>
      <c r="L339" s="371">
        <v>641015</v>
      </c>
      <c r="M339" s="371">
        <v>361477</v>
      </c>
      <c r="N339" s="371">
        <v>574845</v>
      </c>
      <c r="O339" s="370">
        <v>0</v>
      </c>
      <c r="P339" s="386">
        <f t="shared" si="119"/>
        <v>1634362</v>
      </c>
      <c r="Q339" s="371">
        <v>108798</v>
      </c>
      <c r="R339" s="371">
        <v>104286</v>
      </c>
      <c r="S339" s="371">
        <v>116022</v>
      </c>
      <c r="T339" s="371">
        <v>334581</v>
      </c>
      <c r="U339" s="371">
        <v>121933</v>
      </c>
      <c r="V339" s="371">
        <v>164518</v>
      </c>
      <c r="W339" s="371">
        <v>107071</v>
      </c>
      <c r="X339" s="371">
        <v>195718</v>
      </c>
      <c r="Y339" s="371">
        <v>55469</v>
      </c>
      <c r="Z339" s="371">
        <v>86202</v>
      </c>
      <c r="AA339" s="371">
        <v>31480</v>
      </c>
      <c r="AB339" s="371">
        <v>63253</v>
      </c>
      <c r="AC339" s="371">
        <v>83395</v>
      </c>
      <c r="AD339" s="371">
        <v>61636</v>
      </c>
      <c r="AE339" s="371">
        <v>0</v>
      </c>
      <c r="AF339" s="385">
        <f t="shared" si="120"/>
        <v>39392</v>
      </c>
      <c r="AG339" s="371">
        <v>36950</v>
      </c>
      <c r="AH339" s="371">
        <v>2442</v>
      </c>
      <c r="AI339" s="387">
        <f t="shared" si="115"/>
        <v>0</v>
      </c>
    </row>
    <row r="340" spans="1:35" s="393" customFormat="1" ht="24" customHeight="1">
      <c r="A340" s="427" t="s">
        <v>906</v>
      </c>
      <c r="B340" s="428" t="s">
        <v>900</v>
      </c>
      <c r="C340" s="395" t="s">
        <v>904</v>
      </c>
      <c r="D340" s="396">
        <v>5</v>
      </c>
      <c r="E340" s="385">
        <f t="shared" si="117"/>
        <v>1792483</v>
      </c>
      <c r="F340" s="368">
        <v>1792483</v>
      </c>
      <c r="G340" s="368">
        <v>0</v>
      </c>
      <c r="H340" s="385">
        <f t="shared" si="118"/>
        <v>1355614</v>
      </c>
      <c r="I340" s="371">
        <v>375559</v>
      </c>
      <c r="J340" s="371">
        <v>209089</v>
      </c>
      <c r="K340" s="371">
        <v>164027</v>
      </c>
      <c r="L340" s="371">
        <v>312867</v>
      </c>
      <c r="M340" s="371">
        <v>124921</v>
      </c>
      <c r="N340" s="371">
        <v>169151</v>
      </c>
      <c r="O340" s="370">
        <v>0</v>
      </c>
      <c r="P340" s="386">
        <f t="shared" si="119"/>
        <v>430924</v>
      </c>
      <c r="Q340" s="371">
        <v>30668</v>
      </c>
      <c r="R340" s="371">
        <v>60627</v>
      </c>
      <c r="S340" s="371">
        <v>38282</v>
      </c>
      <c r="T340" s="371">
        <v>76349</v>
      </c>
      <c r="U340" s="371">
        <v>23114</v>
      </c>
      <c r="V340" s="371">
        <v>29010</v>
      </c>
      <c r="W340" s="371">
        <v>16343</v>
      </c>
      <c r="X340" s="371">
        <v>23945</v>
      </c>
      <c r="Y340" s="371">
        <v>11385</v>
      </c>
      <c r="Z340" s="371">
        <v>16644</v>
      </c>
      <c r="AA340" s="371">
        <v>2864</v>
      </c>
      <c r="AB340" s="371">
        <v>21872</v>
      </c>
      <c r="AC340" s="371">
        <v>61003</v>
      </c>
      <c r="AD340" s="371">
        <v>18818</v>
      </c>
      <c r="AE340" s="371">
        <v>0</v>
      </c>
      <c r="AF340" s="385">
        <f t="shared" si="120"/>
        <v>5945</v>
      </c>
      <c r="AG340" s="371">
        <v>5403</v>
      </c>
      <c r="AH340" s="371">
        <v>542</v>
      </c>
      <c r="AI340" s="387">
        <f t="shared" si="115"/>
        <v>0</v>
      </c>
    </row>
    <row r="341" spans="1:35" s="393" customFormat="1" ht="24" customHeight="1">
      <c r="A341" s="427" t="s">
        <v>906</v>
      </c>
      <c r="B341" s="428" t="s">
        <v>900</v>
      </c>
      <c r="C341" s="395" t="s">
        <v>703</v>
      </c>
      <c r="D341" s="396">
        <v>5</v>
      </c>
      <c r="E341" s="385">
        <f t="shared" si="117"/>
        <v>48780</v>
      </c>
      <c r="F341" s="368">
        <v>48780</v>
      </c>
      <c r="G341" s="368">
        <v>0</v>
      </c>
      <c r="H341" s="385">
        <f t="shared" si="118"/>
        <v>25069</v>
      </c>
      <c r="I341" s="371">
        <v>4136</v>
      </c>
      <c r="J341" s="371">
        <v>2307</v>
      </c>
      <c r="K341" s="371">
        <v>3339</v>
      </c>
      <c r="L341" s="371">
        <v>7643</v>
      </c>
      <c r="M341" s="371">
        <v>5000</v>
      </c>
      <c r="N341" s="371">
        <v>2644</v>
      </c>
      <c r="O341" s="370">
        <v>0</v>
      </c>
      <c r="P341" s="386">
        <f t="shared" si="119"/>
        <v>23524</v>
      </c>
      <c r="Q341" s="371">
        <v>2358</v>
      </c>
      <c r="R341" s="371">
        <v>2481</v>
      </c>
      <c r="S341" s="371">
        <v>3396</v>
      </c>
      <c r="T341" s="371">
        <v>3799</v>
      </c>
      <c r="U341" s="371">
        <v>1183</v>
      </c>
      <c r="V341" s="371">
        <v>2135</v>
      </c>
      <c r="W341" s="371">
        <v>1701</v>
      </c>
      <c r="X341" s="371">
        <v>2349</v>
      </c>
      <c r="Y341" s="371">
        <v>813</v>
      </c>
      <c r="Z341" s="371">
        <v>681</v>
      </c>
      <c r="AA341" s="371">
        <v>113</v>
      </c>
      <c r="AB341" s="371">
        <v>287</v>
      </c>
      <c r="AC341" s="371">
        <v>1587</v>
      </c>
      <c r="AD341" s="371">
        <v>641</v>
      </c>
      <c r="AE341" s="371">
        <v>0</v>
      </c>
      <c r="AF341" s="385">
        <f t="shared" si="120"/>
        <v>187</v>
      </c>
      <c r="AG341" s="371">
        <v>114</v>
      </c>
      <c r="AH341" s="371">
        <v>73</v>
      </c>
      <c r="AI341" s="387">
        <f t="shared" si="115"/>
        <v>0</v>
      </c>
    </row>
    <row r="342" spans="1:35" s="393" customFormat="1" ht="24" customHeight="1">
      <c r="A342" s="427" t="s">
        <v>906</v>
      </c>
      <c r="B342" s="428" t="s">
        <v>900</v>
      </c>
      <c r="C342" s="395" t="s">
        <v>704</v>
      </c>
      <c r="D342" s="396">
        <v>5</v>
      </c>
      <c r="E342" s="385">
        <f t="shared" si="117"/>
        <v>166080</v>
      </c>
      <c r="F342" s="368">
        <v>166080</v>
      </c>
      <c r="G342" s="368">
        <v>0</v>
      </c>
      <c r="H342" s="385">
        <f t="shared" si="118"/>
        <v>114459</v>
      </c>
      <c r="I342" s="371">
        <v>28071</v>
      </c>
      <c r="J342" s="371">
        <v>19122</v>
      </c>
      <c r="K342" s="371">
        <v>14887</v>
      </c>
      <c r="L342" s="371">
        <v>19403</v>
      </c>
      <c r="M342" s="371">
        <v>13330</v>
      </c>
      <c r="N342" s="371">
        <v>19646</v>
      </c>
      <c r="O342" s="370">
        <v>0</v>
      </c>
      <c r="P342" s="386">
        <f t="shared" si="119"/>
        <v>50594</v>
      </c>
      <c r="Q342" s="371">
        <v>3239</v>
      </c>
      <c r="R342" s="371">
        <v>3832</v>
      </c>
      <c r="S342" s="371">
        <v>3987</v>
      </c>
      <c r="T342" s="371">
        <v>9113</v>
      </c>
      <c r="U342" s="371">
        <v>3602</v>
      </c>
      <c r="V342" s="371">
        <v>4946</v>
      </c>
      <c r="W342" s="371">
        <v>3675</v>
      </c>
      <c r="X342" s="371">
        <v>5947</v>
      </c>
      <c r="Y342" s="371">
        <v>1572</v>
      </c>
      <c r="Z342" s="371">
        <v>2347</v>
      </c>
      <c r="AA342" s="371">
        <v>723</v>
      </c>
      <c r="AB342" s="371">
        <v>2631</v>
      </c>
      <c r="AC342" s="371">
        <v>3069</v>
      </c>
      <c r="AD342" s="371">
        <v>1911</v>
      </c>
      <c r="AE342" s="371">
        <v>0</v>
      </c>
      <c r="AF342" s="385">
        <f t="shared" si="120"/>
        <v>1027</v>
      </c>
      <c r="AG342" s="371">
        <v>939</v>
      </c>
      <c r="AH342" s="371">
        <v>88</v>
      </c>
      <c r="AI342" s="387">
        <f t="shared" si="115"/>
        <v>0</v>
      </c>
    </row>
    <row r="343" spans="1:35" s="410" customFormat="1" ht="27.95" customHeight="1">
      <c r="A343" s="429" t="s">
        <v>906</v>
      </c>
      <c r="B343" s="430" t="s">
        <v>196</v>
      </c>
      <c r="C343" s="413" t="s">
        <v>706</v>
      </c>
      <c r="D343" s="414">
        <v>5</v>
      </c>
      <c r="E343" s="415">
        <f t="shared" si="117"/>
        <v>8000</v>
      </c>
      <c r="F343" s="415">
        <v>8000</v>
      </c>
      <c r="G343" s="415">
        <v>0</v>
      </c>
      <c r="H343" s="415">
        <f t="shared" si="118"/>
        <v>2188</v>
      </c>
      <c r="I343" s="505">
        <v>495</v>
      </c>
      <c r="J343" s="505">
        <v>0</v>
      </c>
      <c r="K343" s="415">
        <v>438</v>
      </c>
      <c r="L343" s="415">
        <v>408</v>
      </c>
      <c r="M343" s="415">
        <v>381</v>
      </c>
      <c r="N343" s="415">
        <v>466</v>
      </c>
      <c r="O343" s="416">
        <v>0</v>
      </c>
      <c r="P343" s="416">
        <f t="shared" si="119"/>
        <v>5235</v>
      </c>
      <c r="Q343" s="415">
        <v>401</v>
      </c>
      <c r="R343" s="415">
        <v>320</v>
      </c>
      <c r="S343" s="415">
        <v>333</v>
      </c>
      <c r="T343" s="415">
        <v>432</v>
      </c>
      <c r="U343" s="415">
        <v>395</v>
      </c>
      <c r="V343" s="415">
        <v>458</v>
      </c>
      <c r="W343" s="415">
        <v>384</v>
      </c>
      <c r="X343" s="415">
        <v>357</v>
      </c>
      <c r="Y343" s="415">
        <v>405</v>
      </c>
      <c r="Z343" s="415">
        <v>309</v>
      </c>
      <c r="AA343" s="415">
        <v>286</v>
      </c>
      <c r="AB343" s="415">
        <v>343</v>
      </c>
      <c r="AC343" s="415">
        <v>349</v>
      </c>
      <c r="AD343" s="415">
        <v>463</v>
      </c>
      <c r="AE343" s="415">
        <v>0</v>
      </c>
      <c r="AF343" s="415">
        <f t="shared" si="120"/>
        <v>577</v>
      </c>
      <c r="AG343" s="415">
        <v>315</v>
      </c>
      <c r="AH343" s="415">
        <v>262</v>
      </c>
      <c r="AI343" s="387">
        <f t="shared" si="115"/>
        <v>0</v>
      </c>
    </row>
    <row r="344" spans="1:35" s="410" customFormat="1" ht="24" customHeight="1">
      <c r="A344" s="429" t="s">
        <v>906</v>
      </c>
      <c r="B344" s="430" t="s">
        <v>587</v>
      </c>
      <c r="C344" s="413" t="s">
        <v>905</v>
      </c>
      <c r="D344" s="414">
        <v>9</v>
      </c>
      <c r="E344" s="415">
        <f t="shared" si="117"/>
        <v>75526</v>
      </c>
      <c r="F344" s="415">
        <v>75526</v>
      </c>
      <c r="G344" s="415">
        <v>0</v>
      </c>
      <c r="H344" s="415">
        <f t="shared" si="118"/>
        <v>38798</v>
      </c>
      <c r="I344" s="505">
        <v>4617</v>
      </c>
      <c r="J344" s="505">
        <v>0</v>
      </c>
      <c r="K344" s="415">
        <v>4230</v>
      </c>
      <c r="L344" s="415">
        <v>4453</v>
      </c>
      <c r="M344" s="415">
        <v>11818</v>
      </c>
      <c r="N344" s="415">
        <v>13680</v>
      </c>
      <c r="O344" s="416">
        <v>0</v>
      </c>
      <c r="P344" s="416">
        <f t="shared" si="119"/>
        <v>36139</v>
      </c>
      <c r="Q344" s="415">
        <v>2726</v>
      </c>
      <c r="R344" s="415">
        <v>1791</v>
      </c>
      <c r="S344" s="415">
        <v>2479</v>
      </c>
      <c r="T344" s="415">
        <v>3032</v>
      </c>
      <c r="U344" s="415">
        <v>2235</v>
      </c>
      <c r="V344" s="415">
        <v>2709</v>
      </c>
      <c r="W344" s="415">
        <v>3277</v>
      </c>
      <c r="X344" s="415">
        <v>8304</v>
      </c>
      <c r="Y344" s="415">
        <v>1715</v>
      </c>
      <c r="Z344" s="415">
        <v>1472</v>
      </c>
      <c r="AA344" s="415">
        <v>1351</v>
      </c>
      <c r="AB344" s="415">
        <v>1685</v>
      </c>
      <c r="AC344" s="415">
        <v>1441</v>
      </c>
      <c r="AD344" s="415">
        <v>1922</v>
      </c>
      <c r="AE344" s="415">
        <v>0</v>
      </c>
      <c r="AF344" s="415">
        <f t="shared" si="120"/>
        <v>589</v>
      </c>
      <c r="AG344" s="415">
        <v>255</v>
      </c>
      <c r="AH344" s="415">
        <v>334</v>
      </c>
      <c r="AI344" s="387">
        <f t="shared" si="115"/>
        <v>0</v>
      </c>
    </row>
    <row r="345" spans="1:35" s="404" customFormat="1" ht="24" customHeight="1">
      <c r="A345" s="398" t="s">
        <v>891</v>
      </c>
      <c r="B345" s="399"/>
      <c r="C345" s="400"/>
      <c r="D345" s="401"/>
      <c r="E345" s="402">
        <f t="shared" ref="E345:AH345" si="121">SUM(E346:E348)</f>
        <v>1937474</v>
      </c>
      <c r="F345" s="402">
        <f t="shared" si="121"/>
        <v>530008</v>
      </c>
      <c r="G345" s="402">
        <f t="shared" si="121"/>
        <v>1407466</v>
      </c>
      <c r="H345" s="402">
        <f t="shared" si="121"/>
        <v>877520</v>
      </c>
      <c r="I345" s="402">
        <f t="shared" si="121"/>
        <v>48939</v>
      </c>
      <c r="J345" s="402">
        <f t="shared" si="121"/>
        <v>0</v>
      </c>
      <c r="K345" s="402">
        <f t="shared" si="121"/>
        <v>215809</v>
      </c>
      <c r="L345" s="402">
        <f t="shared" si="121"/>
        <v>273573</v>
      </c>
      <c r="M345" s="402">
        <f t="shared" si="121"/>
        <v>200201</v>
      </c>
      <c r="N345" s="402">
        <f t="shared" si="121"/>
        <v>137156</v>
      </c>
      <c r="O345" s="402">
        <f t="shared" si="121"/>
        <v>1842</v>
      </c>
      <c r="P345" s="402">
        <f t="shared" si="121"/>
        <v>915947</v>
      </c>
      <c r="Q345" s="402">
        <f t="shared" si="121"/>
        <v>9231</v>
      </c>
      <c r="R345" s="402">
        <f t="shared" si="121"/>
        <v>35272</v>
      </c>
      <c r="S345" s="402">
        <f t="shared" si="121"/>
        <v>183226</v>
      </c>
      <c r="T345" s="402">
        <f t="shared" si="121"/>
        <v>32793</v>
      </c>
      <c r="U345" s="402">
        <f t="shared" si="121"/>
        <v>71106</v>
      </c>
      <c r="V345" s="402">
        <f t="shared" si="121"/>
        <v>81334</v>
      </c>
      <c r="W345" s="402">
        <f t="shared" si="121"/>
        <v>30603</v>
      </c>
      <c r="X345" s="402">
        <f t="shared" si="121"/>
        <v>41555</v>
      </c>
      <c r="Y345" s="402">
        <f t="shared" si="121"/>
        <v>107882</v>
      </c>
      <c r="Z345" s="402">
        <f t="shared" si="121"/>
        <v>70964</v>
      </c>
      <c r="AA345" s="402">
        <f t="shared" si="121"/>
        <v>130578</v>
      </c>
      <c r="AB345" s="402">
        <f t="shared" si="121"/>
        <v>8450</v>
      </c>
      <c r="AC345" s="402">
        <f t="shared" si="121"/>
        <v>24905</v>
      </c>
      <c r="AD345" s="402">
        <f t="shared" si="121"/>
        <v>1105</v>
      </c>
      <c r="AE345" s="402">
        <f t="shared" si="121"/>
        <v>86943</v>
      </c>
      <c r="AF345" s="402">
        <f t="shared" si="121"/>
        <v>144007</v>
      </c>
      <c r="AG345" s="402">
        <f t="shared" si="121"/>
        <v>89316</v>
      </c>
      <c r="AH345" s="402">
        <f t="shared" si="121"/>
        <v>54691</v>
      </c>
      <c r="AI345" s="387">
        <f t="shared" si="115"/>
        <v>0</v>
      </c>
    </row>
    <row r="346" spans="1:35" s="393" customFormat="1" ht="30" customHeight="1">
      <c r="A346" s="397" t="s">
        <v>890</v>
      </c>
      <c r="B346" s="394" t="s">
        <v>479</v>
      </c>
      <c r="C346" s="395" t="s">
        <v>480</v>
      </c>
      <c r="D346" s="396">
        <v>6</v>
      </c>
      <c r="E346" s="385">
        <f>SUM(H346,P346,AF346)</f>
        <v>446280</v>
      </c>
      <c r="F346" s="368">
        <v>56600</v>
      </c>
      <c r="G346" s="368">
        <v>389680</v>
      </c>
      <c r="H346" s="385">
        <f>SUM(I346:O346)</f>
        <v>327308</v>
      </c>
      <c r="I346" s="371">
        <v>6740</v>
      </c>
      <c r="J346" s="506">
        <v>0</v>
      </c>
      <c r="K346" s="371">
        <v>55767</v>
      </c>
      <c r="L346" s="371">
        <v>86719</v>
      </c>
      <c r="M346" s="371">
        <v>131000</v>
      </c>
      <c r="N346" s="371">
        <v>45311</v>
      </c>
      <c r="O346" s="370">
        <v>1771</v>
      </c>
      <c r="P346" s="386">
        <f>SUM(Q346:AE346)</f>
        <v>107504</v>
      </c>
      <c r="Q346" s="371">
        <v>2115</v>
      </c>
      <c r="R346" s="371">
        <v>3362</v>
      </c>
      <c r="S346" s="371">
        <v>627</v>
      </c>
      <c r="T346" s="371">
        <v>5890</v>
      </c>
      <c r="U346" s="371">
        <v>507</v>
      </c>
      <c r="V346" s="371">
        <v>48645</v>
      </c>
      <c r="W346" s="371">
        <v>4723</v>
      </c>
      <c r="X346" s="371">
        <v>17002</v>
      </c>
      <c r="Y346" s="371">
        <v>3814</v>
      </c>
      <c r="Z346" s="371">
        <v>4886</v>
      </c>
      <c r="AA346" s="371">
        <v>1600</v>
      </c>
      <c r="AB346" s="371">
        <v>1082</v>
      </c>
      <c r="AC346" s="371">
        <v>8409</v>
      </c>
      <c r="AD346" s="371">
        <v>108</v>
      </c>
      <c r="AE346" s="371">
        <v>4734</v>
      </c>
      <c r="AF346" s="385">
        <f>SUM(AG346:AH346)</f>
        <v>11468</v>
      </c>
      <c r="AG346" s="371">
        <v>7468</v>
      </c>
      <c r="AH346" s="371">
        <v>4000</v>
      </c>
      <c r="AI346" s="387">
        <f t="shared" si="115"/>
        <v>0</v>
      </c>
    </row>
    <row r="347" spans="1:35" s="393" customFormat="1" ht="33.950000000000003" customHeight="1">
      <c r="A347" s="397" t="s">
        <v>890</v>
      </c>
      <c r="B347" s="394" t="s">
        <v>479</v>
      </c>
      <c r="C347" s="395" t="s">
        <v>481</v>
      </c>
      <c r="D347" s="396">
        <v>6</v>
      </c>
      <c r="E347" s="385">
        <f>SUM(H347,P347,AF347)</f>
        <v>1294023</v>
      </c>
      <c r="F347" s="368">
        <v>452808</v>
      </c>
      <c r="G347" s="368">
        <v>841215</v>
      </c>
      <c r="H347" s="385">
        <f>SUM(I347:O347)</f>
        <v>481641</v>
      </c>
      <c r="I347" s="371">
        <v>22699</v>
      </c>
      <c r="K347" s="506">
        <v>155042</v>
      </c>
      <c r="L347" s="371">
        <v>167354</v>
      </c>
      <c r="M347" s="371">
        <v>49701</v>
      </c>
      <c r="N347" s="371">
        <v>86845</v>
      </c>
      <c r="O347" s="371">
        <v>0</v>
      </c>
      <c r="P347" s="386">
        <f>SUM(Q347:AE347)</f>
        <v>683843</v>
      </c>
      <c r="Q347" s="371">
        <v>5116</v>
      </c>
      <c r="R347" s="371">
        <v>26710</v>
      </c>
      <c r="S347" s="371">
        <v>178599</v>
      </c>
      <c r="T347" s="371">
        <v>18903</v>
      </c>
      <c r="U347" s="371">
        <v>64599</v>
      </c>
      <c r="V347" s="371">
        <v>4489</v>
      </c>
      <c r="W347" s="371">
        <v>14880</v>
      </c>
      <c r="X347" s="371">
        <v>15553</v>
      </c>
      <c r="Y347" s="371">
        <v>78068</v>
      </c>
      <c r="Z347" s="371">
        <v>62078</v>
      </c>
      <c r="AA347" s="371">
        <v>126978</v>
      </c>
      <c r="AB347" s="371">
        <v>2368</v>
      </c>
      <c r="AC347" s="371">
        <v>11496</v>
      </c>
      <c r="AD347" s="371">
        <v>997</v>
      </c>
      <c r="AE347" s="371">
        <v>73009</v>
      </c>
      <c r="AF347" s="385">
        <f>SUM(AG347:AH347)</f>
        <v>128539</v>
      </c>
      <c r="AG347" s="371">
        <v>81848</v>
      </c>
      <c r="AH347" s="371">
        <v>46691</v>
      </c>
      <c r="AI347" s="387">
        <f t="shared" si="115"/>
        <v>0</v>
      </c>
    </row>
    <row r="348" spans="1:35" s="393" customFormat="1" ht="31.5" customHeight="1">
      <c r="A348" s="397" t="s">
        <v>890</v>
      </c>
      <c r="B348" s="394" t="s">
        <v>479</v>
      </c>
      <c r="C348" s="395" t="s">
        <v>707</v>
      </c>
      <c r="D348" s="396">
        <v>6</v>
      </c>
      <c r="E348" s="385">
        <f>SUM(H348,P348,AF348)</f>
        <v>197171</v>
      </c>
      <c r="F348" s="368">
        <v>20600</v>
      </c>
      <c r="G348" s="368">
        <v>176571</v>
      </c>
      <c r="H348" s="385">
        <f>SUM(I348:O348)</f>
        <v>68571</v>
      </c>
      <c r="I348" s="371">
        <v>19500</v>
      </c>
      <c r="K348" s="506">
        <v>5000</v>
      </c>
      <c r="L348" s="371">
        <v>19500</v>
      </c>
      <c r="M348" s="371">
        <v>19500</v>
      </c>
      <c r="N348" s="371">
        <v>5000</v>
      </c>
      <c r="O348" s="371">
        <v>71</v>
      </c>
      <c r="P348" s="386">
        <f>SUM(Q348:AE348)</f>
        <v>124600</v>
      </c>
      <c r="Q348" s="371">
        <v>2000</v>
      </c>
      <c r="R348" s="371">
        <v>5200</v>
      </c>
      <c r="S348" s="371">
        <v>4000</v>
      </c>
      <c r="T348" s="371">
        <v>8000</v>
      </c>
      <c r="U348" s="371">
        <v>6000</v>
      </c>
      <c r="V348" s="371">
        <v>28200</v>
      </c>
      <c r="W348" s="371">
        <v>11000</v>
      </c>
      <c r="X348" s="371">
        <v>9000</v>
      </c>
      <c r="Y348" s="371">
        <v>26000</v>
      </c>
      <c r="Z348" s="371">
        <v>4000</v>
      </c>
      <c r="AA348" s="371">
        <v>2000</v>
      </c>
      <c r="AB348" s="371">
        <v>5000</v>
      </c>
      <c r="AC348" s="371">
        <v>5000</v>
      </c>
      <c r="AD348" s="371">
        <v>0</v>
      </c>
      <c r="AE348" s="371">
        <v>9200</v>
      </c>
      <c r="AF348" s="385">
        <f>SUM(AG348:AH348)</f>
        <v>4000</v>
      </c>
      <c r="AG348" s="371">
        <v>0</v>
      </c>
      <c r="AH348" s="371">
        <v>4000</v>
      </c>
      <c r="AI348" s="387">
        <f t="shared" si="115"/>
        <v>0</v>
      </c>
    </row>
    <row r="349" spans="1:35" s="404" customFormat="1" ht="24" customHeight="1">
      <c r="A349" s="398" t="s">
        <v>887</v>
      </c>
      <c r="B349" s="399"/>
      <c r="C349" s="400"/>
      <c r="D349" s="401"/>
      <c r="E349" s="402">
        <f t="shared" ref="E349:AH349" si="122">E350+E366</f>
        <v>2184179</v>
      </c>
      <c r="F349" s="402">
        <f t="shared" si="122"/>
        <v>867127</v>
      </c>
      <c r="G349" s="402">
        <f t="shared" si="122"/>
        <v>1317052</v>
      </c>
      <c r="H349" s="402">
        <f t="shared" si="122"/>
        <v>1019632</v>
      </c>
      <c r="I349" s="402">
        <f t="shared" si="122"/>
        <v>74926</v>
      </c>
      <c r="J349" s="402">
        <f t="shared" si="122"/>
        <v>45429</v>
      </c>
      <c r="K349" s="402">
        <f t="shared" si="122"/>
        <v>54712</v>
      </c>
      <c r="L349" s="402">
        <f t="shared" si="122"/>
        <v>131391</v>
      </c>
      <c r="M349" s="402">
        <f t="shared" si="122"/>
        <v>537477</v>
      </c>
      <c r="N349" s="402">
        <f t="shared" si="122"/>
        <v>89507</v>
      </c>
      <c r="O349" s="402">
        <f t="shared" si="122"/>
        <v>86190</v>
      </c>
      <c r="P349" s="402">
        <f t="shared" si="122"/>
        <v>1078330</v>
      </c>
      <c r="Q349" s="402">
        <f t="shared" si="122"/>
        <v>65509</v>
      </c>
      <c r="R349" s="402">
        <f t="shared" si="122"/>
        <v>57143</v>
      </c>
      <c r="S349" s="402">
        <f t="shared" si="122"/>
        <v>58087</v>
      </c>
      <c r="T349" s="402">
        <f t="shared" si="122"/>
        <v>67780</v>
      </c>
      <c r="U349" s="402">
        <f t="shared" si="122"/>
        <v>59377</v>
      </c>
      <c r="V349" s="402">
        <f t="shared" si="122"/>
        <v>66096</v>
      </c>
      <c r="W349" s="402">
        <f t="shared" si="122"/>
        <v>79059</v>
      </c>
      <c r="X349" s="402">
        <f t="shared" si="122"/>
        <v>60090</v>
      </c>
      <c r="Y349" s="402">
        <f t="shared" si="122"/>
        <v>60970</v>
      </c>
      <c r="Z349" s="402">
        <f t="shared" si="122"/>
        <v>71333</v>
      </c>
      <c r="AA349" s="402">
        <f t="shared" si="122"/>
        <v>59479</v>
      </c>
      <c r="AB349" s="402">
        <f t="shared" si="122"/>
        <v>55123</v>
      </c>
      <c r="AC349" s="402">
        <f t="shared" si="122"/>
        <v>40810</v>
      </c>
      <c r="AD349" s="402">
        <f t="shared" si="122"/>
        <v>55210</v>
      </c>
      <c r="AE349" s="402">
        <f t="shared" si="122"/>
        <v>222264</v>
      </c>
      <c r="AF349" s="402">
        <f t="shared" si="122"/>
        <v>86217</v>
      </c>
      <c r="AG349" s="402">
        <f t="shared" si="122"/>
        <v>47030</v>
      </c>
      <c r="AH349" s="402">
        <f t="shared" si="122"/>
        <v>39187</v>
      </c>
      <c r="AI349" s="387">
        <f t="shared" si="115"/>
        <v>0</v>
      </c>
    </row>
    <row r="350" spans="1:35" s="410" customFormat="1" ht="22.5" customHeight="1">
      <c r="A350" s="405" t="s">
        <v>888</v>
      </c>
      <c r="B350" s="406"/>
      <c r="C350" s="407"/>
      <c r="D350" s="408"/>
      <c r="E350" s="409">
        <f t="shared" ref="E350:AH350" si="123">SUM(E351:E365)</f>
        <v>1271820</v>
      </c>
      <c r="F350" s="409">
        <f t="shared" si="123"/>
        <v>618677</v>
      </c>
      <c r="G350" s="409">
        <f t="shared" si="123"/>
        <v>653143</v>
      </c>
      <c r="H350" s="409">
        <f t="shared" si="123"/>
        <v>655717</v>
      </c>
      <c r="I350" s="409">
        <f t="shared" si="123"/>
        <v>32888</v>
      </c>
      <c r="J350" s="409">
        <f t="shared" si="123"/>
        <v>20789</v>
      </c>
      <c r="K350" s="409">
        <f t="shared" si="123"/>
        <v>26454</v>
      </c>
      <c r="L350" s="409">
        <f t="shared" si="123"/>
        <v>36484</v>
      </c>
      <c r="M350" s="409">
        <f t="shared" si="123"/>
        <v>412118</v>
      </c>
      <c r="N350" s="409">
        <f t="shared" si="123"/>
        <v>41914</v>
      </c>
      <c r="O350" s="409">
        <f t="shared" si="123"/>
        <v>85070</v>
      </c>
      <c r="P350" s="409">
        <f t="shared" si="123"/>
        <v>578186</v>
      </c>
      <c r="Q350" s="409">
        <f t="shared" si="123"/>
        <v>31680</v>
      </c>
      <c r="R350" s="409">
        <f t="shared" si="123"/>
        <v>33750</v>
      </c>
      <c r="S350" s="409">
        <f t="shared" si="123"/>
        <v>25658</v>
      </c>
      <c r="T350" s="409">
        <f t="shared" si="123"/>
        <v>20845</v>
      </c>
      <c r="U350" s="409">
        <f t="shared" si="123"/>
        <v>28966</v>
      </c>
      <c r="V350" s="409">
        <f t="shared" si="123"/>
        <v>29568</v>
      </c>
      <c r="W350" s="409">
        <f t="shared" si="123"/>
        <v>30627</v>
      </c>
      <c r="X350" s="409">
        <f t="shared" si="123"/>
        <v>27692</v>
      </c>
      <c r="Y350" s="409">
        <f t="shared" si="123"/>
        <v>22712</v>
      </c>
      <c r="Z350" s="409">
        <f t="shared" si="123"/>
        <v>24453</v>
      </c>
      <c r="AA350" s="409">
        <f t="shared" si="123"/>
        <v>22187</v>
      </c>
      <c r="AB350" s="409">
        <f t="shared" si="123"/>
        <v>14948</v>
      </c>
      <c r="AC350" s="409">
        <f t="shared" si="123"/>
        <v>18820</v>
      </c>
      <c r="AD350" s="409">
        <f t="shared" si="123"/>
        <v>26150</v>
      </c>
      <c r="AE350" s="409">
        <f t="shared" si="123"/>
        <v>220130</v>
      </c>
      <c r="AF350" s="409">
        <f t="shared" si="123"/>
        <v>37917</v>
      </c>
      <c r="AG350" s="409">
        <f t="shared" si="123"/>
        <v>18380</v>
      </c>
      <c r="AH350" s="409">
        <f t="shared" si="123"/>
        <v>19537</v>
      </c>
      <c r="AI350" s="387">
        <f t="shared" si="115"/>
        <v>0</v>
      </c>
    </row>
    <row r="351" spans="1:35" s="393" customFormat="1" ht="24" customHeight="1">
      <c r="A351" s="397" t="s">
        <v>494</v>
      </c>
      <c r="B351" s="394" t="s">
        <v>272</v>
      </c>
      <c r="C351" s="395" t="s">
        <v>1000</v>
      </c>
      <c r="D351" s="396">
        <v>3</v>
      </c>
      <c r="E351" s="385">
        <f t="shared" ref="E351:E365" si="124">SUM(H351,P351,AF351)</f>
        <v>1344</v>
      </c>
      <c r="F351" s="368">
        <v>1344</v>
      </c>
      <c r="G351" s="368">
        <v>0</v>
      </c>
      <c r="H351" s="385">
        <f t="shared" ref="H351:H365" si="125">SUM(I351:O351)</f>
        <v>400</v>
      </c>
      <c r="I351" s="371">
        <v>0</v>
      </c>
      <c r="J351" s="371">
        <v>0</v>
      </c>
      <c r="K351" s="371">
        <v>0</v>
      </c>
      <c r="L351" s="371">
        <v>0</v>
      </c>
      <c r="M351" s="371">
        <v>0</v>
      </c>
      <c r="N351" s="371">
        <v>0</v>
      </c>
      <c r="O351" s="370">
        <v>400</v>
      </c>
      <c r="P351" s="386">
        <f t="shared" ref="P351:P365" si="126">SUM(Q351:AE351)</f>
        <v>500</v>
      </c>
      <c r="Q351" s="371">
        <v>0</v>
      </c>
      <c r="R351" s="371">
        <v>0</v>
      </c>
      <c r="S351" s="371">
        <v>0</v>
      </c>
      <c r="T351" s="371">
        <v>0</v>
      </c>
      <c r="U351" s="371">
        <v>0</v>
      </c>
      <c r="V351" s="371">
        <v>0</v>
      </c>
      <c r="W351" s="371">
        <v>0</v>
      </c>
      <c r="X351" s="371">
        <v>0</v>
      </c>
      <c r="Y351" s="371">
        <v>0</v>
      </c>
      <c r="Z351" s="371">
        <v>0</v>
      </c>
      <c r="AA351" s="371">
        <v>0</v>
      </c>
      <c r="AB351" s="371">
        <v>0</v>
      </c>
      <c r="AC351" s="371">
        <v>0</v>
      </c>
      <c r="AD351" s="371">
        <v>0</v>
      </c>
      <c r="AE351" s="371">
        <v>500</v>
      </c>
      <c r="AF351" s="385">
        <f t="shared" ref="AF351:AF365" si="127">SUM(AG351:AH351)</f>
        <v>444</v>
      </c>
      <c r="AG351" s="371">
        <v>70</v>
      </c>
      <c r="AH351" s="371">
        <v>374</v>
      </c>
      <c r="AI351" s="387">
        <f t="shared" si="115"/>
        <v>0</v>
      </c>
    </row>
    <row r="352" spans="1:35" s="393" customFormat="1" ht="24" customHeight="1">
      <c r="A352" s="397" t="s">
        <v>494</v>
      </c>
      <c r="B352" s="394" t="s">
        <v>272</v>
      </c>
      <c r="C352" s="395" t="s">
        <v>1001</v>
      </c>
      <c r="D352" s="396">
        <v>3</v>
      </c>
      <c r="E352" s="385">
        <f t="shared" si="124"/>
        <v>380000</v>
      </c>
      <c r="F352" s="368">
        <v>0</v>
      </c>
      <c r="G352" s="368">
        <v>380000</v>
      </c>
      <c r="H352" s="385">
        <f t="shared" si="125"/>
        <v>380000</v>
      </c>
      <c r="I352" s="371">
        <v>0</v>
      </c>
      <c r="J352" s="371">
        <v>0</v>
      </c>
      <c r="K352" s="371">
        <v>0</v>
      </c>
      <c r="L352" s="371">
        <v>0</v>
      </c>
      <c r="M352" s="371">
        <v>380000</v>
      </c>
      <c r="N352" s="371">
        <v>0</v>
      </c>
      <c r="O352" s="370">
        <v>0</v>
      </c>
      <c r="P352" s="386">
        <f t="shared" si="126"/>
        <v>0</v>
      </c>
      <c r="Q352" s="371">
        <v>0</v>
      </c>
      <c r="R352" s="371">
        <v>0</v>
      </c>
      <c r="S352" s="371">
        <v>0</v>
      </c>
      <c r="T352" s="371">
        <v>0</v>
      </c>
      <c r="U352" s="371">
        <v>0</v>
      </c>
      <c r="V352" s="371">
        <v>0</v>
      </c>
      <c r="W352" s="371">
        <v>0</v>
      </c>
      <c r="X352" s="371">
        <v>0</v>
      </c>
      <c r="Y352" s="371">
        <v>0</v>
      </c>
      <c r="Z352" s="371">
        <v>0</v>
      </c>
      <c r="AA352" s="371">
        <v>0</v>
      </c>
      <c r="AB352" s="371">
        <v>0</v>
      </c>
      <c r="AC352" s="371">
        <v>0</v>
      </c>
      <c r="AD352" s="371">
        <v>0</v>
      </c>
      <c r="AE352" s="371">
        <v>0</v>
      </c>
      <c r="AF352" s="385">
        <f t="shared" si="127"/>
        <v>0</v>
      </c>
      <c r="AG352" s="371">
        <v>0</v>
      </c>
      <c r="AH352" s="371">
        <v>0</v>
      </c>
      <c r="AI352" s="387">
        <f t="shared" si="115"/>
        <v>0</v>
      </c>
    </row>
    <row r="353" spans="1:35" s="393" customFormat="1" ht="24" customHeight="1">
      <c r="A353" s="397" t="s">
        <v>494</v>
      </c>
      <c r="B353" s="394" t="s">
        <v>272</v>
      </c>
      <c r="C353" s="395" t="s">
        <v>1002</v>
      </c>
      <c r="D353" s="396">
        <v>3</v>
      </c>
      <c r="E353" s="385">
        <f t="shared" si="124"/>
        <v>170913</v>
      </c>
      <c r="F353" s="368">
        <v>170913</v>
      </c>
      <c r="G353" s="368">
        <v>0</v>
      </c>
      <c r="H353" s="385">
        <f t="shared" si="125"/>
        <v>57767</v>
      </c>
      <c r="I353" s="371">
        <v>12658</v>
      </c>
      <c r="J353" s="371">
        <v>1529</v>
      </c>
      <c r="K353" s="371">
        <v>9790</v>
      </c>
      <c r="L353" s="371">
        <v>12320</v>
      </c>
      <c r="M353" s="371">
        <v>11600</v>
      </c>
      <c r="N353" s="371">
        <v>9870</v>
      </c>
      <c r="O353" s="370">
        <v>0</v>
      </c>
      <c r="P353" s="386">
        <f t="shared" si="126"/>
        <v>104096</v>
      </c>
      <c r="Q353" s="371">
        <v>8880</v>
      </c>
      <c r="R353" s="371">
        <v>9750</v>
      </c>
      <c r="S353" s="371">
        <v>7758</v>
      </c>
      <c r="T353" s="371">
        <v>5525</v>
      </c>
      <c r="U353" s="371">
        <v>7966</v>
      </c>
      <c r="V353" s="371">
        <v>14056</v>
      </c>
      <c r="W353" s="371">
        <v>6167</v>
      </c>
      <c r="X353" s="371">
        <v>9600</v>
      </c>
      <c r="Y353" s="371">
        <v>4620</v>
      </c>
      <c r="Z353" s="371">
        <v>6553</v>
      </c>
      <c r="AA353" s="371">
        <v>4095</v>
      </c>
      <c r="AB353" s="371">
        <v>7376</v>
      </c>
      <c r="AC353" s="371">
        <v>3500</v>
      </c>
      <c r="AD353" s="371">
        <v>8250</v>
      </c>
      <c r="AE353" s="371">
        <v>0</v>
      </c>
      <c r="AF353" s="385">
        <f t="shared" si="127"/>
        <v>9050</v>
      </c>
      <c r="AG353" s="371">
        <v>3850</v>
      </c>
      <c r="AH353" s="371">
        <v>5200</v>
      </c>
      <c r="AI353" s="387">
        <f t="shared" si="115"/>
        <v>0</v>
      </c>
    </row>
    <row r="354" spans="1:35" s="393" customFormat="1" ht="24" customHeight="1">
      <c r="A354" s="397" t="s">
        <v>494</v>
      </c>
      <c r="B354" s="394" t="s">
        <v>272</v>
      </c>
      <c r="C354" s="395" t="s">
        <v>1003</v>
      </c>
      <c r="D354" s="396">
        <v>3</v>
      </c>
      <c r="E354" s="385">
        <f t="shared" si="124"/>
        <v>424843</v>
      </c>
      <c r="F354" s="368">
        <v>209700</v>
      </c>
      <c r="G354" s="368">
        <v>215143</v>
      </c>
      <c r="H354" s="385">
        <f t="shared" si="125"/>
        <v>136000</v>
      </c>
      <c r="I354" s="371">
        <v>20230</v>
      </c>
      <c r="J354" s="371">
        <v>19260</v>
      </c>
      <c r="K354" s="371">
        <v>15800</v>
      </c>
      <c r="L354" s="371">
        <v>23300</v>
      </c>
      <c r="M354" s="371">
        <v>20230</v>
      </c>
      <c r="N354" s="371">
        <v>31180</v>
      </c>
      <c r="O354" s="370">
        <v>6000</v>
      </c>
      <c r="P354" s="386">
        <f t="shared" si="126"/>
        <v>268000</v>
      </c>
      <c r="Q354" s="371">
        <v>22800</v>
      </c>
      <c r="R354" s="371">
        <v>24000</v>
      </c>
      <c r="S354" s="371">
        <v>17900</v>
      </c>
      <c r="T354" s="371">
        <v>15320</v>
      </c>
      <c r="U354" s="371">
        <v>21000</v>
      </c>
      <c r="V354" s="371">
        <v>15320</v>
      </c>
      <c r="W354" s="371">
        <v>24460</v>
      </c>
      <c r="X354" s="371">
        <v>17900</v>
      </c>
      <c r="Y354" s="371">
        <v>17900</v>
      </c>
      <c r="Z354" s="371">
        <v>17900</v>
      </c>
      <c r="AA354" s="371">
        <v>17900</v>
      </c>
      <c r="AB354" s="371">
        <v>7380</v>
      </c>
      <c r="AC354" s="371">
        <v>15320</v>
      </c>
      <c r="AD354" s="371">
        <v>17900</v>
      </c>
      <c r="AE354" s="371">
        <v>15000</v>
      </c>
      <c r="AF354" s="385">
        <f t="shared" si="127"/>
        <v>20843</v>
      </c>
      <c r="AG354" s="371">
        <v>9980</v>
      </c>
      <c r="AH354" s="371">
        <v>10863</v>
      </c>
      <c r="AI354" s="387">
        <f t="shared" si="115"/>
        <v>0</v>
      </c>
    </row>
    <row r="355" spans="1:35" s="393" customFormat="1" ht="24" customHeight="1">
      <c r="A355" s="397" t="s">
        <v>494</v>
      </c>
      <c r="B355" s="394" t="s">
        <v>272</v>
      </c>
      <c r="C355" s="395" t="s">
        <v>1004</v>
      </c>
      <c r="D355" s="396">
        <v>3</v>
      </c>
      <c r="E355" s="385">
        <f t="shared" si="124"/>
        <v>35000</v>
      </c>
      <c r="F355" s="368">
        <v>35000</v>
      </c>
      <c r="G355" s="368">
        <v>0</v>
      </c>
      <c r="H355" s="385">
        <f t="shared" si="125"/>
        <v>12000</v>
      </c>
      <c r="I355" s="371">
        <v>0</v>
      </c>
      <c r="J355" s="371">
        <v>0</v>
      </c>
      <c r="K355" s="371">
        <v>0</v>
      </c>
      <c r="L355" s="371">
        <v>0</v>
      </c>
      <c r="M355" s="371">
        <v>0</v>
      </c>
      <c r="N355" s="371">
        <v>0</v>
      </c>
      <c r="O355" s="370">
        <v>12000</v>
      </c>
      <c r="P355" s="386">
        <f t="shared" si="126"/>
        <v>20000</v>
      </c>
      <c r="Q355" s="371">
        <v>0</v>
      </c>
      <c r="R355" s="371">
        <v>0</v>
      </c>
      <c r="S355" s="371">
        <v>0</v>
      </c>
      <c r="T355" s="371">
        <v>0</v>
      </c>
      <c r="U355" s="371">
        <v>0</v>
      </c>
      <c r="V355" s="371">
        <v>0</v>
      </c>
      <c r="W355" s="371">
        <v>0</v>
      </c>
      <c r="X355" s="371">
        <v>0</v>
      </c>
      <c r="Y355" s="371">
        <v>0</v>
      </c>
      <c r="Z355" s="371">
        <v>0</v>
      </c>
      <c r="AA355" s="371">
        <v>0</v>
      </c>
      <c r="AB355" s="371">
        <v>0</v>
      </c>
      <c r="AC355" s="371">
        <v>0</v>
      </c>
      <c r="AD355" s="371">
        <v>0</v>
      </c>
      <c r="AE355" s="371">
        <v>20000</v>
      </c>
      <c r="AF355" s="385">
        <f t="shared" si="127"/>
        <v>3000</v>
      </c>
      <c r="AG355" s="371">
        <v>1500</v>
      </c>
      <c r="AH355" s="371">
        <v>1500</v>
      </c>
      <c r="AI355" s="387">
        <f t="shared" si="115"/>
        <v>0</v>
      </c>
    </row>
    <row r="356" spans="1:35" s="393" customFormat="1" ht="24" customHeight="1">
      <c r="A356" s="397" t="s">
        <v>494</v>
      </c>
      <c r="B356" s="394" t="s">
        <v>272</v>
      </c>
      <c r="C356" s="395" t="s">
        <v>1005</v>
      </c>
      <c r="D356" s="396">
        <v>3</v>
      </c>
      <c r="E356" s="385">
        <f t="shared" si="124"/>
        <v>8200</v>
      </c>
      <c r="F356" s="368">
        <v>8200</v>
      </c>
      <c r="G356" s="368">
        <v>0</v>
      </c>
      <c r="H356" s="385">
        <f t="shared" si="125"/>
        <v>3200</v>
      </c>
      <c r="I356" s="371">
        <v>0</v>
      </c>
      <c r="J356" s="371">
        <v>0</v>
      </c>
      <c r="K356" s="371">
        <v>0</v>
      </c>
      <c r="L356" s="371">
        <v>0</v>
      </c>
      <c r="M356" s="371">
        <v>0</v>
      </c>
      <c r="N356" s="371">
        <v>0</v>
      </c>
      <c r="O356" s="370">
        <v>3200</v>
      </c>
      <c r="P356" s="386">
        <f t="shared" si="126"/>
        <v>4000</v>
      </c>
      <c r="Q356" s="371">
        <v>0</v>
      </c>
      <c r="R356" s="371">
        <v>0</v>
      </c>
      <c r="S356" s="371">
        <v>0</v>
      </c>
      <c r="T356" s="371">
        <v>0</v>
      </c>
      <c r="U356" s="371">
        <v>0</v>
      </c>
      <c r="V356" s="371">
        <v>0</v>
      </c>
      <c r="W356" s="371">
        <v>0</v>
      </c>
      <c r="X356" s="371">
        <v>0</v>
      </c>
      <c r="Y356" s="371">
        <v>0</v>
      </c>
      <c r="Z356" s="371">
        <v>0</v>
      </c>
      <c r="AA356" s="371">
        <v>0</v>
      </c>
      <c r="AB356" s="371">
        <v>0</v>
      </c>
      <c r="AC356" s="371">
        <v>0</v>
      </c>
      <c r="AD356" s="371">
        <v>0</v>
      </c>
      <c r="AE356" s="371">
        <v>4000</v>
      </c>
      <c r="AF356" s="385">
        <f t="shared" si="127"/>
        <v>1000</v>
      </c>
      <c r="AG356" s="371">
        <v>500</v>
      </c>
      <c r="AH356" s="371">
        <v>500</v>
      </c>
      <c r="AI356" s="387">
        <f t="shared" si="115"/>
        <v>0</v>
      </c>
    </row>
    <row r="357" spans="1:35" s="393" customFormat="1" ht="24" customHeight="1">
      <c r="A357" s="397" t="s">
        <v>494</v>
      </c>
      <c r="B357" s="394" t="s">
        <v>272</v>
      </c>
      <c r="C357" s="395" t="s">
        <v>1006</v>
      </c>
      <c r="D357" s="396">
        <v>3</v>
      </c>
      <c r="E357" s="385">
        <f t="shared" si="124"/>
        <v>26880</v>
      </c>
      <c r="F357" s="368">
        <v>16880</v>
      </c>
      <c r="G357" s="368">
        <v>10000</v>
      </c>
      <c r="H357" s="385">
        <f t="shared" si="125"/>
        <v>6750</v>
      </c>
      <c r="I357" s="371">
        <v>0</v>
      </c>
      <c r="J357" s="371">
        <v>0</v>
      </c>
      <c r="K357" s="371">
        <v>0</v>
      </c>
      <c r="L357" s="371">
        <v>0</v>
      </c>
      <c r="M357" s="371">
        <v>0</v>
      </c>
      <c r="N357" s="371">
        <v>0</v>
      </c>
      <c r="O357" s="370">
        <v>6750</v>
      </c>
      <c r="P357" s="386">
        <f t="shared" si="126"/>
        <v>17750</v>
      </c>
      <c r="Q357" s="371">
        <v>0</v>
      </c>
      <c r="R357" s="371">
        <v>0</v>
      </c>
      <c r="S357" s="371">
        <v>0</v>
      </c>
      <c r="T357" s="371">
        <v>0</v>
      </c>
      <c r="U357" s="371">
        <v>0</v>
      </c>
      <c r="V357" s="371">
        <v>0</v>
      </c>
      <c r="W357" s="371">
        <v>0</v>
      </c>
      <c r="X357" s="371">
        <v>0</v>
      </c>
      <c r="Y357" s="371">
        <v>0</v>
      </c>
      <c r="Z357" s="371">
        <v>0</v>
      </c>
      <c r="AA357" s="371">
        <v>0</v>
      </c>
      <c r="AB357" s="371">
        <v>0</v>
      </c>
      <c r="AC357" s="371">
        <v>0</v>
      </c>
      <c r="AD357" s="371">
        <v>0</v>
      </c>
      <c r="AE357" s="371">
        <v>17750</v>
      </c>
      <c r="AF357" s="385">
        <f t="shared" si="127"/>
        <v>2380</v>
      </c>
      <c r="AG357" s="371">
        <v>1880</v>
      </c>
      <c r="AH357" s="371">
        <v>500</v>
      </c>
      <c r="AI357" s="387">
        <f t="shared" si="115"/>
        <v>0</v>
      </c>
    </row>
    <row r="358" spans="1:35" s="393" customFormat="1" ht="24" customHeight="1">
      <c r="A358" s="397" t="s">
        <v>494</v>
      </c>
      <c r="B358" s="394" t="s">
        <v>272</v>
      </c>
      <c r="C358" s="395" t="s">
        <v>1007</v>
      </c>
      <c r="D358" s="396">
        <v>3</v>
      </c>
      <c r="E358" s="385">
        <f t="shared" si="124"/>
        <v>3000</v>
      </c>
      <c r="F358" s="368">
        <v>3000</v>
      </c>
      <c r="G358" s="368">
        <v>0</v>
      </c>
      <c r="H358" s="385">
        <f t="shared" si="125"/>
        <v>800</v>
      </c>
      <c r="I358" s="371">
        <v>0</v>
      </c>
      <c r="J358" s="371">
        <v>0</v>
      </c>
      <c r="K358" s="371">
        <v>0</v>
      </c>
      <c r="L358" s="371">
        <v>0</v>
      </c>
      <c r="M358" s="371">
        <v>0</v>
      </c>
      <c r="N358" s="371">
        <v>0</v>
      </c>
      <c r="O358" s="370">
        <v>800</v>
      </c>
      <c r="P358" s="386">
        <f t="shared" si="126"/>
        <v>1000</v>
      </c>
      <c r="Q358" s="371">
        <v>0</v>
      </c>
      <c r="R358" s="371">
        <v>0</v>
      </c>
      <c r="S358" s="371">
        <v>0</v>
      </c>
      <c r="T358" s="371">
        <v>0</v>
      </c>
      <c r="U358" s="371">
        <v>0</v>
      </c>
      <c r="V358" s="371">
        <v>0</v>
      </c>
      <c r="W358" s="371">
        <v>0</v>
      </c>
      <c r="X358" s="371">
        <v>0</v>
      </c>
      <c r="Y358" s="371">
        <v>0</v>
      </c>
      <c r="Z358" s="371">
        <v>0</v>
      </c>
      <c r="AA358" s="371">
        <v>0</v>
      </c>
      <c r="AB358" s="371">
        <v>0</v>
      </c>
      <c r="AC358" s="371">
        <v>0</v>
      </c>
      <c r="AD358" s="371">
        <v>0</v>
      </c>
      <c r="AE358" s="371">
        <v>1000</v>
      </c>
      <c r="AF358" s="385">
        <f t="shared" si="127"/>
        <v>1200</v>
      </c>
      <c r="AG358" s="371">
        <v>600</v>
      </c>
      <c r="AH358" s="371">
        <v>600</v>
      </c>
      <c r="AI358" s="387">
        <f t="shared" si="115"/>
        <v>0</v>
      </c>
    </row>
    <row r="359" spans="1:35" s="393" customFormat="1" ht="24" customHeight="1">
      <c r="A359" s="397" t="s">
        <v>494</v>
      </c>
      <c r="B359" s="394" t="s">
        <v>272</v>
      </c>
      <c r="C359" s="395" t="s">
        <v>1008</v>
      </c>
      <c r="D359" s="396">
        <v>3</v>
      </c>
      <c r="E359" s="385">
        <f t="shared" si="124"/>
        <v>10440</v>
      </c>
      <c r="F359" s="368">
        <v>10440</v>
      </c>
      <c r="G359" s="368">
        <v>0</v>
      </c>
      <c r="H359" s="385">
        <f t="shared" si="125"/>
        <v>0</v>
      </c>
      <c r="I359" s="371">
        <v>0</v>
      </c>
      <c r="J359" s="371">
        <v>0</v>
      </c>
      <c r="K359" s="371">
        <v>0</v>
      </c>
      <c r="L359" s="371">
        <v>0</v>
      </c>
      <c r="M359" s="371">
        <v>0</v>
      </c>
      <c r="N359" s="371">
        <v>0</v>
      </c>
      <c r="O359" s="370">
        <v>0</v>
      </c>
      <c r="P359" s="386">
        <f t="shared" si="126"/>
        <v>10440</v>
      </c>
      <c r="Q359" s="371">
        <v>0</v>
      </c>
      <c r="R359" s="371">
        <v>0</v>
      </c>
      <c r="S359" s="371">
        <v>0</v>
      </c>
      <c r="T359" s="371">
        <v>0</v>
      </c>
      <c r="U359" s="371">
        <v>0</v>
      </c>
      <c r="V359" s="371">
        <v>0</v>
      </c>
      <c r="W359" s="371">
        <v>0</v>
      </c>
      <c r="X359" s="371">
        <v>0</v>
      </c>
      <c r="Y359" s="371">
        <v>0</v>
      </c>
      <c r="Z359" s="371">
        <v>0</v>
      </c>
      <c r="AA359" s="371">
        <v>0</v>
      </c>
      <c r="AB359" s="371">
        <v>0</v>
      </c>
      <c r="AC359" s="371">
        <v>0</v>
      </c>
      <c r="AD359" s="371">
        <v>0</v>
      </c>
      <c r="AE359" s="371">
        <v>10440</v>
      </c>
      <c r="AF359" s="385">
        <f t="shared" si="127"/>
        <v>0</v>
      </c>
      <c r="AG359" s="371">
        <v>0</v>
      </c>
      <c r="AH359" s="371">
        <v>0</v>
      </c>
      <c r="AI359" s="387">
        <f t="shared" si="115"/>
        <v>0</v>
      </c>
    </row>
    <row r="360" spans="1:35" s="393" customFormat="1" ht="24" customHeight="1">
      <c r="A360" s="397" t="s">
        <v>494</v>
      </c>
      <c r="B360" s="394" t="s">
        <v>272</v>
      </c>
      <c r="C360" s="395" t="s">
        <v>1009</v>
      </c>
      <c r="D360" s="396">
        <v>3</v>
      </c>
      <c r="E360" s="385">
        <f t="shared" si="124"/>
        <v>18500</v>
      </c>
      <c r="F360" s="368">
        <v>18500</v>
      </c>
      <c r="G360" s="368">
        <v>0</v>
      </c>
      <c r="H360" s="385">
        <f t="shared" si="125"/>
        <v>3500</v>
      </c>
      <c r="I360" s="371">
        <v>0</v>
      </c>
      <c r="J360" s="371">
        <v>0</v>
      </c>
      <c r="K360" s="371">
        <v>0</v>
      </c>
      <c r="L360" s="371">
        <v>0</v>
      </c>
      <c r="M360" s="371">
        <v>0</v>
      </c>
      <c r="N360" s="371">
        <v>0</v>
      </c>
      <c r="O360" s="370">
        <v>3500</v>
      </c>
      <c r="P360" s="386">
        <f t="shared" si="126"/>
        <v>15000</v>
      </c>
      <c r="Q360" s="371">
        <v>0</v>
      </c>
      <c r="R360" s="371">
        <v>0</v>
      </c>
      <c r="S360" s="371">
        <v>0</v>
      </c>
      <c r="T360" s="371">
        <v>0</v>
      </c>
      <c r="U360" s="371">
        <v>0</v>
      </c>
      <c r="V360" s="371">
        <v>0</v>
      </c>
      <c r="W360" s="371">
        <v>0</v>
      </c>
      <c r="X360" s="371">
        <v>0</v>
      </c>
      <c r="Y360" s="371">
        <v>0</v>
      </c>
      <c r="Z360" s="371">
        <v>0</v>
      </c>
      <c r="AA360" s="371">
        <v>0</v>
      </c>
      <c r="AB360" s="371">
        <v>0</v>
      </c>
      <c r="AC360" s="371">
        <v>0</v>
      </c>
      <c r="AD360" s="371">
        <v>0</v>
      </c>
      <c r="AE360" s="371">
        <v>15000</v>
      </c>
      <c r="AF360" s="385">
        <f t="shared" si="127"/>
        <v>0</v>
      </c>
      <c r="AG360" s="371">
        <v>0</v>
      </c>
      <c r="AH360" s="371">
        <v>0</v>
      </c>
      <c r="AI360" s="387">
        <f t="shared" si="115"/>
        <v>0</v>
      </c>
    </row>
    <row r="361" spans="1:35" s="393" customFormat="1" ht="24" customHeight="1">
      <c r="A361" s="397" t="s">
        <v>494</v>
      </c>
      <c r="B361" s="394" t="s">
        <v>272</v>
      </c>
      <c r="C361" s="395" t="s">
        <v>627</v>
      </c>
      <c r="D361" s="396">
        <v>3</v>
      </c>
      <c r="E361" s="385">
        <f t="shared" si="124"/>
        <v>4000</v>
      </c>
      <c r="F361" s="368">
        <v>4000</v>
      </c>
      <c r="G361" s="368">
        <v>0</v>
      </c>
      <c r="H361" s="385">
        <f t="shared" si="125"/>
        <v>1000</v>
      </c>
      <c r="I361" s="371">
        <v>0</v>
      </c>
      <c r="J361" s="371">
        <v>0</v>
      </c>
      <c r="K361" s="371">
        <v>0</v>
      </c>
      <c r="L361" s="371">
        <v>0</v>
      </c>
      <c r="M361" s="371">
        <v>0</v>
      </c>
      <c r="N361" s="371">
        <v>0</v>
      </c>
      <c r="O361" s="370">
        <v>1000</v>
      </c>
      <c r="P361" s="386">
        <f t="shared" si="126"/>
        <v>3000</v>
      </c>
      <c r="Q361" s="371">
        <v>0</v>
      </c>
      <c r="R361" s="371">
        <v>0</v>
      </c>
      <c r="S361" s="371">
        <v>0</v>
      </c>
      <c r="T361" s="371">
        <v>0</v>
      </c>
      <c r="U361" s="371">
        <v>0</v>
      </c>
      <c r="V361" s="371">
        <v>0</v>
      </c>
      <c r="W361" s="371">
        <v>0</v>
      </c>
      <c r="X361" s="371">
        <v>0</v>
      </c>
      <c r="Y361" s="371">
        <v>0</v>
      </c>
      <c r="Z361" s="371">
        <v>0</v>
      </c>
      <c r="AA361" s="371">
        <v>0</v>
      </c>
      <c r="AB361" s="371">
        <v>0</v>
      </c>
      <c r="AC361" s="371">
        <v>0</v>
      </c>
      <c r="AD361" s="371">
        <v>0</v>
      </c>
      <c r="AE361" s="371">
        <v>3000</v>
      </c>
      <c r="AF361" s="385">
        <f t="shared" si="127"/>
        <v>0</v>
      </c>
      <c r="AG361" s="371">
        <v>0</v>
      </c>
      <c r="AH361" s="371">
        <v>0</v>
      </c>
      <c r="AI361" s="387">
        <f t="shared" si="115"/>
        <v>0</v>
      </c>
    </row>
    <row r="362" spans="1:35" s="393" customFormat="1" ht="29.45" customHeight="1">
      <c r="A362" s="397" t="s">
        <v>494</v>
      </c>
      <c r="B362" s="394" t="s">
        <v>272</v>
      </c>
      <c r="C362" s="395" t="s">
        <v>1010</v>
      </c>
      <c r="D362" s="396">
        <v>3</v>
      </c>
      <c r="E362" s="385">
        <f t="shared" si="124"/>
        <v>3000</v>
      </c>
      <c r="F362" s="368">
        <v>3000</v>
      </c>
      <c r="G362" s="368">
        <v>0</v>
      </c>
      <c r="H362" s="385">
        <f t="shared" si="125"/>
        <v>3000</v>
      </c>
      <c r="I362" s="371">
        <v>0</v>
      </c>
      <c r="J362" s="371">
        <v>0</v>
      </c>
      <c r="K362" s="371">
        <v>0</v>
      </c>
      <c r="L362" s="371">
        <v>0</v>
      </c>
      <c r="M362" s="371">
        <v>0</v>
      </c>
      <c r="N362" s="371">
        <v>0</v>
      </c>
      <c r="O362" s="370">
        <v>3000</v>
      </c>
      <c r="P362" s="386">
        <f t="shared" si="126"/>
        <v>0</v>
      </c>
      <c r="Q362" s="371">
        <v>0</v>
      </c>
      <c r="R362" s="371">
        <v>0</v>
      </c>
      <c r="S362" s="371">
        <v>0</v>
      </c>
      <c r="T362" s="371">
        <v>0</v>
      </c>
      <c r="U362" s="371">
        <v>0</v>
      </c>
      <c r="V362" s="371">
        <v>0</v>
      </c>
      <c r="W362" s="371">
        <v>0</v>
      </c>
      <c r="X362" s="371">
        <v>0</v>
      </c>
      <c r="Y362" s="371">
        <v>0</v>
      </c>
      <c r="Z362" s="371">
        <v>0</v>
      </c>
      <c r="AA362" s="371">
        <v>0</v>
      </c>
      <c r="AB362" s="371">
        <v>0</v>
      </c>
      <c r="AC362" s="371">
        <v>0</v>
      </c>
      <c r="AD362" s="371">
        <v>0</v>
      </c>
      <c r="AE362" s="371">
        <v>0</v>
      </c>
      <c r="AF362" s="385">
        <f t="shared" si="127"/>
        <v>0</v>
      </c>
      <c r="AG362" s="371">
        <v>0</v>
      </c>
      <c r="AH362" s="371">
        <v>0</v>
      </c>
      <c r="AI362" s="387">
        <f t="shared" si="115"/>
        <v>0</v>
      </c>
    </row>
    <row r="363" spans="1:35" s="393" customFormat="1" ht="14.25">
      <c r="A363" s="397" t="s">
        <v>494</v>
      </c>
      <c r="B363" s="394" t="s">
        <v>272</v>
      </c>
      <c r="C363" s="395" t="s">
        <v>1011</v>
      </c>
      <c r="D363" s="396">
        <v>3</v>
      </c>
      <c r="E363" s="385">
        <f t="shared" si="124"/>
        <v>179940</v>
      </c>
      <c r="F363" s="368">
        <v>131940</v>
      </c>
      <c r="G363" s="368">
        <v>48000</v>
      </c>
      <c r="H363" s="385">
        <f t="shared" si="125"/>
        <v>47500</v>
      </c>
      <c r="I363" s="371">
        <v>0</v>
      </c>
      <c r="J363" s="371">
        <v>0</v>
      </c>
      <c r="K363" s="371">
        <v>0</v>
      </c>
      <c r="L363" s="371">
        <v>0</v>
      </c>
      <c r="M363" s="371">
        <v>0</v>
      </c>
      <c r="N363" s="371">
        <v>0</v>
      </c>
      <c r="O363" s="370">
        <v>47500</v>
      </c>
      <c r="P363" s="386">
        <f t="shared" si="126"/>
        <v>132440</v>
      </c>
      <c r="Q363" s="371">
        <v>0</v>
      </c>
      <c r="R363" s="371">
        <v>0</v>
      </c>
      <c r="S363" s="371">
        <v>0</v>
      </c>
      <c r="T363" s="371">
        <v>0</v>
      </c>
      <c r="U363" s="371">
        <v>0</v>
      </c>
      <c r="V363" s="371">
        <v>0</v>
      </c>
      <c r="W363" s="371">
        <v>0</v>
      </c>
      <c r="X363" s="371">
        <v>0</v>
      </c>
      <c r="Y363" s="371">
        <v>0</v>
      </c>
      <c r="Z363" s="371">
        <v>0</v>
      </c>
      <c r="AA363" s="371">
        <v>0</v>
      </c>
      <c r="AB363" s="371">
        <v>0</v>
      </c>
      <c r="AC363" s="371">
        <v>0</v>
      </c>
      <c r="AD363" s="371">
        <v>0</v>
      </c>
      <c r="AE363" s="371">
        <v>132440</v>
      </c>
      <c r="AF363" s="385">
        <f t="shared" si="127"/>
        <v>0</v>
      </c>
      <c r="AG363" s="371">
        <v>0</v>
      </c>
      <c r="AH363" s="371">
        <v>0</v>
      </c>
      <c r="AI363" s="387">
        <f t="shared" si="115"/>
        <v>0</v>
      </c>
    </row>
    <row r="364" spans="1:35" s="393" customFormat="1" ht="24" customHeight="1">
      <c r="A364" s="397" t="s">
        <v>494</v>
      </c>
      <c r="B364" s="394" t="s">
        <v>272</v>
      </c>
      <c r="C364" s="395" t="s">
        <v>1012</v>
      </c>
      <c r="D364" s="396">
        <v>3</v>
      </c>
      <c r="E364" s="385">
        <f t="shared" si="124"/>
        <v>1920</v>
      </c>
      <c r="F364" s="368">
        <v>1920</v>
      </c>
      <c r="G364" s="368">
        <v>0</v>
      </c>
      <c r="H364" s="385">
        <f t="shared" si="125"/>
        <v>920</v>
      </c>
      <c r="I364" s="371">
        <v>0</v>
      </c>
      <c r="J364" s="371">
        <v>0</v>
      </c>
      <c r="K364" s="371">
        <v>0</v>
      </c>
      <c r="L364" s="371">
        <v>0</v>
      </c>
      <c r="M364" s="371">
        <v>0</v>
      </c>
      <c r="N364" s="371">
        <v>0</v>
      </c>
      <c r="O364" s="370">
        <v>920</v>
      </c>
      <c r="P364" s="386">
        <f t="shared" si="126"/>
        <v>1000</v>
      </c>
      <c r="Q364" s="371">
        <v>0</v>
      </c>
      <c r="R364" s="371">
        <v>0</v>
      </c>
      <c r="S364" s="371">
        <v>0</v>
      </c>
      <c r="T364" s="371">
        <v>0</v>
      </c>
      <c r="U364" s="371">
        <v>0</v>
      </c>
      <c r="V364" s="371">
        <v>0</v>
      </c>
      <c r="W364" s="371">
        <v>0</v>
      </c>
      <c r="X364" s="371">
        <v>0</v>
      </c>
      <c r="Y364" s="371">
        <v>0</v>
      </c>
      <c r="Z364" s="371">
        <v>0</v>
      </c>
      <c r="AA364" s="371">
        <v>0</v>
      </c>
      <c r="AB364" s="371">
        <v>0</v>
      </c>
      <c r="AC364" s="371">
        <v>0</v>
      </c>
      <c r="AD364" s="371">
        <v>0</v>
      </c>
      <c r="AE364" s="371">
        <v>1000</v>
      </c>
      <c r="AF364" s="385">
        <f t="shared" si="127"/>
        <v>0</v>
      </c>
      <c r="AG364" s="371">
        <v>0</v>
      </c>
      <c r="AH364" s="371">
        <v>0</v>
      </c>
      <c r="AI364" s="387">
        <f t="shared" si="115"/>
        <v>0</v>
      </c>
    </row>
    <row r="365" spans="1:35" s="393" customFormat="1" ht="24" customHeight="1">
      <c r="A365" s="397" t="s">
        <v>494</v>
      </c>
      <c r="B365" s="394" t="s">
        <v>273</v>
      </c>
      <c r="C365" s="395" t="s">
        <v>1013</v>
      </c>
      <c r="D365" s="396">
        <v>3</v>
      </c>
      <c r="E365" s="385">
        <f t="shared" si="124"/>
        <v>3840</v>
      </c>
      <c r="F365" s="368">
        <v>3840</v>
      </c>
      <c r="G365" s="368">
        <v>0</v>
      </c>
      <c r="H365" s="385">
        <f t="shared" si="125"/>
        <v>2880</v>
      </c>
      <c r="I365" s="371">
        <v>0</v>
      </c>
      <c r="J365" s="371">
        <v>0</v>
      </c>
      <c r="K365" s="371">
        <v>864</v>
      </c>
      <c r="L365" s="371">
        <v>864</v>
      </c>
      <c r="M365" s="371">
        <v>288</v>
      </c>
      <c r="N365" s="371">
        <v>864</v>
      </c>
      <c r="O365" s="370">
        <v>0</v>
      </c>
      <c r="P365" s="386">
        <f t="shared" si="126"/>
        <v>960</v>
      </c>
      <c r="Q365" s="371">
        <v>0</v>
      </c>
      <c r="R365" s="371">
        <v>0</v>
      </c>
      <c r="S365" s="371">
        <v>0</v>
      </c>
      <c r="T365" s="371">
        <v>0</v>
      </c>
      <c r="U365" s="371">
        <v>0</v>
      </c>
      <c r="V365" s="371">
        <v>192</v>
      </c>
      <c r="W365" s="371">
        <v>0</v>
      </c>
      <c r="X365" s="371">
        <v>192</v>
      </c>
      <c r="Y365" s="371">
        <v>192</v>
      </c>
      <c r="Z365" s="371">
        <v>0</v>
      </c>
      <c r="AA365" s="371">
        <v>192</v>
      </c>
      <c r="AB365" s="371">
        <v>192</v>
      </c>
      <c r="AC365" s="371">
        <v>0</v>
      </c>
      <c r="AD365" s="371">
        <v>0</v>
      </c>
      <c r="AE365" s="371">
        <v>0</v>
      </c>
      <c r="AF365" s="385">
        <f t="shared" si="127"/>
        <v>0</v>
      </c>
      <c r="AG365" s="371">
        <v>0</v>
      </c>
      <c r="AH365" s="371">
        <v>0</v>
      </c>
      <c r="AI365" s="387">
        <f t="shared" si="115"/>
        <v>0</v>
      </c>
    </row>
    <row r="366" spans="1:35" s="410" customFormat="1" ht="22.5" customHeight="1">
      <c r="A366" s="405" t="s">
        <v>889</v>
      </c>
      <c r="B366" s="406"/>
      <c r="C366" s="407"/>
      <c r="D366" s="408"/>
      <c r="E366" s="409">
        <f t="shared" ref="E366:AH366" si="128">SUM(E367:E370)</f>
        <v>912359</v>
      </c>
      <c r="F366" s="409">
        <f t="shared" si="128"/>
        <v>248450</v>
      </c>
      <c r="G366" s="409">
        <f t="shared" si="128"/>
        <v>663909</v>
      </c>
      <c r="H366" s="409">
        <f t="shared" si="128"/>
        <v>363915</v>
      </c>
      <c r="I366" s="409">
        <f t="shared" si="128"/>
        <v>42038</v>
      </c>
      <c r="J366" s="409">
        <f t="shared" si="128"/>
        <v>24640</v>
      </c>
      <c r="K366" s="409">
        <f t="shared" si="128"/>
        <v>28258</v>
      </c>
      <c r="L366" s="409">
        <f t="shared" si="128"/>
        <v>94907</v>
      </c>
      <c r="M366" s="409">
        <f t="shared" si="128"/>
        <v>125359</v>
      </c>
      <c r="N366" s="409">
        <f t="shared" si="128"/>
        <v>47593</v>
      </c>
      <c r="O366" s="409">
        <f t="shared" si="128"/>
        <v>1120</v>
      </c>
      <c r="P366" s="409">
        <f t="shared" si="128"/>
        <v>500144</v>
      </c>
      <c r="Q366" s="409">
        <f t="shared" si="128"/>
        <v>33829</v>
      </c>
      <c r="R366" s="409">
        <f t="shared" si="128"/>
        <v>23393</v>
      </c>
      <c r="S366" s="409">
        <f t="shared" si="128"/>
        <v>32429</v>
      </c>
      <c r="T366" s="409">
        <f t="shared" si="128"/>
        <v>46935</v>
      </c>
      <c r="U366" s="409">
        <f t="shared" si="128"/>
        <v>30411</v>
      </c>
      <c r="V366" s="409">
        <f t="shared" si="128"/>
        <v>36528</v>
      </c>
      <c r="W366" s="409">
        <f t="shared" si="128"/>
        <v>48432</v>
      </c>
      <c r="X366" s="409">
        <f t="shared" si="128"/>
        <v>32398</v>
      </c>
      <c r="Y366" s="409">
        <f t="shared" si="128"/>
        <v>38258</v>
      </c>
      <c r="Z366" s="409">
        <f t="shared" si="128"/>
        <v>46880</v>
      </c>
      <c r="AA366" s="409">
        <f t="shared" si="128"/>
        <v>37292</v>
      </c>
      <c r="AB366" s="409">
        <f t="shared" si="128"/>
        <v>40175</v>
      </c>
      <c r="AC366" s="409">
        <f t="shared" si="128"/>
        <v>21990</v>
      </c>
      <c r="AD366" s="409">
        <f t="shared" si="128"/>
        <v>29060</v>
      </c>
      <c r="AE366" s="409">
        <f t="shared" si="128"/>
        <v>2134</v>
      </c>
      <c r="AF366" s="409">
        <f t="shared" si="128"/>
        <v>48300</v>
      </c>
      <c r="AG366" s="409">
        <f t="shared" si="128"/>
        <v>28650</v>
      </c>
      <c r="AH366" s="409">
        <f t="shared" si="128"/>
        <v>19650</v>
      </c>
      <c r="AI366" s="387">
        <f t="shared" si="115"/>
        <v>0</v>
      </c>
    </row>
    <row r="367" spans="1:35" s="393" customFormat="1" ht="24" customHeight="1">
      <c r="A367" s="397" t="s">
        <v>494</v>
      </c>
      <c r="B367" s="394" t="s">
        <v>629</v>
      </c>
      <c r="C367" s="395" t="s">
        <v>883</v>
      </c>
      <c r="D367" s="396">
        <v>3</v>
      </c>
      <c r="E367" s="385">
        <f>SUM(H367,P367,AF367)</f>
        <v>53624</v>
      </c>
      <c r="F367" s="368">
        <v>34400</v>
      </c>
      <c r="G367" s="368">
        <v>19224</v>
      </c>
      <c r="H367" s="385">
        <f>SUM(I367:O367)</f>
        <v>16800</v>
      </c>
      <c r="I367" s="371">
        <v>1500</v>
      </c>
      <c r="J367" s="371">
        <v>1550</v>
      </c>
      <c r="K367" s="371">
        <v>800</v>
      </c>
      <c r="L367" s="371">
        <v>5210</v>
      </c>
      <c r="M367" s="371">
        <v>5685</v>
      </c>
      <c r="N367" s="371">
        <v>2055</v>
      </c>
      <c r="O367" s="370">
        <v>0</v>
      </c>
      <c r="P367" s="386">
        <f>SUM(Q367:AE367)</f>
        <v>28724</v>
      </c>
      <c r="Q367" s="371">
        <v>1390</v>
      </c>
      <c r="R367" s="371">
        <v>1993</v>
      </c>
      <c r="S367" s="371">
        <v>2990</v>
      </c>
      <c r="T367" s="371">
        <v>2260</v>
      </c>
      <c r="U367" s="371">
        <v>1490</v>
      </c>
      <c r="V367" s="371">
        <v>1645</v>
      </c>
      <c r="W367" s="371">
        <v>1755</v>
      </c>
      <c r="X367" s="371">
        <v>2795</v>
      </c>
      <c r="Y367" s="371">
        <v>3156</v>
      </c>
      <c r="Z367" s="371">
        <v>3265</v>
      </c>
      <c r="AA367" s="371">
        <v>2625</v>
      </c>
      <c r="AB367" s="371">
        <v>1415</v>
      </c>
      <c r="AC367" s="371">
        <v>760</v>
      </c>
      <c r="AD367" s="371">
        <v>1105</v>
      </c>
      <c r="AE367" s="371">
        <v>80</v>
      </c>
      <c r="AF367" s="385">
        <f>SUM(AG367:AH367)</f>
        <v>8100</v>
      </c>
      <c r="AG367" s="371">
        <v>6750</v>
      </c>
      <c r="AH367" s="371">
        <v>1350</v>
      </c>
      <c r="AI367" s="387">
        <f t="shared" si="115"/>
        <v>0</v>
      </c>
    </row>
    <row r="368" spans="1:35" s="393" customFormat="1" ht="24" customHeight="1">
      <c r="A368" s="397" t="s">
        <v>494</v>
      </c>
      <c r="B368" s="394" t="s">
        <v>629</v>
      </c>
      <c r="C368" s="395" t="s">
        <v>884</v>
      </c>
      <c r="D368" s="396">
        <v>3</v>
      </c>
      <c r="E368" s="385">
        <f>SUM(H368,P368,AF368)</f>
        <v>478127</v>
      </c>
      <c r="F368" s="368">
        <v>124800</v>
      </c>
      <c r="G368" s="368">
        <v>353327</v>
      </c>
      <c r="H368" s="385">
        <f>SUM(I368:O368)</f>
        <v>262215</v>
      </c>
      <c r="I368" s="371">
        <v>26205</v>
      </c>
      <c r="J368" s="371">
        <v>11990</v>
      </c>
      <c r="K368" s="371">
        <v>15578</v>
      </c>
      <c r="L368" s="371">
        <v>76670</v>
      </c>
      <c r="M368" s="371">
        <v>96844</v>
      </c>
      <c r="N368" s="371">
        <v>33808</v>
      </c>
      <c r="O368" s="370">
        <v>1120</v>
      </c>
      <c r="P368" s="386">
        <f>SUM(Q368:AE368)</f>
        <v>201112</v>
      </c>
      <c r="Q368" s="371">
        <v>14339</v>
      </c>
      <c r="R368" s="371">
        <v>6100</v>
      </c>
      <c r="S368" s="371">
        <v>8273</v>
      </c>
      <c r="T368" s="371">
        <v>28275</v>
      </c>
      <c r="U368" s="371">
        <v>5871</v>
      </c>
      <c r="V368" s="371">
        <v>18014</v>
      </c>
      <c r="W368" s="371">
        <v>26850</v>
      </c>
      <c r="X368" s="371">
        <v>11603</v>
      </c>
      <c r="Y368" s="371">
        <v>16094</v>
      </c>
      <c r="Z368" s="371">
        <v>6315</v>
      </c>
      <c r="AA368" s="371">
        <v>18747</v>
      </c>
      <c r="AB368" s="371">
        <v>22264</v>
      </c>
      <c r="AC368" s="371">
        <v>5230</v>
      </c>
      <c r="AD368" s="371">
        <v>11083</v>
      </c>
      <c r="AE368" s="371">
        <v>2054</v>
      </c>
      <c r="AF368" s="385">
        <f>SUM(AG368:AH368)</f>
        <v>14800</v>
      </c>
      <c r="AG368" s="371">
        <v>9950</v>
      </c>
      <c r="AH368" s="371">
        <v>4850</v>
      </c>
      <c r="AI368" s="387">
        <f t="shared" si="115"/>
        <v>0</v>
      </c>
    </row>
    <row r="369" spans="1:35" s="393" customFormat="1" ht="14.25">
      <c r="A369" s="397" t="s">
        <v>494</v>
      </c>
      <c r="B369" s="394" t="s">
        <v>629</v>
      </c>
      <c r="C369" s="395" t="s">
        <v>885</v>
      </c>
      <c r="D369" s="396">
        <v>3</v>
      </c>
      <c r="E369" s="385">
        <f>SUM(H369,P369,AF369)</f>
        <v>69700</v>
      </c>
      <c r="F369" s="368">
        <v>18050</v>
      </c>
      <c r="G369" s="368">
        <v>51650</v>
      </c>
      <c r="H369" s="385">
        <f>SUM(I369:O369)</f>
        <v>17400</v>
      </c>
      <c r="I369" s="371">
        <v>3153</v>
      </c>
      <c r="J369" s="371">
        <v>0</v>
      </c>
      <c r="K369" s="371">
        <v>700</v>
      </c>
      <c r="L369" s="371">
        <v>1847</v>
      </c>
      <c r="M369" s="371">
        <v>11400</v>
      </c>
      <c r="N369" s="371">
        <v>300</v>
      </c>
      <c r="O369" s="370">
        <v>0</v>
      </c>
      <c r="P369" s="386">
        <f>SUM(Q369:AE369)</f>
        <v>47300</v>
      </c>
      <c r="Q369" s="371">
        <v>2200</v>
      </c>
      <c r="R369" s="371">
        <v>200</v>
      </c>
      <c r="S369" s="371">
        <v>5566</v>
      </c>
      <c r="T369" s="371">
        <v>500</v>
      </c>
      <c r="U369" s="371">
        <v>8050</v>
      </c>
      <c r="V369" s="371">
        <v>969</v>
      </c>
      <c r="W369" s="371">
        <v>2827</v>
      </c>
      <c r="X369" s="371">
        <v>900</v>
      </c>
      <c r="Y369" s="371">
        <v>2300</v>
      </c>
      <c r="Z369" s="371">
        <v>21300</v>
      </c>
      <c r="AA369" s="371">
        <v>920</v>
      </c>
      <c r="AB369" s="371">
        <v>596</v>
      </c>
      <c r="AC369" s="371">
        <v>100</v>
      </c>
      <c r="AD369" s="371">
        <v>872</v>
      </c>
      <c r="AE369" s="371">
        <v>0</v>
      </c>
      <c r="AF369" s="385">
        <f>SUM(AG369:AH369)</f>
        <v>5000</v>
      </c>
      <c r="AG369" s="371">
        <v>1750</v>
      </c>
      <c r="AH369" s="371">
        <v>3250</v>
      </c>
      <c r="AI369" s="387">
        <f t="shared" si="115"/>
        <v>0</v>
      </c>
    </row>
    <row r="370" spans="1:35" s="393" customFormat="1" ht="24" customHeight="1">
      <c r="A370" s="397" t="s">
        <v>494</v>
      </c>
      <c r="B370" s="394" t="s">
        <v>629</v>
      </c>
      <c r="C370" s="395" t="s">
        <v>886</v>
      </c>
      <c r="D370" s="396">
        <v>3</v>
      </c>
      <c r="E370" s="385">
        <f>SUM(H370,P370,AF370)</f>
        <v>310908</v>
      </c>
      <c r="F370" s="368">
        <v>71200</v>
      </c>
      <c r="G370" s="368">
        <v>239708</v>
      </c>
      <c r="H370" s="385">
        <f>SUM(I370:O370)</f>
        <v>67500</v>
      </c>
      <c r="I370" s="371">
        <v>11180</v>
      </c>
      <c r="J370" s="371">
        <v>11100</v>
      </c>
      <c r="K370" s="371">
        <v>11180</v>
      </c>
      <c r="L370" s="371">
        <v>11180</v>
      </c>
      <c r="M370" s="371">
        <v>11430</v>
      </c>
      <c r="N370" s="371">
        <v>11430</v>
      </c>
      <c r="O370" s="370">
        <v>0</v>
      </c>
      <c r="P370" s="386">
        <f>SUM(Q370:AE370)</f>
        <v>223008</v>
      </c>
      <c r="Q370" s="371">
        <v>15900</v>
      </c>
      <c r="R370" s="371">
        <v>15100</v>
      </c>
      <c r="S370" s="371">
        <v>15600</v>
      </c>
      <c r="T370" s="371">
        <v>15900</v>
      </c>
      <c r="U370" s="371">
        <v>15000</v>
      </c>
      <c r="V370" s="371">
        <v>15900</v>
      </c>
      <c r="W370" s="371">
        <v>17000</v>
      </c>
      <c r="X370" s="371">
        <v>17100</v>
      </c>
      <c r="Y370" s="371">
        <v>16708</v>
      </c>
      <c r="Z370" s="371">
        <v>16000</v>
      </c>
      <c r="AA370" s="371">
        <v>15000</v>
      </c>
      <c r="AB370" s="371">
        <v>15900</v>
      </c>
      <c r="AC370" s="371">
        <v>15900</v>
      </c>
      <c r="AD370" s="371">
        <v>16000</v>
      </c>
      <c r="AE370" s="371">
        <v>0</v>
      </c>
      <c r="AF370" s="385">
        <f>SUM(AG370:AH370)</f>
        <v>20400</v>
      </c>
      <c r="AG370" s="371">
        <v>10200</v>
      </c>
      <c r="AH370" s="371">
        <v>10200</v>
      </c>
      <c r="AI370" s="387">
        <f t="shared" si="115"/>
        <v>0</v>
      </c>
    </row>
    <row r="371" spans="1:35" s="404" customFormat="1" ht="33.950000000000003" customHeight="1">
      <c r="A371" s="423" t="s">
        <v>199</v>
      </c>
      <c r="B371" s="423" t="s">
        <v>199</v>
      </c>
      <c r="C371" s="491" t="s">
        <v>1166</v>
      </c>
      <c r="D371" s="424">
        <v>1</v>
      </c>
      <c r="E371" s="425">
        <f>SUM(H371,P371,AF371)</f>
        <v>4800</v>
      </c>
      <c r="F371" s="425">
        <v>4800</v>
      </c>
      <c r="G371" s="425"/>
      <c r="H371" s="425">
        <f>SUM(I371:O371)</f>
        <v>0</v>
      </c>
      <c r="I371" s="425"/>
      <c r="J371" s="425"/>
      <c r="K371" s="425"/>
      <c r="L371" s="425"/>
      <c r="M371" s="425"/>
      <c r="N371" s="425"/>
      <c r="O371" s="426"/>
      <c r="P371" s="426">
        <f>SUM(Q371:AE371)</f>
        <v>0</v>
      </c>
      <c r="Q371" s="425"/>
      <c r="R371" s="425"/>
      <c r="S371" s="425"/>
      <c r="T371" s="425"/>
      <c r="U371" s="425"/>
      <c r="V371" s="425"/>
      <c r="W371" s="425"/>
      <c r="X371" s="425"/>
      <c r="Y371" s="425"/>
      <c r="Z371" s="425"/>
      <c r="AA371" s="425"/>
      <c r="AB371" s="425"/>
      <c r="AC371" s="425"/>
      <c r="AD371" s="425"/>
      <c r="AE371" s="425"/>
      <c r="AF371" s="425">
        <f>SUM(AG371:AH371)</f>
        <v>4800</v>
      </c>
      <c r="AG371" s="425">
        <v>3400</v>
      </c>
      <c r="AH371" s="425">
        <v>1400</v>
      </c>
      <c r="AI371" s="387">
        <f t="shared" si="115"/>
        <v>0</v>
      </c>
    </row>
    <row r="372" spans="1:35" s="382" customFormat="1" ht="26.1" customHeight="1">
      <c r="A372" s="374" t="s">
        <v>490</v>
      </c>
      <c r="B372" s="375"/>
      <c r="C372" s="376"/>
      <c r="D372" s="376"/>
      <c r="E372" s="377"/>
      <c r="F372" s="377"/>
      <c r="G372" s="377"/>
      <c r="H372" s="377"/>
      <c r="I372" s="377"/>
      <c r="J372" s="377"/>
      <c r="K372" s="377"/>
      <c r="L372" s="377"/>
      <c r="M372" s="377"/>
      <c r="N372" s="377"/>
      <c r="O372" s="378"/>
      <c r="P372" s="379"/>
      <c r="Q372" s="377"/>
      <c r="R372" s="377"/>
      <c r="S372" s="377"/>
      <c r="T372" s="377"/>
      <c r="U372" s="377"/>
      <c r="V372" s="377"/>
      <c r="W372" s="377"/>
      <c r="X372" s="377"/>
      <c r="Y372" s="377"/>
      <c r="Z372" s="377"/>
      <c r="AA372" s="377"/>
      <c r="AB372" s="377"/>
      <c r="AC372" s="377"/>
      <c r="AD372" s="377"/>
      <c r="AE372" s="377"/>
      <c r="AF372" s="380"/>
      <c r="AG372" s="377"/>
      <c r="AH372" s="377"/>
      <c r="AI372" s="381"/>
    </row>
    <row r="374" spans="1:35">
      <c r="E374" s="439">
        <f t="shared" ref="E374:AH374" si="129">E6-E7-E108</f>
        <v>0</v>
      </c>
      <c r="F374" s="439">
        <f t="shared" si="129"/>
        <v>0</v>
      </c>
      <c r="G374" s="439">
        <f t="shared" si="129"/>
        <v>0</v>
      </c>
      <c r="H374" s="439">
        <f t="shared" si="129"/>
        <v>0</v>
      </c>
      <c r="I374" s="439">
        <f t="shared" si="129"/>
        <v>0</v>
      </c>
      <c r="J374" s="439">
        <f t="shared" si="129"/>
        <v>0</v>
      </c>
      <c r="K374" s="439">
        <f t="shared" si="129"/>
        <v>0</v>
      </c>
      <c r="L374" s="439">
        <f t="shared" si="129"/>
        <v>0</v>
      </c>
      <c r="M374" s="439">
        <f t="shared" si="129"/>
        <v>0</v>
      </c>
      <c r="N374" s="439">
        <f t="shared" si="129"/>
        <v>0</v>
      </c>
      <c r="O374" s="439">
        <f t="shared" si="129"/>
        <v>0</v>
      </c>
      <c r="P374" s="439">
        <f t="shared" si="129"/>
        <v>0</v>
      </c>
      <c r="Q374" s="439">
        <f t="shared" si="129"/>
        <v>0</v>
      </c>
      <c r="R374" s="439">
        <f t="shared" si="129"/>
        <v>0</v>
      </c>
      <c r="S374" s="439">
        <f t="shared" si="129"/>
        <v>0</v>
      </c>
      <c r="T374" s="439">
        <f t="shared" si="129"/>
        <v>0</v>
      </c>
      <c r="U374" s="439">
        <f t="shared" si="129"/>
        <v>0</v>
      </c>
      <c r="V374" s="439">
        <f t="shared" si="129"/>
        <v>0</v>
      </c>
      <c r="W374" s="439">
        <f t="shared" si="129"/>
        <v>0</v>
      </c>
      <c r="X374" s="439">
        <f t="shared" si="129"/>
        <v>0</v>
      </c>
      <c r="Y374" s="439">
        <f t="shared" si="129"/>
        <v>0</v>
      </c>
      <c r="Z374" s="439">
        <f t="shared" si="129"/>
        <v>0</v>
      </c>
      <c r="AA374" s="439">
        <f t="shared" si="129"/>
        <v>0</v>
      </c>
      <c r="AB374" s="439">
        <f t="shared" si="129"/>
        <v>-2.3283064365386963E-10</v>
      </c>
      <c r="AC374" s="439">
        <f t="shared" si="129"/>
        <v>0</v>
      </c>
      <c r="AD374" s="439">
        <f t="shared" si="129"/>
        <v>0</v>
      </c>
      <c r="AE374" s="439">
        <f t="shared" si="129"/>
        <v>0</v>
      </c>
      <c r="AF374" s="439">
        <f t="shared" si="129"/>
        <v>0</v>
      </c>
      <c r="AG374" s="439">
        <f t="shared" si="129"/>
        <v>0</v>
      </c>
      <c r="AH374" s="439">
        <f t="shared" si="129"/>
        <v>0</v>
      </c>
    </row>
  </sheetData>
  <autoFilter ref="A5:AJ372" xr:uid="{00000000-0009-0000-0000-000013000000}">
    <filterColumn colId="35">
      <filters blank="1"/>
    </filterColumn>
  </autoFilter>
  <mergeCells count="10">
    <mergeCell ref="D2:R2"/>
    <mergeCell ref="S2:AH2"/>
    <mergeCell ref="A4:A5"/>
    <mergeCell ref="B4:B5"/>
    <mergeCell ref="C4:C5"/>
    <mergeCell ref="D4:D5"/>
    <mergeCell ref="H4:O4"/>
    <mergeCell ref="P4:R4"/>
    <mergeCell ref="S4:AE4"/>
    <mergeCell ref="AF4:AH4"/>
  </mergeCells>
  <phoneticPr fontId="3" type="noConversion"/>
  <printOptions horizontalCentered="1"/>
  <pageMargins left="0.39370078740157483" right="0.39370078740157483" top="0.39370078740157483" bottom="0.39370078740157483" header="0.19685039370078741" footer="0.43307086614173229"/>
  <pageSetup paperSize="9" scale="60" orientation="landscape" r:id="rId1"/>
  <headerFooter alignWithMargins="0"/>
  <colBreaks count="1" manualBreakCount="1">
    <brk id="18" min="1" max="371"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tabColor theme="3" tint="0.59999389629810485"/>
  </sheetPr>
  <dimension ref="A1:AO118"/>
  <sheetViews>
    <sheetView view="pageBreakPreview" zoomScale="85" zoomScaleNormal="75" zoomScaleSheetLayoutView="85" workbookViewId="0">
      <pane xSplit="8" ySplit="6" topLeftCell="I7" activePane="bottomRight" state="frozen"/>
      <selection activeCell="I132" sqref="I132"/>
      <selection pane="topRight" activeCell="I132" sqref="I132"/>
      <selection pane="bottomLeft" activeCell="I132" sqref="I132"/>
      <selection pane="bottomRight" activeCell="I132" sqref="I132"/>
    </sheetView>
  </sheetViews>
  <sheetFormatPr defaultColWidth="13.5" defaultRowHeight="14.25"/>
  <cols>
    <col min="1" max="1" width="10.625" style="73" customWidth="1"/>
    <col min="2" max="2" width="13.125" style="803" customWidth="1"/>
    <col min="3" max="3" width="3.875" style="793" customWidth="1"/>
    <col min="4" max="4" width="8.5" style="699" hidden="1" customWidth="1"/>
    <col min="5" max="5" width="27.125" style="804" customWidth="1"/>
    <col min="6" max="6" width="10.125" style="805" hidden="1" customWidth="1"/>
    <col min="7" max="7" width="3.375" style="806" customWidth="1"/>
    <col min="8" max="17" width="9.625" style="799" customWidth="1"/>
    <col min="18" max="18" width="9.375" style="799" customWidth="1"/>
    <col min="19" max="21" width="9.625" style="799" customWidth="1"/>
    <col min="22" max="24" width="8.625" style="799" customWidth="1"/>
    <col min="25" max="25" width="8.625" style="906" customWidth="1"/>
    <col min="26" max="26" width="8.625" style="809" customWidth="1"/>
    <col min="27" max="33" width="8.625" style="799" customWidth="1"/>
    <col min="34" max="34" width="9.5" style="799" customWidth="1"/>
    <col min="35" max="37" width="8.625" style="799" customWidth="1"/>
    <col min="38" max="38" width="9.125" style="73" customWidth="1"/>
    <col min="39" max="39" width="5.125" style="73" bestFit="1" customWidth="1"/>
    <col min="40" max="41" width="8.125" style="73" bestFit="1" customWidth="1"/>
    <col min="42" max="16384" width="13.5" style="73"/>
  </cols>
  <sheetData>
    <row r="1" spans="1:41" s="67" customFormat="1" ht="42.6" customHeight="1">
      <c r="A1" s="583"/>
      <c r="B1" s="792"/>
      <c r="C1" s="793"/>
      <c r="D1" s="794"/>
      <c r="E1" s="795"/>
      <c r="F1" s="796"/>
      <c r="G1" s="797"/>
      <c r="H1" s="798" t="s">
        <v>1555</v>
      </c>
      <c r="I1" s="799"/>
      <c r="J1" s="799"/>
      <c r="K1" s="799"/>
      <c r="L1" s="800"/>
      <c r="M1" s="800"/>
      <c r="N1" s="800"/>
      <c r="O1" s="800"/>
      <c r="P1" s="800"/>
      <c r="Q1" s="800"/>
      <c r="R1" s="799"/>
      <c r="S1" s="799"/>
      <c r="T1" s="800"/>
      <c r="U1" s="800"/>
      <c r="V1" s="798" t="s">
        <v>1556</v>
      </c>
      <c r="W1" s="801"/>
      <c r="X1" s="800"/>
      <c r="Y1" s="796"/>
      <c r="Z1" s="802"/>
      <c r="AA1" s="799"/>
      <c r="AB1" s="799"/>
      <c r="AC1" s="799"/>
      <c r="AD1" s="800"/>
      <c r="AE1" s="799"/>
      <c r="AF1" s="800"/>
      <c r="AG1" s="800"/>
      <c r="AH1" s="800"/>
      <c r="AI1" s="800"/>
      <c r="AJ1" s="800"/>
      <c r="AK1" s="800"/>
    </row>
    <row r="2" spans="1:41" ht="29.1" customHeight="1">
      <c r="A2" s="72"/>
      <c r="U2" s="807" t="s">
        <v>1358</v>
      </c>
      <c r="Y2" s="808"/>
      <c r="AK2" s="807" t="s">
        <v>1358</v>
      </c>
    </row>
    <row r="3" spans="1:41" s="74" customFormat="1" ht="35.1" customHeight="1">
      <c r="A3" s="1060" t="s">
        <v>1557</v>
      </c>
      <c r="B3" s="1062" t="s">
        <v>1558</v>
      </c>
      <c r="C3" s="1064" t="s">
        <v>1559</v>
      </c>
      <c r="D3" s="1066" t="s">
        <v>1560</v>
      </c>
      <c r="E3" s="1068" t="s">
        <v>1561</v>
      </c>
      <c r="F3" s="1053" t="s">
        <v>1562</v>
      </c>
      <c r="G3" s="1055" t="s">
        <v>1563</v>
      </c>
      <c r="H3" s="810" t="s">
        <v>1564</v>
      </c>
      <c r="I3" s="811"/>
      <c r="J3" s="812"/>
      <c r="K3" s="1057" t="s">
        <v>1565</v>
      </c>
      <c r="L3" s="1058"/>
      <c r="M3" s="1058"/>
      <c r="N3" s="1058"/>
      <c r="O3" s="1058"/>
      <c r="P3" s="1058"/>
      <c r="Q3" s="1058"/>
      <c r="R3" s="1059"/>
      <c r="S3" s="1057" t="s">
        <v>1566</v>
      </c>
      <c r="T3" s="1058"/>
      <c r="U3" s="1059"/>
      <c r="V3" s="813" t="s">
        <v>1566</v>
      </c>
      <c r="W3" s="811"/>
      <c r="X3" s="811"/>
      <c r="Y3" s="811"/>
      <c r="Z3" s="811"/>
      <c r="AA3" s="811"/>
      <c r="AB3" s="811"/>
      <c r="AC3" s="811"/>
      <c r="AD3" s="811"/>
      <c r="AE3" s="811"/>
      <c r="AF3" s="811"/>
      <c r="AG3" s="811"/>
      <c r="AH3" s="811"/>
      <c r="AI3" s="1057" t="s">
        <v>1567</v>
      </c>
      <c r="AJ3" s="1058"/>
      <c r="AK3" s="1059"/>
      <c r="AL3" s="74" t="s">
        <v>1568</v>
      </c>
    </row>
    <row r="4" spans="1:41" s="74" customFormat="1" ht="28.5">
      <c r="A4" s="1061"/>
      <c r="B4" s="1063"/>
      <c r="C4" s="1065"/>
      <c r="D4" s="1067"/>
      <c r="E4" s="1069"/>
      <c r="F4" s="1054"/>
      <c r="G4" s="1056"/>
      <c r="H4" s="815"/>
      <c r="I4" s="816" t="s">
        <v>1569</v>
      </c>
      <c r="J4" s="816" t="s">
        <v>1570</v>
      </c>
      <c r="K4" s="815"/>
      <c r="L4" s="817" t="s">
        <v>1571</v>
      </c>
      <c r="M4" s="817" t="s">
        <v>1572</v>
      </c>
      <c r="N4" s="817" t="s">
        <v>1573</v>
      </c>
      <c r="O4" s="817" t="s">
        <v>1574</v>
      </c>
      <c r="P4" s="817" t="s">
        <v>1575</v>
      </c>
      <c r="Q4" s="817" t="s">
        <v>1576</v>
      </c>
      <c r="R4" s="818" t="s">
        <v>1577</v>
      </c>
      <c r="S4" s="814"/>
      <c r="T4" s="817" t="s">
        <v>1578</v>
      </c>
      <c r="U4" s="817" t="s">
        <v>56</v>
      </c>
      <c r="V4" s="819" t="s">
        <v>57</v>
      </c>
      <c r="W4" s="819" t="s">
        <v>58</v>
      </c>
      <c r="X4" s="819" t="s">
        <v>59</v>
      </c>
      <c r="Y4" s="819" t="s">
        <v>60</v>
      </c>
      <c r="Z4" s="819" t="s">
        <v>61</v>
      </c>
      <c r="AA4" s="819" t="s">
        <v>62</v>
      </c>
      <c r="AB4" s="819" t="s">
        <v>1579</v>
      </c>
      <c r="AC4" s="819" t="s">
        <v>64</v>
      </c>
      <c r="AD4" s="819" t="s">
        <v>65</v>
      </c>
      <c r="AE4" s="819" t="s">
        <v>66</v>
      </c>
      <c r="AF4" s="819" t="s">
        <v>67</v>
      </c>
      <c r="AG4" s="819" t="s">
        <v>68</v>
      </c>
      <c r="AH4" s="820" t="s">
        <v>1577</v>
      </c>
      <c r="AI4" s="821"/>
      <c r="AJ4" s="817" t="s">
        <v>1580</v>
      </c>
      <c r="AK4" s="817" t="s">
        <v>1581</v>
      </c>
    </row>
    <row r="5" spans="1:41" s="607" customFormat="1" ht="20.100000000000001" customHeight="1">
      <c r="A5" s="1019" t="s">
        <v>1564</v>
      </c>
      <c r="B5" s="1020"/>
      <c r="C5" s="1020"/>
      <c r="D5" s="1070"/>
      <c r="E5" s="1022"/>
      <c r="F5" s="822"/>
      <c r="G5" s="823"/>
      <c r="H5" s="603">
        <f t="shared" ref="H5:AK5" si="0">H6+H14+H29+H50+H62+H83+H94+H97+H81+H27</f>
        <v>4381020</v>
      </c>
      <c r="I5" s="603">
        <f t="shared" si="0"/>
        <v>440156</v>
      </c>
      <c r="J5" s="603">
        <f t="shared" si="0"/>
        <v>3940864</v>
      </c>
      <c r="K5" s="603">
        <f t="shared" si="0"/>
        <v>1997274.67</v>
      </c>
      <c r="L5" s="603">
        <f t="shared" si="0"/>
        <v>134893</v>
      </c>
      <c r="M5" s="603">
        <f t="shared" si="0"/>
        <v>66808</v>
      </c>
      <c r="N5" s="603">
        <f t="shared" si="0"/>
        <v>122727</v>
      </c>
      <c r="O5" s="603">
        <f t="shared" si="0"/>
        <v>235481.66999999998</v>
      </c>
      <c r="P5" s="603">
        <f t="shared" si="0"/>
        <v>180944</v>
      </c>
      <c r="Q5" s="603">
        <f t="shared" si="0"/>
        <v>245004</v>
      </c>
      <c r="R5" s="603">
        <f t="shared" si="0"/>
        <v>1011417</v>
      </c>
      <c r="S5" s="603">
        <f t="shared" si="0"/>
        <v>2263635.34</v>
      </c>
      <c r="T5" s="603">
        <f t="shared" si="0"/>
        <v>46864</v>
      </c>
      <c r="U5" s="603">
        <f t="shared" si="0"/>
        <v>86597</v>
      </c>
      <c r="V5" s="603">
        <f t="shared" si="0"/>
        <v>67508.92</v>
      </c>
      <c r="W5" s="603">
        <f t="shared" si="0"/>
        <v>120654.13</v>
      </c>
      <c r="X5" s="603">
        <f t="shared" si="0"/>
        <v>67025</v>
      </c>
      <c r="Y5" s="603">
        <f t="shared" si="0"/>
        <v>85297.86</v>
      </c>
      <c r="Z5" s="603">
        <f t="shared" si="0"/>
        <v>84087</v>
      </c>
      <c r="AA5" s="603">
        <f t="shared" si="0"/>
        <v>124073.43</v>
      </c>
      <c r="AB5" s="603">
        <f t="shared" si="0"/>
        <v>50335</v>
      </c>
      <c r="AC5" s="603">
        <f t="shared" si="0"/>
        <v>42288</v>
      </c>
      <c r="AD5" s="603">
        <f t="shared" si="0"/>
        <v>25763</v>
      </c>
      <c r="AE5" s="603">
        <f t="shared" si="0"/>
        <v>51452</v>
      </c>
      <c r="AF5" s="603">
        <f t="shared" si="0"/>
        <v>63045</v>
      </c>
      <c r="AG5" s="603">
        <f t="shared" si="0"/>
        <v>20773</v>
      </c>
      <c r="AH5" s="603">
        <f t="shared" si="0"/>
        <v>1327872</v>
      </c>
      <c r="AI5" s="603">
        <f t="shared" si="0"/>
        <v>120110</v>
      </c>
      <c r="AJ5" s="603">
        <f t="shared" si="0"/>
        <v>54686</v>
      </c>
      <c r="AK5" s="603">
        <f t="shared" si="0"/>
        <v>65424</v>
      </c>
      <c r="AL5" s="824">
        <f t="shared" ref="AL5:AL45" si="1">H5-K5-S5-AI5</f>
        <v>-9.9999997764825821E-3</v>
      </c>
      <c r="AM5" s="605">
        <f t="shared" ref="AM5:AM68" si="2">AI5-AJ5-AK5</f>
        <v>0</v>
      </c>
      <c r="AN5" s="605">
        <f t="shared" ref="AN5:AN68" si="3">S5-T5-U5-V5-W5-X5-Y5-Z5-AA5-AB5-AC5-AD5-AE5-AF5-AG5-AH5</f>
        <v>0</v>
      </c>
      <c r="AO5" s="606">
        <f t="shared" ref="AO5:AO68" si="4">K5-L5-M5-N5-O5-P5-Q5-R5</f>
        <v>0</v>
      </c>
    </row>
    <row r="6" spans="1:41" s="731" customFormat="1" ht="21.95" customHeight="1">
      <c r="A6" s="1006" t="s">
        <v>1582</v>
      </c>
      <c r="B6" s="1006"/>
      <c r="C6" s="1006"/>
      <c r="D6" s="1006"/>
      <c r="E6" s="1006"/>
      <c r="F6" s="825"/>
      <c r="G6" s="826"/>
      <c r="H6" s="730">
        <f t="shared" ref="H6:AK6" si="5">H8+H13+H7</f>
        <v>144300</v>
      </c>
      <c r="I6" s="730">
        <f t="shared" si="5"/>
        <v>60000</v>
      </c>
      <c r="J6" s="730">
        <f t="shared" si="5"/>
        <v>84300</v>
      </c>
      <c r="K6" s="730">
        <f t="shared" si="5"/>
        <v>75736</v>
      </c>
      <c r="L6" s="730">
        <f t="shared" si="5"/>
        <v>0</v>
      </c>
      <c r="M6" s="730">
        <f t="shared" si="5"/>
        <v>0</v>
      </c>
      <c r="N6" s="730">
        <f t="shared" si="5"/>
        <v>1300</v>
      </c>
      <c r="O6" s="730">
        <f t="shared" si="5"/>
        <v>1300</v>
      </c>
      <c r="P6" s="730">
        <f t="shared" si="5"/>
        <v>0</v>
      </c>
      <c r="Q6" s="730">
        <f t="shared" si="5"/>
        <v>0</v>
      </c>
      <c r="R6" s="730">
        <f t="shared" si="5"/>
        <v>73136</v>
      </c>
      <c r="S6" s="730">
        <f t="shared" si="5"/>
        <v>68564</v>
      </c>
      <c r="T6" s="730">
        <f t="shared" si="5"/>
        <v>0</v>
      </c>
      <c r="U6" s="730">
        <f t="shared" si="5"/>
        <v>13000</v>
      </c>
      <c r="V6" s="730">
        <f t="shared" si="5"/>
        <v>11200</v>
      </c>
      <c r="W6" s="730">
        <f t="shared" si="5"/>
        <v>0</v>
      </c>
      <c r="X6" s="730">
        <f t="shared" si="5"/>
        <v>0</v>
      </c>
      <c r="Y6" s="730">
        <f t="shared" si="5"/>
        <v>0</v>
      </c>
      <c r="Z6" s="730">
        <f t="shared" si="5"/>
        <v>0</v>
      </c>
      <c r="AA6" s="730">
        <f t="shared" si="5"/>
        <v>0</v>
      </c>
      <c r="AB6" s="730">
        <f t="shared" si="5"/>
        <v>0</v>
      </c>
      <c r="AC6" s="730">
        <f t="shared" si="5"/>
        <v>0</v>
      </c>
      <c r="AD6" s="730">
        <f t="shared" si="5"/>
        <v>0</v>
      </c>
      <c r="AE6" s="730">
        <f t="shared" si="5"/>
        <v>0</v>
      </c>
      <c r="AF6" s="730">
        <f t="shared" si="5"/>
        <v>0</v>
      </c>
      <c r="AG6" s="730">
        <f t="shared" si="5"/>
        <v>0</v>
      </c>
      <c r="AH6" s="730">
        <f t="shared" si="5"/>
        <v>44364</v>
      </c>
      <c r="AI6" s="730">
        <f t="shared" si="5"/>
        <v>0</v>
      </c>
      <c r="AJ6" s="730">
        <f t="shared" si="5"/>
        <v>0</v>
      </c>
      <c r="AK6" s="730">
        <f t="shared" si="5"/>
        <v>0</v>
      </c>
      <c r="AL6" s="827">
        <f t="shared" si="1"/>
        <v>0</v>
      </c>
      <c r="AM6" s="605">
        <f t="shared" si="2"/>
        <v>0</v>
      </c>
      <c r="AN6" s="605">
        <f t="shared" si="3"/>
        <v>0</v>
      </c>
      <c r="AO6" s="606">
        <f t="shared" si="4"/>
        <v>0</v>
      </c>
    </row>
    <row r="7" spans="1:41" s="833" customFormat="1" ht="34.5" customHeight="1">
      <c r="A7" s="670" t="s">
        <v>1386</v>
      </c>
      <c r="B7" s="612" t="s">
        <v>1386</v>
      </c>
      <c r="C7" s="613">
        <v>4</v>
      </c>
      <c r="D7" s="828"/>
      <c r="E7" s="829" t="s">
        <v>1387</v>
      </c>
      <c r="F7" s="825"/>
      <c r="G7" s="616">
        <v>1</v>
      </c>
      <c r="H7" s="620">
        <f>I7+J7</f>
        <v>60000</v>
      </c>
      <c r="I7" s="830">
        <v>60000</v>
      </c>
      <c r="J7" s="830"/>
      <c r="K7" s="830">
        <v>60000</v>
      </c>
      <c r="L7" s="830"/>
      <c r="M7" s="830"/>
      <c r="N7" s="830"/>
      <c r="O7" s="830"/>
      <c r="P7" s="830"/>
      <c r="Q7" s="830"/>
      <c r="R7" s="830">
        <v>60000</v>
      </c>
      <c r="S7" s="830"/>
      <c r="T7" s="830"/>
      <c r="U7" s="830"/>
      <c r="V7" s="830"/>
      <c r="W7" s="830"/>
      <c r="X7" s="830"/>
      <c r="Y7" s="830"/>
      <c r="Z7" s="830"/>
      <c r="AA7" s="830"/>
      <c r="AB7" s="830"/>
      <c r="AC7" s="830"/>
      <c r="AD7" s="830"/>
      <c r="AE7" s="830"/>
      <c r="AF7" s="830"/>
      <c r="AG7" s="830"/>
      <c r="AH7" s="830"/>
      <c r="AI7" s="830"/>
      <c r="AJ7" s="830"/>
      <c r="AK7" s="830"/>
      <c r="AL7" s="831">
        <f t="shared" si="1"/>
        <v>0</v>
      </c>
      <c r="AM7" s="832"/>
      <c r="AN7" s="832"/>
      <c r="AO7" s="832"/>
    </row>
    <row r="8" spans="1:41" s="624" customFormat="1" ht="23.45" customHeight="1">
      <c r="A8" s="1071" t="s">
        <v>1583</v>
      </c>
      <c r="B8" s="1027"/>
      <c r="C8" s="1028"/>
      <c r="D8" s="1028"/>
      <c r="E8" s="1027"/>
      <c r="F8" s="834"/>
      <c r="G8" s="616"/>
      <c r="H8" s="620">
        <f>H9+H10+H11+H12</f>
        <v>57500</v>
      </c>
      <c r="I8" s="620">
        <f t="shared" ref="I8:AK8" si="6">I9+I10+I11+I12</f>
        <v>0</v>
      </c>
      <c r="J8" s="620">
        <f t="shared" si="6"/>
        <v>57500</v>
      </c>
      <c r="K8" s="620">
        <f t="shared" si="6"/>
        <v>13136</v>
      </c>
      <c r="L8" s="620">
        <f t="shared" si="6"/>
        <v>0</v>
      </c>
      <c r="M8" s="620">
        <f t="shared" si="6"/>
        <v>0</v>
      </c>
      <c r="N8" s="620">
        <f t="shared" si="6"/>
        <v>0</v>
      </c>
      <c r="O8" s="620">
        <f t="shared" si="6"/>
        <v>0</v>
      </c>
      <c r="P8" s="620">
        <f t="shared" si="6"/>
        <v>0</v>
      </c>
      <c r="Q8" s="620">
        <f t="shared" si="6"/>
        <v>0</v>
      </c>
      <c r="R8" s="620">
        <f t="shared" si="6"/>
        <v>13136</v>
      </c>
      <c r="S8" s="620">
        <f t="shared" si="6"/>
        <v>44364</v>
      </c>
      <c r="T8" s="620">
        <f t="shared" si="6"/>
        <v>0</v>
      </c>
      <c r="U8" s="620">
        <f t="shared" si="6"/>
        <v>0</v>
      </c>
      <c r="V8" s="620">
        <f t="shared" si="6"/>
        <v>0</v>
      </c>
      <c r="W8" s="620">
        <f t="shared" si="6"/>
        <v>0</v>
      </c>
      <c r="X8" s="620">
        <f t="shared" si="6"/>
        <v>0</v>
      </c>
      <c r="Y8" s="620">
        <f t="shared" si="6"/>
        <v>0</v>
      </c>
      <c r="Z8" s="620">
        <f t="shared" si="6"/>
        <v>0</v>
      </c>
      <c r="AA8" s="620">
        <f t="shared" si="6"/>
        <v>0</v>
      </c>
      <c r="AB8" s="620">
        <f t="shared" si="6"/>
        <v>0</v>
      </c>
      <c r="AC8" s="620">
        <f t="shared" si="6"/>
        <v>0</v>
      </c>
      <c r="AD8" s="620">
        <f t="shared" si="6"/>
        <v>0</v>
      </c>
      <c r="AE8" s="620">
        <f t="shared" si="6"/>
        <v>0</v>
      </c>
      <c r="AF8" s="620">
        <f t="shared" si="6"/>
        <v>0</v>
      </c>
      <c r="AG8" s="620">
        <f t="shared" si="6"/>
        <v>0</v>
      </c>
      <c r="AH8" s="620">
        <f t="shared" si="6"/>
        <v>44364</v>
      </c>
      <c r="AI8" s="620">
        <f t="shared" si="6"/>
        <v>0</v>
      </c>
      <c r="AJ8" s="620">
        <f t="shared" si="6"/>
        <v>0</v>
      </c>
      <c r="AK8" s="620">
        <f t="shared" si="6"/>
        <v>0</v>
      </c>
      <c r="AL8" s="827">
        <f t="shared" si="1"/>
        <v>0</v>
      </c>
      <c r="AM8" s="605">
        <f t="shared" si="2"/>
        <v>0</v>
      </c>
      <c r="AN8" s="605">
        <f t="shared" si="3"/>
        <v>0</v>
      </c>
      <c r="AO8" s="606">
        <f t="shared" si="4"/>
        <v>0</v>
      </c>
    </row>
    <row r="9" spans="1:41" s="654" customFormat="1" ht="32.450000000000003" customHeight="1">
      <c r="A9" s="126" t="s">
        <v>755</v>
      </c>
      <c r="B9" s="126" t="s">
        <v>1584</v>
      </c>
      <c r="C9" s="625">
        <v>5</v>
      </c>
      <c r="D9" s="835" t="s">
        <v>1585</v>
      </c>
      <c r="E9" s="725" t="s">
        <v>1391</v>
      </c>
      <c r="F9" s="836">
        <v>1</v>
      </c>
      <c r="G9" s="629">
        <v>1</v>
      </c>
      <c r="H9" s="638">
        <v>28000</v>
      </c>
      <c r="I9" s="638"/>
      <c r="J9" s="638">
        <v>28000</v>
      </c>
      <c r="K9" s="638">
        <v>7636</v>
      </c>
      <c r="L9" s="638"/>
      <c r="M9" s="638"/>
      <c r="N9" s="638"/>
      <c r="O9" s="638"/>
      <c r="P9" s="638"/>
      <c r="Q9" s="638"/>
      <c r="R9" s="638">
        <v>7636</v>
      </c>
      <c r="S9" s="638">
        <v>20364</v>
      </c>
      <c r="T9" s="638"/>
      <c r="U9" s="638"/>
      <c r="V9" s="638"/>
      <c r="W9" s="638"/>
      <c r="X9" s="638"/>
      <c r="Y9" s="638"/>
      <c r="Z9" s="638"/>
      <c r="AA9" s="638"/>
      <c r="AB9" s="638"/>
      <c r="AC9" s="638"/>
      <c r="AD9" s="638"/>
      <c r="AE9" s="638"/>
      <c r="AF9" s="638"/>
      <c r="AG9" s="638"/>
      <c r="AH9" s="638">
        <v>20364</v>
      </c>
      <c r="AI9" s="638">
        <v>0</v>
      </c>
      <c r="AJ9" s="638"/>
      <c r="AK9" s="638"/>
      <c r="AL9" s="827">
        <f t="shared" si="1"/>
        <v>0</v>
      </c>
      <c r="AM9" s="605">
        <f t="shared" si="2"/>
        <v>0</v>
      </c>
      <c r="AN9" s="605">
        <f t="shared" si="3"/>
        <v>0</v>
      </c>
      <c r="AO9" s="606">
        <f t="shared" si="4"/>
        <v>0</v>
      </c>
    </row>
    <row r="10" spans="1:41" s="654" customFormat="1" ht="30" customHeight="1">
      <c r="A10" s="126" t="s">
        <v>755</v>
      </c>
      <c r="B10" s="126" t="s">
        <v>1584</v>
      </c>
      <c r="C10" s="625">
        <v>5</v>
      </c>
      <c r="D10" s="837" t="s">
        <v>1586</v>
      </c>
      <c r="E10" s="723" t="s">
        <v>1587</v>
      </c>
      <c r="F10" s="838">
        <v>1</v>
      </c>
      <c r="G10" s="636">
        <v>1</v>
      </c>
      <c r="H10" s="638">
        <f>SUM(I10:J10)</f>
        <v>0</v>
      </c>
      <c r="I10" s="638"/>
      <c r="J10" s="638"/>
      <c r="K10" s="638">
        <f>SUM(L10:R10)</f>
        <v>0</v>
      </c>
      <c r="L10" s="638"/>
      <c r="M10" s="638"/>
      <c r="N10" s="638"/>
      <c r="O10" s="638"/>
      <c r="P10" s="638"/>
      <c r="Q10" s="638"/>
      <c r="R10" s="638"/>
      <c r="S10" s="638">
        <f>SUM(T10:AH10)</f>
        <v>0</v>
      </c>
      <c r="T10" s="638"/>
      <c r="U10" s="638"/>
      <c r="V10" s="638"/>
      <c r="W10" s="638"/>
      <c r="X10" s="638"/>
      <c r="Y10" s="638"/>
      <c r="Z10" s="638"/>
      <c r="AA10" s="638"/>
      <c r="AB10" s="638"/>
      <c r="AC10" s="638"/>
      <c r="AD10" s="638"/>
      <c r="AE10" s="638"/>
      <c r="AF10" s="638"/>
      <c r="AG10" s="638"/>
      <c r="AH10" s="638"/>
      <c r="AI10" s="638"/>
      <c r="AJ10" s="638"/>
      <c r="AK10" s="638"/>
      <c r="AL10" s="827">
        <f t="shared" si="1"/>
        <v>0</v>
      </c>
      <c r="AM10" s="605">
        <f t="shared" si="2"/>
        <v>0</v>
      </c>
      <c r="AN10" s="605">
        <f t="shared" si="3"/>
        <v>0</v>
      </c>
      <c r="AO10" s="606">
        <f t="shared" si="4"/>
        <v>0</v>
      </c>
    </row>
    <row r="11" spans="1:41" s="654" customFormat="1" ht="30" customHeight="1">
      <c r="A11" s="126" t="s">
        <v>755</v>
      </c>
      <c r="B11" s="126" t="s">
        <v>1584</v>
      </c>
      <c r="C11" s="625">
        <v>5</v>
      </c>
      <c r="D11" s="837" t="s">
        <v>1586</v>
      </c>
      <c r="E11" s="723" t="s">
        <v>1395</v>
      </c>
      <c r="F11" s="838">
        <v>1</v>
      </c>
      <c r="G11" s="636">
        <v>1</v>
      </c>
      <c r="H11" s="638">
        <v>29500</v>
      </c>
      <c r="I11" s="638"/>
      <c r="J11" s="638">
        <v>29500</v>
      </c>
      <c r="K11" s="638">
        <v>5500</v>
      </c>
      <c r="L11" s="638"/>
      <c r="M11" s="638"/>
      <c r="N11" s="638"/>
      <c r="O11" s="638"/>
      <c r="P11" s="638"/>
      <c r="Q11" s="638"/>
      <c r="R11" s="638">
        <v>5500</v>
      </c>
      <c r="S11" s="638">
        <v>24000</v>
      </c>
      <c r="T11" s="638"/>
      <c r="U11" s="638"/>
      <c r="V11" s="638"/>
      <c r="W11" s="638"/>
      <c r="X11" s="638"/>
      <c r="Y11" s="638"/>
      <c r="Z11" s="638"/>
      <c r="AA11" s="638"/>
      <c r="AB11" s="638"/>
      <c r="AC11" s="638"/>
      <c r="AD11" s="638"/>
      <c r="AE11" s="638"/>
      <c r="AF11" s="638"/>
      <c r="AG11" s="638"/>
      <c r="AH11" s="638">
        <v>24000</v>
      </c>
      <c r="AI11" s="638"/>
      <c r="AJ11" s="638"/>
      <c r="AK11" s="638"/>
      <c r="AL11" s="827">
        <f t="shared" si="1"/>
        <v>0</v>
      </c>
      <c r="AM11" s="605">
        <f t="shared" si="2"/>
        <v>0</v>
      </c>
      <c r="AN11" s="605">
        <f t="shared" si="3"/>
        <v>0</v>
      </c>
      <c r="AO11" s="606">
        <f t="shared" si="4"/>
        <v>0</v>
      </c>
    </row>
    <row r="12" spans="1:41" s="654" customFormat="1" ht="30" customHeight="1">
      <c r="A12" s="126" t="s">
        <v>755</v>
      </c>
      <c r="B12" s="126" t="s">
        <v>1584</v>
      </c>
      <c r="C12" s="625">
        <v>5</v>
      </c>
      <c r="D12" s="837" t="s">
        <v>1586</v>
      </c>
      <c r="E12" s="725" t="s">
        <v>1396</v>
      </c>
      <c r="F12" s="838">
        <v>1</v>
      </c>
      <c r="G12" s="636">
        <v>1</v>
      </c>
      <c r="H12" s="638">
        <f>SUM(I12:J12)</f>
        <v>0</v>
      </c>
      <c r="I12" s="638"/>
      <c r="J12" s="638"/>
      <c r="K12" s="638">
        <f>SUM(L12:R12)</f>
        <v>0</v>
      </c>
      <c r="L12" s="638"/>
      <c r="M12" s="638"/>
      <c r="N12" s="638"/>
      <c r="O12" s="638"/>
      <c r="P12" s="638"/>
      <c r="Q12" s="638"/>
      <c r="R12" s="638"/>
      <c r="S12" s="638">
        <f>SUM(T12:AH12)</f>
        <v>0</v>
      </c>
      <c r="T12" s="638"/>
      <c r="U12" s="638"/>
      <c r="V12" s="638"/>
      <c r="W12" s="638"/>
      <c r="X12" s="638"/>
      <c r="Y12" s="638"/>
      <c r="Z12" s="638"/>
      <c r="AA12" s="638"/>
      <c r="AB12" s="638"/>
      <c r="AC12" s="638"/>
      <c r="AD12" s="638"/>
      <c r="AE12" s="638"/>
      <c r="AF12" s="638"/>
      <c r="AG12" s="638"/>
      <c r="AH12" s="638"/>
      <c r="AI12" s="638"/>
      <c r="AJ12" s="638"/>
      <c r="AK12" s="638"/>
      <c r="AL12" s="827">
        <f t="shared" si="1"/>
        <v>0</v>
      </c>
      <c r="AM12" s="605">
        <f t="shared" si="2"/>
        <v>0</v>
      </c>
      <c r="AN12" s="605">
        <f t="shared" si="3"/>
        <v>0</v>
      </c>
      <c r="AO12" s="606">
        <f t="shared" si="4"/>
        <v>0</v>
      </c>
    </row>
    <row r="13" spans="1:41" s="624" customFormat="1" ht="20.100000000000001" customHeight="1">
      <c r="A13" s="670" t="s">
        <v>1386</v>
      </c>
      <c r="B13" s="615" t="s">
        <v>260</v>
      </c>
      <c r="C13" s="639">
        <v>5</v>
      </c>
      <c r="D13" s="625">
        <v>5.9</v>
      </c>
      <c r="E13" s="747" t="s">
        <v>1397</v>
      </c>
      <c r="F13" s="839">
        <v>1</v>
      </c>
      <c r="G13" s="616">
        <v>3</v>
      </c>
      <c r="H13" s="620">
        <v>26800</v>
      </c>
      <c r="I13" s="620"/>
      <c r="J13" s="620">
        <v>26800</v>
      </c>
      <c r="K13" s="620">
        <v>2600</v>
      </c>
      <c r="L13" s="620"/>
      <c r="M13" s="620"/>
      <c r="N13" s="620">
        <v>1300</v>
      </c>
      <c r="O13" s="620">
        <v>1300</v>
      </c>
      <c r="P13" s="620"/>
      <c r="Q13" s="620"/>
      <c r="R13" s="620">
        <v>0</v>
      </c>
      <c r="S13" s="620">
        <v>24200</v>
      </c>
      <c r="T13" s="620"/>
      <c r="U13" s="620">
        <v>13000</v>
      </c>
      <c r="V13" s="620">
        <v>11200</v>
      </c>
      <c r="W13" s="620"/>
      <c r="X13" s="620"/>
      <c r="Y13" s="620"/>
      <c r="Z13" s="620"/>
      <c r="AA13" s="620"/>
      <c r="AB13" s="620"/>
      <c r="AC13" s="620"/>
      <c r="AD13" s="620"/>
      <c r="AE13" s="620"/>
      <c r="AF13" s="620"/>
      <c r="AG13" s="620"/>
      <c r="AH13" s="620"/>
      <c r="AI13" s="620">
        <v>0</v>
      </c>
      <c r="AJ13" s="620"/>
      <c r="AK13" s="620"/>
      <c r="AL13" s="827">
        <f t="shared" si="1"/>
        <v>0</v>
      </c>
      <c r="AM13" s="605">
        <f t="shared" si="2"/>
        <v>0</v>
      </c>
      <c r="AN13" s="605">
        <f t="shared" si="3"/>
        <v>0</v>
      </c>
      <c r="AO13" s="606">
        <f t="shared" si="4"/>
        <v>0</v>
      </c>
    </row>
    <row r="14" spans="1:41" s="843" customFormat="1" ht="21.95" customHeight="1">
      <c r="A14" s="1029" t="s">
        <v>878</v>
      </c>
      <c r="B14" s="1030"/>
      <c r="C14" s="1030"/>
      <c r="D14" s="1072"/>
      <c r="E14" s="1032"/>
      <c r="F14" s="825"/>
      <c r="G14" s="609"/>
      <c r="H14" s="840">
        <f t="shared" ref="H14:AK14" si="7">H15+H18+H25+H26</f>
        <v>1320000</v>
      </c>
      <c r="I14" s="840">
        <f t="shared" si="7"/>
        <v>0</v>
      </c>
      <c r="J14" s="840">
        <f t="shared" si="7"/>
        <v>1320000</v>
      </c>
      <c r="K14" s="840">
        <f t="shared" si="7"/>
        <v>610026.67000000004</v>
      </c>
      <c r="L14" s="840">
        <f t="shared" si="7"/>
        <v>13950</v>
      </c>
      <c r="M14" s="840">
        <f t="shared" si="7"/>
        <v>7750</v>
      </c>
      <c r="N14" s="840">
        <f t="shared" si="7"/>
        <v>11750</v>
      </c>
      <c r="O14" s="840">
        <f t="shared" si="7"/>
        <v>30406.67</v>
      </c>
      <c r="P14" s="840">
        <f t="shared" si="7"/>
        <v>33150</v>
      </c>
      <c r="Q14" s="840">
        <f t="shared" si="7"/>
        <v>13020</v>
      </c>
      <c r="R14" s="840">
        <f t="shared" si="7"/>
        <v>500000</v>
      </c>
      <c r="S14" s="840">
        <f t="shared" si="7"/>
        <v>658973.34</v>
      </c>
      <c r="T14" s="840">
        <f t="shared" si="7"/>
        <v>5750</v>
      </c>
      <c r="U14" s="840">
        <f t="shared" si="7"/>
        <v>5750</v>
      </c>
      <c r="V14" s="840">
        <f t="shared" si="7"/>
        <v>7599.92</v>
      </c>
      <c r="W14" s="840">
        <f t="shared" si="7"/>
        <v>13099.130000000001</v>
      </c>
      <c r="X14" s="840">
        <f t="shared" si="7"/>
        <v>5450</v>
      </c>
      <c r="Y14" s="840">
        <f t="shared" si="7"/>
        <v>21312.86</v>
      </c>
      <c r="Z14" s="840">
        <f t="shared" si="7"/>
        <v>4750</v>
      </c>
      <c r="AA14" s="840">
        <f t="shared" si="7"/>
        <v>13531.43</v>
      </c>
      <c r="AB14" s="840">
        <f t="shared" si="7"/>
        <v>7750</v>
      </c>
      <c r="AC14" s="840">
        <f t="shared" si="7"/>
        <v>5250</v>
      </c>
      <c r="AD14" s="840">
        <f t="shared" si="7"/>
        <v>4750</v>
      </c>
      <c r="AE14" s="840">
        <f t="shared" si="7"/>
        <v>5750</v>
      </c>
      <c r="AF14" s="840">
        <f t="shared" si="7"/>
        <v>4750</v>
      </c>
      <c r="AG14" s="840">
        <f t="shared" si="7"/>
        <v>5750</v>
      </c>
      <c r="AH14" s="840">
        <f t="shared" si="7"/>
        <v>547730</v>
      </c>
      <c r="AI14" s="840">
        <f t="shared" si="7"/>
        <v>51000</v>
      </c>
      <c r="AJ14" s="840">
        <f t="shared" si="7"/>
        <v>25500</v>
      </c>
      <c r="AK14" s="840">
        <f t="shared" si="7"/>
        <v>25500</v>
      </c>
      <c r="AL14" s="827">
        <f t="shared" si="1"/>
        <v>-1.0000000009313226E-2</v>
      </c>
      <c r="AM14" s="841">
        <f t="shared" si="2"/>
        <v>0</v>
      </c>
      <c r="AN14" s="841">
        <f t="shared" si="3"/>
        <v>0</v>
      </c>
      <c r="AO14" s="842">
        <f t="shared" si="4"/>
        <v>0</v>
      </c>
    </row>
    <row r="15" spans="1:41" s="624" customFormat="1" ht="20.100000000000001" customHeight="1">
      <c r="A15" s="844" t="s">
        <v>1588</v>
      </c>
      <c r="B15" s="647"/>
      <c r="C15" s="734"/>
      <c r="D15" s="647"/>
      <c r="E15" s="641"/>
      <c r="F15" s="845"/>
      <c r="G15" s="616"/>
      <c r="H15" s="649">
        <f>H16+H17</f>
        <v>0</v>
      </c>
      <c r="I15" s="649">
        <f t="shared" ref="I15:AK15" si="8">I16+I17</f>
        <v>0</v>
      </c>
      <c r="J15" s="649">
        <f t="shared" si="8"/>
        <v>0</v>
      </c>
      <c r="K15" s="649">
        <f t="shared" si="8"/>
        <v>0</v>
      </c>
      <c r="L15" s="649">
        <f t="shared" si="8"/>
        <v>0</v>
      </c>
      <c r="M15" s="649">
        <f t="shared" si="8"/>
        <v>0</v>
      </c>
      <c r="N15" s="649">
        <f t="shared" si="8"/>
        <v>0</v>
      </c>
      <c r="O15" s="649">
        <f t="shared" si="8"/>
        <v>0</v>
      </c>
      <c r="P15" s="649">
        <f t="shared" si="8"/>
        <v>0</v>
      </c>
      <c r="Q15" s="649">
        <f t="shared" si="8"/>
        <v>0</v>
      </c>
      <c r="R15" s="649">
        <f t="shared" si="8"/>
        <v>0</v>
      </c>
      <c r="S15" s="649">
        <f t="shared" si="8"/>
        <v>0</v>
      </c>
      <c r="T15" s="649">
        <f t="shared" si="8"/>
        <v>0</v>
      </c>
      <c r="U15" s="649">
        <f t="shared" si="8"/>
        <v>0</v>
      </c>
      <c r="V15" s="649">
        <f t="shared" si="8"/>
        <v>0</v>
      </c>
      <c r="W15" s="649">
        <f t="shared" si="8"/>
        <v>0</v>
      </c>
      <c r="X15" s="649">
        <f t="shared" si="8"/>
        <v>0</v>
      </c>
      <c r="Y15" s="649">
        <f t="shared" si="8"/>
        <v>0</v>
      </c>
      <c r="Z15" s="649">
        <f t="shared" si="8"/>
        <v>0</v>
      </c>
      <c r="AA15" s="649">
        <f t="shared" si="8"/>
        <v>0</v>
      </c>
      <c r="AB15" s="649">
        <f t="shared" si="8"/>
        <v>0</v>
      </c>
      <c r="AC15" s="649">
        <f t="shared" si="8"/>
        <v>0</v>
      </c>
      <c r="AD15" s="649">
        <f t="shared" si="8"/>
        <v>0</v>
      </c>
      <c r="AE15" s="649">
        <f t="shared" si="8"/>
        <v>0</v>
      </c>
      <c r="AF15" s="649">
        <f t="shared" si="8"/>
        <v>0</v>
      </c>
      <c r="AG15" s="649">
        <f t="shared" si="8"/>
        <v>0</v>
      </c>
      <c r="AH15" s="649">
        <f t="shared" si="8"/>
        <v>0</v>
      </c>
      <c r="AI15" s="649">
        <f t="shared" si="8"/>
        <v>0</v>
      </c>
      <c r="AJ15" s="649">
        <f t="shared" si="8"/>
        <v>0</v>
      </c>
      <c r="AK15" s="649">
        <f t="shared" si="8"/>
        <v>0</v>
      </c>
      <c r="AL15" s="827">
        <f t="shared" si="1"/>
        <v>0</v>
      </c>
      <c r="AM15" s="605">
        <f t="shared" si="2"/>
        <v>0</v>
      </c>
      <c r="AN15" s="605">
        <f t="shared" si="3"/>
        <v>0</v>
      </c>
      <c r="AO15" s="606">
        <f t="shared" si="4"/>
        <v>0</v>
      </c>
    </row>
    <row r="16" spans="1:41" s="654" customFormat="1" ht="30.6" customHeight="1">
      <c r="A16" s="126" t="s">
        <v>80</v>
      </c>
      <c r="B16" s="627" t="s">
        <v>1589</v>
      </c>
      <c r="C16" s="625">
        <v>4</v>
      </c>
      <c r="D16" s="837"/>
      <c r="E16" s="723" t="s">
        <v>1401</v>
      </c>
      <c r="F16" s="846"/>
      <c r="G16" s="629">
        <v>1</v>
      </c>
      <c r="H16" s="663">
        <f>I16+J16</f>
        <v>0</v>
      </c>
      <c r="I16" s="663">
        <v>0</v>
      </c>
      <c r="J16" s="663">
        <v>0</v>
      </c>
      <c r="K16" s="663">
        <f>SUM(L16:R16)</f>
        <v>0</v>
      </c>
      <c r="L16" s="663">
        <v>0</v>
      </c>
      <c r="M16" s="663">
        <v>0</v>
      </c>
      <c r="N16" s="663">
        <v>0</v>
      </c>
      <c r="O16" s="663">
        <v>0</v>
      </c>
      <c r="P16" s="663">
        <v>0</v>
      </c>
      <c r="Q16" s="663">
        <v>0</v>
      </c>
      <c r="R16" s="663">
        <v>0</v>
      </c>
      <c r="S16" s="663">
        <f>SUM(T16:AH16)</f>
        <v>0</v>
      </c>
      <c r="T16" s="663">
        <v>0</v>
      </c>
      <c r="U16" s="663">
        <v>0</v>
      </c>
      <c r="V16" s="663">
        <v>0</v>
      </c>
      <c r="W16" s="663">
        <v>0</v>
      </c>
      <c r="X16" s="663">
        <v>0</v>
      </c>
      <c r="Y16" s="663">
        <v>0</v>
      </c>
      <c r="Z16" s="663">
        <v>0</v>
      </c>
      <c r="AA16" s="663">
        <v>0</v>
      </c>
      <c r="AB16" s="663">
        <v>0</v>
      </c>
      <c r="AC16" s="663">
        <v>0</v>
      </c>
      <c r="AD16" s="663">
        <v>0</v>
      </c>
      <c r="AE16" s="663">
        <v>0</v>
      </c>
      <c r="AF16" s="663">
        <v>0</v>
      </c>
      <c r="AG16" s="663">
        <v>0</v>
      </c>
      <c r="AH16" s="663">
        <v>0</v>
      </c>
      <c r="AI16" s="663">
        <f>SUM(AJ16:AK16)</f>
        <v>0</v>
      </c>
      <c r="AJ16" s="663">
        <v>0</v>
      </c>
      <c r="AK16" s="663">
        <v>0</v>
      </c>
      <c r="AL16" s="827">
        <f t="shared" si="1"/>
        <v>0</v>
      </c>
      <c r="AM16" s="605">
        <f t="shared" si="2"/>
        <v>0</v>
      </c>
      <c r="AN16" s="605">
        <f t="shared" si="3"/>
        <v>0</v>
      </c>
      <c r="AO16" s="606">
        <f t="shared" si="4"/>
        <v>0</v>
      </c>
    </row>
    <row r="17" spans="1:41" s="654" customFormat="1" ht="20.100000000000001" customHeight="1">
      <c r="A17" s="126" t="s">
        <v>80</v>
      </c>
      <c r="B17" s="627" t="s">
        <v>1589</v>
      </c>
      <c r="C17" s="625">
        <v>5</v>
      </c>
      <c r="D17" s="837" t="s">
        <v>1403</v>
      </c>
      <c r="E17" s="723" t="s">
        <v>1404</v>
      </c>
      <c r="F17" s="846">
        <v>1</v>
      </c>
      <c r="G17" s="629">
        <v>1</v>
      </c>
      <c r="H17" s="663">
        <f>I17+J17</f>
        <v>0</v>
      </c>
      <c r="I17" s="663">
        <v>0</v>
      </c>
      <c r="J17" s="663">
        <v>0</v>
      </c>
      <c r="K17" s="663">
        <f>SUM(L17:R17)</f>
        <v>0</v>
      </c>
      <c r="L17" s="663">
        <v>0</v>
      </c>
      <c r="M17" s="663">
        <v>0</v>
      </c>
      <c r="N17" s="663">
        <v>0</v>
      </c>
      <c r="O17" s="663">
        <v>0</v>
      </c>
      <c r="P17" s="663">
        <v>0</v>
      </c>
      <c r="Q17" s="663">
        <v>0</v>
      </c>
      <c r="R17" s="663">
        <v>0</v>
      </c>
      <c r="S17" s="663">
        <f>SUM(T17:AH17)</f>
        <v>0</v>
      </c>
      <c r="T17" s="663">
        <v>0</v>
      </c>
      <c r="U17" s="663">
        <v>0</v>
      </c>
      <c r="V17" s="663">
        <v>0</v>
      </c>
      <c r="W17" s="663">
        <v>0</v>
      </c>
      <c r="X17" s="663">
        <v>0</v>
      </c>
      <c r="Y17" s="663">
        <v>0</v>
      </c>
      <c r="Z17" s="663">
        <v>0</v>
      </c>
      <c r="AA17" s="663">
        <v>0</v>
      </c>
      <c r="AB17" s="663">
        <v>0</v>
      </c>
      <c r="AC17" s="663">
        <v>0</v>
      </c>
      <c r="AD17" s="663">
        <v>0</v>
      </c>
      <c r="AE17" s="663">
        <v>0</v>
      </c>
      <c r="AF17" s="663">
        <v>0</v>
      </c>
      <c r="AG17" s="663">
        <v>0</v>
      </c>
      <c r="AH17" s="663">
        <v>0</v>
      </c>
      <c r="AI17" s="663">
        <f>SUM(AJ17:AK17)</f>
        <v>0</v>
      </c>
      <c r="AJ17" s="663">
        <v>0</v>
      </c>
      <c r="AK17" s="663">
        <v>0</v>
      </c>
      <c r="AL17" s="827">
        <f t="shared" si="1"/>
        <v>0</v>
      </c>
      <c r="AM17" s="605">
        <f t="shared" si="2"/>
        <v>0</v>
      </c>
      <c r="AN17" s="605">
        <f t="shared" si="3"/>
        <v>0</v>
      </c>
      <c r="AO17" s="606">
        <f t="shared" si="4"/>
        <v>0</v>
      </c>
    </row>
    <row r="18" spans="1:41" s="624" customFormat="1" ht="20.100000000000001" customHeight="1">
      <c r="A18" s="844" t="s">
        <v>1590</v>
      </c>
      <c r="B18" s="647"/>
      <c r="C18" s="734"/>
      <c r="D18" s="647"/>
      <c r="E18" s="641"/>
      <c r="F18" s="845"/>
      <c r="G18" s="616"/>
      <c r="H18" s="649">
        <f t="shared" ref="H18:AK18" si="9">SUM(H19:H24)</f>
        <v>1266000</v>
      </c>
      <c r="I18" s="649">
        <f t="shared" si="9"/>
        <v>0</v>
      </c>
      <c r="J18" s="649">
        <f t="shared" si="9"/>
        <v>1266000</v>
      </c>
      <c r="K18" s="649">
        <f t="shared" si="9"/>
        <v>591600</v>
      </c>
      <c r="L18" s="649">
        <f t="shared" si="9"/>
        <v>13950</v>
      </c>
      <c r="M18" s="649">
        <f t="shared" si="9"/>
        <v>7750</v>
      </c>
      <c r="N18" s="649">
        <f t="shared" si="9"/>
        <v>11750</v>
      </c>
      <c r="O18" s="649">
        <f t="shared" si="9"/>
        <v>12250</v>
      </c>
      <c r="P18" s="649">
        <f t="shared" si="9"/>
        <v>33150</v>
      </c>
      <c r="Q18" s="649">
        <f t="shared" si="9"/>
        <v>12750</v>
      </c>
      <c r="R18" s="649">
        <f t="shared" si="9"/>
        <v>500000</v>
      </c>
      <c r="S18" s="649">
        <f t="shared" si="9"/>
        <v>623400</v>
      </c>
      <c r="T18" s="649">
        <f t="shared" si="9"/>
        <v>5750</v>
      </c>
      <c r="U18" s="649">
        <f t="shared" si="9"/>
        <v>5750</v>
      </c>
      <c r="V18" s="649">
        <f t="shared" si="9"/>
        <v>6450</v>
      </c>
      <c r="W18" s="649">
        <f t="shared" si="9"/>
        <v>5750</v>
      </c>
      <c r="X18" s="649">
        <f t="shared" si="9"/>
        <v>5450</v>
      </c>
      <c r="Y18" s="649">
        <f t="shared" si="9"/>
        <v>5750</v>
      </c>
      <c r="Z18" s="649">
        <f t="shared" si="9"/>
        <v>4750</v>
      </c>
      <c r="AA18" s="649">
        <f t="shared" si="9"/>
        <v>5750</v>
      </c>
      <c r="AB18" s="649">
        <f t="shared" si="9"/>
        <v>4750</v>
      </c>
      <c r="AC18" s="649">
        <f t="shared" si="9"/>
        <v>5250</v>
      </c>
      <c r="AD18" s="649">
        <f t="shared" si="9"/>
        <v>4750</v>
      </c>
      <c r="AE18" s="649">
        <f t="shared" si="9"/>
        <v>5750</v>
      </c>
      <c r="AF18" s="649">
        <f t="shared" si="9"/>
        <v>4750</v>
      </c>
      <c r="AG18" s="649">
        <f t="shared" si="9"/>
        <v>5750</v>
      </c>
      <c r="AH18" s="649">
        <f t="shared" si="9"/>
        <v>547000</v>
      </c>
      <c r="AI18" s="649">
        <f t="shared" si="9"/>
        <v>51000</v>
      </c>
      <c r="AJ18" s="649">
        <f t="shared" si="9"/>
        <v>25500</v>
      </c>
      <c r="AK18" s="649">
        <f t="shared" si="9"/>
        <v>25500</v>
      </c>
      <c r="AL18" s="827">
        <f t="shared" si="1"/>
        <v>0</v>
      </c>
      <c r="AM18" s="605">
        <f t="shared" si="2"/>
        <v>0</v>
      </c>
      <c r="AN18" s="605">
        <f t="shared" si="3"/>
        <v>0</v>
      </c>
      <c r="AO18" s="606">
        <f t="shared" si="4"/>
        <v>0</v>
      </c>
    </row>
    <row r="19" spans="1:41" s="654" customFormat="1" ht="20.100000000000001" customHeight="1">
      <c r="A19" s="126" t="s">
        <v>80</v>
      </c>
      <c r="B19" s="126" t="s">
        <v>1591</v>
      </c>
      <c r="C19" s="625">
        <v>2</v>
      </c>
      <c r="D19" s="837" t="s">
        <v>1592</v>
      </c>
      <c r="E19" s="847" t="s">
        <v>1408</v>
      </c>
      <c r="F19" s="848">
        <v>1</v>
      </c>
      <c r="G19" s="629">
        <v>6</v>
      </c>
      <c r="H19" s="663">
        <f t="shared" ref="H19:H24" si="10">I19+J19</f>
        <v>0</v>
      </c>
      <c r="I19" s="663">
        <v>0</v>
      </c>
      <c r="J19" s="663">
        <v>0</v>
      </c>
      <c r="K19" s="663">
        <f t="shared" ref="K19:K24" si="11">SUM(L19:R19)</f>
        <v>0</v>
      </c>
      <c r="L19" s="663"/>
      <c r="M19" s="663"/>
      <c r="N19" s="663"/>
      <c r="O19" s="663"/>
      <c r="P19" s="663"/>
      <c r="Q19" s="663"/>
      <c r="R19" s="663">
        <v>0</v>
      </c>
      <c r="S19" s="663">
        <f t="shared" ref="S19:S24" si="12">SUM(T19:AH19)</f>
        <v>0</v>
      </c>
      <c r="T19" s="663"/>
      <c r="U19" s="663"/>
      <c r="V19" s="663"/>
      <c r="W19" s="663"/>
      <c r="X19" s="663"/>
      <c r="Y19" s="663"/>
      <c r="Z19" s="663"/>
      <c r="AA19" s="663"/>
      <c r="AB19" s="663"/>
      <c r="AC19" s="663"/>
      <c r="AD19" s="663"/>
      <c r="AE19" s="663"/>
      <c r="AF19" s="663"/>
      <c r="AG19" s="663"/>
      <c r="AH19" s="663"/>
      <c r="AI19" s="663">
        <f t="shared" ref="AI19:AI24" si="13">SUM(AJ19:AK19)</f>
        <v>0</v>
      </c>
      <c r="AJ19" s="663"/>
      <c r="AK19" s="663"/>
      <c r="AL19" s="827">
        <f t="shared" si="1"/>
        <v>0</v>
      </c>
      <c r="AM19" s="605">
        <f t="shared" si="2"/>
        <v>0</v>
      </c>
      <c r="AN19" s="605">
        <f t="shared" si="3"/>
        <v>0</v>
      </c>
      <c r="AO19" s="606">
        <f t="shared" si="4"/>
        <v>0</v>
      </c>
    </row>
    <row r="20" spans="1:41" s="633" customFormat="1" ht="35.450000000000003" customHeight="1">
      <c r="A20" s="126" t="s">
        <v>80</v>
      </c>
      <c r="B20" s="126" t="s">
        <v>1591</v>
      </c>
      <c r="C20" s="625">
        <v>2</v>
      </c>
      <c r="D20" s="837" t="s">
        <v>1593</v>
      </c>
      <c r="E20" s="721" t="s">
        <v>1410</v>
      </c>
      <c r="F20" s="848">
        <v>1</v>
      </c>
      <c r="G20" s="664">
        <v>6</v>
      </c>
      <c r="H20" s="663">
        <f t="shared" si="10"/>
        <v>49000</v>
      </c>
      <c r="I20" s="663">
        <v>0</v>
      </c>
      <c r="J20" s="663">
        <v>49000</v>
      </c>
      <c r="K20" s="663">
        <f t="shared" si="11"/>
        <v>25100</v>
      </c>
      <c r="L20" s="663">
        <v>6200</v>
      </c>
      <c r="M20" s="663">
        <v>0</v>
      </c>
      <c r="N20" s="663">
        <v>4000</v>
      </c>
      <c r="O20" s="663">
        <v>4500</v>
      </c>
      <c r="P20" s="663">
        <v>5400</v>
      </c>
      <c r="Q20" s="663">
        <v>5000</v>
      </c>
      <c r="R20" s="663">
        <v>0</v>
      </c>
      <c r="S20" s="663">
        <f t="shared" si="12"/>
        <v>23900</v>
      </c>
      <c r="T20" s="663">
        <v>2000</v>
      </c>
      <c r="U20" s="663">
        <v>2000</v>
      </c>
      <c r="V20" s="663">
        <v>2700</v>
      </c>
      <c r="W20" s="663">
        <v>2000</v>
      </c>
      <c r="X20" s="663">
        <v>1700</v>
      </c>
      <c r="Y20" s="663">
        <v>2000</v>
      </c>
      <c r="Z20" s="663">
        <v>1000</v>
      </c>
      <c r="AA20" s="663">
        <v>2000</v>
      </c>
      <c r="AB20" s="663">
        <v>1000</v>
      </c>
      <c r="AC20" s="663">
        <v>1500</v>
      </c>
      <c r="AD20" s="663">
        <v>1000</v>
      </c>
      <c r="AE20" s="663">
        <v>2000</v>
      </c>
      <c r="AF20" s="663">
        <v>1000</v>
      </c>
      <c r="AG20" s="663">
        <v>2000</v>
      </c>
      <c r="AH20" s="663">
        <v>0</v>
      </c>
      <c r="AI20" s="663">
        <f t="shared" si="13"/>
        <v>0</v>
      </c>
      <c r="AJ20" s="663"/>
      <c r="AK20" s="663"/>
      <c r="AL20" s="827">
        <f t="shared" si="1"/>
        <v>0</v>
      </c>
      <c r="AM20" s="605">
        <f t="shared" si="2"/>
        <v>0</v>
      </c>
      <c r="AN20" s="605">
        <f t="shared" si="3"/>
        <v>0</v>
      </c>
      <c r="AO20" s="606">
        <f t="shared" si="4"/>
        <v>0</v>
      </c>
    </row>
    <row r="21" spans="1:41" s="633" customFormat="1" ht="20.100000000000001" customHeight="1">
      <c r="A21" s="126" t="s">
        <v>80</v>
      </c>
      <c r="B21" s="126" t="s">
        <v>1591</v>
      </c>
      <c r="C21" s="625">
        <v>2</v>
      </c>
      <c r="D21" s="837" t="s">
        <v>1594</v>
      </c>
      <c r="E21" s="721" t="s">
        <v>1412</v>
      </c>
      <c r="F21" s="848">
        <v>1</v>
      </c>
      <c r="G21" s="664">
        <v>6</v>
      </c>
      <c r="H21" s="663">
        <f t="shared" si="10"/>
        <v>0</v>
      </c>
      <c r="I21" s="663">
        <v>0</v>
      </c>
      <c r="J21" s="663">
        <v>0</v>
      </c>
      <c r="K21" s="663">
        <f t="shared" si="11"/>
        <v>0</v>
      </c>
      <c r="L21" s="663"/>
      <c r="M21" s="663"/>
      <c r="N21" s="663"/>
      <c r="O21" s="663"/>
      <c r="P21" s="663"/>
      <c r="Q21" s="663"/>
      <c r="R21" s="663">
        <v>0</v>
      </c>
      <c r="S21" s="663">
        <f t="shared" si="12"/>
        <v>0</v>
      </c>
      <c r="T21" s="663"/>
      <c r="U21" s="663"/>
      <c r="V21" s="663"/>
      <c r="W21" s="663"/>
      <c r="X21" s="663"/>
      <c r="Y21" s="663"/>
      <c r="Z21" s="663"/>
      <c r="AA21" s="663"/>
      <c r="AB21" s="663"/>
      <c r="AC21" s="663"/>
      <c r="AD21" s="663"/>
      <c r="AE21" s="663"/>
      <c r="AF21" s="663"/>
      <c r="AG21" s="663"/>
      <c r="AH21" s="663"/>
      <c r="AI21" s="663">
        <f t="shared" si="13"/>
        <v>0</v>
      </c>
      <c r="AJ21" s="663"/>
      <c r="AK21" s="663"/>
      <c r="AL21" s="827">
        <f t="shared" si="1"/>
        <v>0</v>
      </c>
      <c r="AM21" s="605">
        <f t="shared" si="2"/>
        <v>0</v>
      </c>
      <c r="AN21" s="605">
        <f t="shared" si="3"/>
        <v>0</v>
      </c>
      <c r="AO21" s="606">
        <f t="shared" si="4"/>
        <v>0</v>
      </c>
    </row>
    <row r="22" spans="1:41" s="633" customFormat="1" ht="28.5" customHeight="1">
      <c r="A22" s="126" t="s">
        <v>80</v>
      </c>
      <c r="B22" s="126" t="s">
        <v>1591</v>
      </c>
      <c r="C22" s="625">
        <v>3</v>
      </c>
      <c r="D22" s="837" t="s">
        <v>1413</v>
      </c>
      <c r="E22" s="726" t="s">
        <v>1414</v>
      </c>
      <c r="F22" s="848">
        <v>1</v>
      </c>
      <c r="G22" s="664">
        <v>6</v>
      </c>
      <c r="H22" s="663">
        <f t="shared" si="10"/>
        <v>20000</v>
      </c>
      <c r="I22" s="663">
        <v>0</v>
      </c>
      <c r="J22" s="663">
        <v>20000</v>
      </c>
      <c r="K22" s="663">
        <f t="shared" si="11"/>
        <v>20000</v>
      </c>
      <c r="L22" s="663"/>
      <c r="M22" s="663"/>
      <c r="N22" s="663"/>
      <c r="O22" s="663"/>
      <c r="P22" s="663">
        <v>20000</v>
      </c>
      <c r="Q22" s="663"/>
      <c r="R22" s="663">
        <v>0</v>
      </c>
      <c r="S22" s="663">
        <f t="shared" si="12"/>
        <v>0</v>
      </c>
      <c r="T22" s="663"/>
      <c r="U22" s="663"/>
      <c r="V22" s="663"/>
      <c r="W22" s="663"/>
      <c r="X22" s="663"/>
      <c r="Y22" s="663"/>
      <c r="Z22" s="663"/>
      <c r="AA22" s="663"/>
      <c r="AB22" s="663"/>
      <c r="AC22" s="663"/>
      <c r="AD22" s="663"/>
      <c r="AE22" s="663"/>
      <c r="AF22" s="663"/>
      <c r="AG22" s="663"/>
      <c r="AH22" s="663"/>
      <c r="AI22" s="663">
        <f t="shared" si="13"/>
        <v>0</v>
      </c>
      <c r="AJ22" s="663"/>
      <c r="AK22" s="663"/>
      <c r="AL22" s="827">
        <f t="shared" si="1"/>
        <v>0</v>
      </c>
      <c r="AM22" s="605">
        <f t="shared" si="2"/>
        <v>0</v>
      </c>
      <c r="AN22" s="605">
        <f t="shared" si="3"/>
        <v>0</v>
      </c>
      <c r="AO22" s="606">
        <f t="shared" si="4"/>
        <v>0</v>
      </c>
    </row>
    <row r="23" spans="1:41" s="633" customFormat="1" ht="35.450000000000003" customHeight="1">
      <c r="A23" s="126" t="s">
        <v>80</v>
      </c>
      <c r="B23" s="126" t="s">
        <v>1591</v>
      </c>
      <c r="C23" s="625">
        <v>5</v>
      </c>
      <c r="D23" s="837" t="s">
        <v>1415</v>
      </c>
      <c r="E23" s="721" t="s">
        <v>1416</v>
      </c>
      <c r="F23" s="848">
        <v>1</v>
      </c>
      <c r="G23" s="664">
        <v>4</v>
      </c>
      <c r="H23" s="663">
        <v>1097000</v>
      </c>
      <c r="I23" s="663">
        <v>0</v>
      </c>
      <c r="J23" s="663">
        <v>1097000</v>
      </c>
      <c r="K23" s="663">
        <v>500000</v>
      </c>
      <c r="L23" s="663"/>
      <c r="M23" s="663"/>
      <c r="N23" s="663"/>
      <c r="O23" s="663"/>
      <c r="P23" s="663"/>
      <c r="Q23" s="663"/>
      <c r="R23" s="663">
        <v>500000</v>
      </c>
      <c r="S23" s="663">
        <v>547000</v>
      </c>
      <c r="T23" s="663"/>
      <c r="U23" s="663"/>
      <c r="V23" s="663"/>
      <c r="W23" s="663"/>
      <c r="X23" s="663"/>
      <c r="Y23" s="663"/>
      <c r="Z23" s="663"/>
      <c r="AA23" s="663"/>
      <c r="AB23" s="663"/>
      <c r="AC23" s="663"/>
      <c r="AD23" s="663"/>
      <c r="AE23" s="663"/>
      <c r="AF23" s="663"/>
      <c r="AG23" s="663"/>
      <c r="AH23" s="663">
        <v>547000</v>
      </c>
      <c r="AI23" s="663">
        <v>50000</v>
      </c>
      <c r="AJ23" s="663">
        <v>25000</v>
      </c>
      <c r="AK23" s="663">
        <v>25000</v>
      </c>
      <c r="AL23" s="827">
        <f t="shared" si="1"/>
        <v>0</v>
      </c>
      <c r="AM23" s="605">
        <f t="shared" si="2"/>
        <v>0</v>
      </c>
      <c r="AN23" s="605">
        <f t="shared" si="3"/>
        <v>0</v>
      </c>
      <c r="AO23" s="606">
        <f t="shared" si="4"/>
        <v>0</v>
      </c>
    </row>
    <row r="24" spans="1:41" s="669" customFormat="1" ht="20.100000000000001" customHeight="1">
      <c r="A24" s="126" t="s">
        <v>80</v>
      </c>
      <c r="B24" s="126" t="s">
        <v>1591</v>
      </c>
      <c r="C24" s="625">
        <v>5</v>
      </c>
      <c r="D24" s="837" t="s">
        <v>1417</v>
      </c>
      <c r="E24" s="726" t="s">
        <v>1418</v>
      </c>
      <c r="F24" s="849">
        <v>1</v>
      </c>
      <c r="G24" s="664">
        <v>4</v>
      </c>
      <c r="H24" s="663">
        <f t="shared" si="10"/>
        <v>100000</v>
      </c>
      <c r="I24" s="663">
        <v>0</v>
      </c>
      <c r="J24" s="663">
        <v>100000</v>
      </c>
      <c r="K24" s="663">
        <f t="shared" si="11"/>
        <v>46500</v>
      </c>
      <c r="L24" s="663">
        <v>7750</v>
      </c>
      <c r="M24" s="663">
        <v>7750</v>
      </c>
      <c r="N24" s="663">
        <v>7750</v>
      </c>
      <c r="O24" s="663">
        <v>7750</v>
      </c>
      <c r="P24" s="663">
        <v>7750</v>
      </c>
      <c r="Q24" s="663">
        <v>7750</v>
      </c>
      <c r="R24" s="663"/>
      <c r="S24" s="663">
        <f t="shared" si="12"/>
        <v>52500</v>
      </c>
      <c r="T24" s="663">
        <v>3750</v>
      </c>
      <c r="U24" s="663">
        <v>3750</v>
      </c>
      <c r="V24" s="663">
        <v>3750</v>
      </c>
      <c r="W24" s="663">
        <v>3750</v>
      </c>
      <c r="X24" s="663">
        <v>3750</v>
      </c>
      <c r="Y24" s="663">
        <v>3750</v>
      </c>
      <c r="Z24" s="663">
        <v>3750</v>
      </c>
      <c r="AA24" s="663">
        <v>3750</v>
      </c>
      <c r="AB24" s="663">
        <v>3750</v>
      </c>
      <c r="AC24" s="663">
        <v>3750</v>
      </c>
      <c r="AD24" s="663">
        <v>3750</v>
      </c>
      <c r="AE24" s="663">
        <v>3750</v>
      </c>
      <c r="AF24" s="663">
        <v>3750</v>
      </c>
      <c r="AG24" s="663">
        <v>3750</v>
      </c>
      <c r="AH24" s="663">
        <v>0</v>
      </c>
      <c r="AI24" s="663">
        <f t="shared" si="13"/>
        <v>1000</v>
      </c>
      <c r="AJ24" s="663">
        <v>500</v>
      </c>
      <c r="AK24" s="663">
        <v>500</v>
      </c>
      <c r="AL24" s="827">
        <f t="shared" si="1"/>
        <v>0</v>
      </c>
      <c r="AM24" s="605">
        <f t="shared" si="2"/>
        <v>0</v>
      </c>
      <c r="AN24" s="605">
        <f t="shared" si="3"/>
        <v>0</v>
      </c>
      <c r="AO24" s="606">
        <f t="shared" si="4"/>
        <v>0</v>
      </c>
    </row>
    <row r="25" spans="1:41" s="678" customFormat="1" ht="20.100000000000001" customHeight="1">
      <c r="A25" s="670" t="s">
        <v>80</v>
      </c>
      <c r="B25" s="670" t="s">
        <v>1595</v>
      </c>
      <c r="C25" s="639">
        <v>5</v>
      </c>
      <c r="D25" s="837" t="s">
        <v>1403</v>
      </c>
      <c r="E25" s="850" t="s">
        <v>1404</v>
      </c>
      <c r="F25" s="839">
        <v>1</v>
      </c>
      <c r="G25" s="672" t="s">
        <v>1596</v>
      </c>
      <c r="H25" s="649">
        <f>I25+J25</f>
        <v>50000</v>
      </c>
      <c r="I25" s="649"/>
      <c r="J25" s="649">
        <v>50000</v>
      </c>
      <c r="K25" s="649">
        <f>SUM(L25:R25)</f>
        <v>18156.669999999998</v>
      </c>
      <c r="L25" s="649"/>
      <c r="M25" s="649"/>
      <c r="N25" s="649"/>
      <c r="O25" s="649">
        <v>18156.669999999998</v>
      </c>
      <c r="P25" s="649"/>
      <c r="Q25" s="649"/>
      <c r="R25" s="649"/>
      <c r="S25" s="649">
        <f>SUM(T25:AH25)</f>
        <v>31843.34</v>
      </c>
      <c r="T25" s="649"/>
      <c r="U25" s="649"/>
      <c r="V25" s="649">
        <v>1149.92</v>
      </c>
      <c r="W25" s="649">
        <v>7349.13</v>
      </c>
      <c r="X25" s="649"/>
      <c r="Y25" s="649">
        <v>15562.86</v>
      </c>
      <c r="Z25" s="649"/>
      <c r="AA25" s="649">
        <v>7781.43</v>
      </c>
      <c r="AB25" s="649"/>
      <c r="AC25" s="649"/>
      <c r="AD25" s="649"/>
      <c r="AE25" s="649"/>
      <c r="AF25" s="649"/>
      <c r="AG25" s="649"/>
      <c r="AH25" s="649"/>
      <c r="AI25" s="649">
        <f>SUM(AJ25:AK25)</f>
        <v>0</v>
      </c>
      <c r="AJ25" s="649"/>
      <c r="AK25" s="649"/>
      <c r="AL25" s="827">
        <f t="shared" si="1"/>
        <v>-9.9999999983992893E-3</v>
      </c>
      <c r="AM25" s="605">
        <f t="shared" si="2"/>
        <v>0</v>
      </c>
      <c r="AN25" s="605">
        <f t="shared" si="3"/>
        <v>-3.637978807091713E-12</v>
      </c>
      <c r="AO25" s="606">
        <f t="shared" si="4"/>
        <v>0</v>
      </c>
    </row>
    <row r="26" spans="1:41" s="678" customFormat="1" ht="20.100000000000001" customHeight="1">
      <c r="A26" s="670" t="s">
        <v>80</v>
      </c>
      <c r="B26" s="670" t="s">
        <v>1597</v>
      </c>
      <c r="C26" s="639">
        <v>5</v>
      </c>
      <c r="D26" s="837" t="s">
        <v>1403</v>
      </c>
      <c r="E26" s="850" t="s">
        <v>1404</v>
      </c>
      <c r="F26" s="839">
        <v>1</v>
      </c>
      <c r="G26" s="672" t="s">
        <v>1596</v>
      </c>
      <c r="H26" s="649">
        <f>I26+J26</f>
        <v>4000</v>
      </c>
      <c r="I26" s="649"/>
      <c r="J26" s="649">
        <v>4000</v>
      </c>
      <c r="K26" s="649">
        <f>SUM(L26:R26)</f>
        <v>270</v>
      </c>
      <c r="L26" s="649"/>
      <c r="M26" s="649"/>
      <c r="N26" s="649"/>
      <c r="O26" s="649"/>
      <c r="P26" s="649"/>
      <c r="Q26" s="649">
        <v>270</v>
      </c>
      <c r="R26" s="649"/>
      <c r="S26" s="649">
        <f>SUM(T26:AH26)</f>
        <v>3730</v>
      </c>
      <c r="T26" s="649"/>
      <c r="U26" s="649"/>
      <c r="V26" s="649"/>
      <c r="W26" s="649"/>
      <c r="X26" s="649"/>
      <c r="Y26" s="649"/>
      <c r="Z26" s="649"/>
      <c r="AA26" s="649"/>
      <c r="AB26" s="649">
        <v>3000</v>
      </c>
      <c r="AC26" s="649"/>
      <c r="AD26" s="649"/>
      <c r="AE26" s="649"/>
      <c r="AF26" s="649"/>
      <c r="AG26" s="649"/>
      <c r="AH26" s="649">
        <v>730</v>
      </c>
      <c r="AI26" s="649">
        <f>SUM(AJ26:AK26)</f>
        <v>0</v>
      </c>
      <c r="AJ26" s="649"/>
      <c r="AK26" s="649"/>
      <c r="AL26" s="827">
        <f t="shared" si="1"/>
        <v>0</v>
      </c>
      <c r="AM26" s="605">
        <f t="shared" si="2"/>
        <v>0</v>
      </c>
      <c r="AN26" s="605">
        <f t="shared" si="3"/>
        <v>0</v>
      </c>
      <c r="AO26" s="606">
        <f t="shared" si="4"/>
        <v>0</v>
      </c>
    </row>
    <row r="27" spans="1:41" s="685" customFormat="1" ht="21.95" customHeight="1">
      <c r="A27" s="1037" t="s">
        <v>1598</v>
      </c>
      <c r="B27" s="1038"/>
      <c r="C27" s="1038"/>
      <c r="D27" s="1040"/>
      <c r="E27" s="1039"/>
      <c r="F27" s="839"/>
      <c r="G27" s="682"/>
      <c r="H27" s="684">
        <f>H28</f>
        <v>28850</v>
      </c>
      <c r="I27" s="684">
        <f t="shared" ref="I27:AK27" si="14">I28</f>
        <v>0</v>
      </c>
      <c r="J27" s="684">
        <f t="shared" si="14"/>
        <v>28850</v>
      </c>
      <c r="K27" s="684">
        <f t="shared" si="14"/>
        <v>17300</v>
      </c>
      <c r="L27" s="684">
        <f t="shared" si="14"/>
        <v>4100</v>
      </c>
      <c r="M27" s="684">
        <f t="shared" si="14"/>
        <v>4650</v>
      </c>
      <c r="N27" s="684">
        <f t="shared" si="14"/>
        <v>2025</v>
      </c>
      <c r="O27" s="684">
        <f t="shared" si="14"/>
        <v>1175</v>
      </c>
      <c r="P27" s="684">
        <f t="shared" si="14"/>
        <v>1675</v>
      </c>
      <c r="Q27" s="684">
        <f t="shared" si="14"/>
        <v>3675</v>
      </c>
      <c r="R27" s="684">
        <f t="shared" si="14"/>
        <v>0</v>
      </c>
      <c r="S27" s="684">
        <f t="shared" si="14"/>
        <v>11000</v>
      </c>
      <c r="T27" s="684">
        <f t="shared" si="14"/>
        <v>750</v>
      </c>
      <c r="U27" s="684">
        <f t="shared" si="14"/>
        <v>900</v>
      </c>
      <c r="V27" s="684">
        <f t="shared" si="14"/>
        <v>775</v>
      </c>
      <c r="W27" s="684">
        <f t="shared" si="14"/>
        <v>1425</v>
      </c>
      <c r="X27" s="684">
        <f t="shared" si="14"/>
        <v>675</v>
      </c>
      <c r="Y27" s="684">
        <f t="shared" si="14"/>
        <v>1150</v>
      </c>
      <c r="Z27" s="684">
        <f t="shared" si="14"/>
        <v>975</v>
      </c>
      <c r="AA27" s="684">
        <f t="shared" si="14"/>
        <v>1150</v>
      </c>
      <c r="AB27" s="684">
        <f t="shared" si="14"/>
        <v>575</v>
      </c>
      <c r="AC27" s="684">
        <f t="shared" si="14"/>
        <v>550</v>
      </c>
      <c r="AD27" s="684">
        <f t="shared" si="14"/>
        <v>300</v>
      </c>
      <c r="AE27" s="684">
        <f t="shared" si="14"/>
        <v>625</v>
      </c>
      <c r="AF27" s="684">
        <f t="shared" si="14"/>
        <v>475</v>
      </c>
      <c r="AG27" s="684">
        <f t="shared" si="14"/>
        <v>675</v>
      </c>
      <c r="AH27" s="684">
        <f t="shared" si="14"/>
        <v>0</v>
      </c>
      <c r="AI27" s="684">
        <f t="shared" si="14"/>
        <v>550</v>
      </c>
      <c r="AJ27" s="684">
        <f t="shared" si="14"/>
        <v>275</v>
      </c>
      <c r="AK27" s="684">
        <f t="shared" si="14"/>
        <v>275</v>
      </c>
      <c r="AL27" s="827">
        <f t="shared" si="1"/>
        <v>0</v>
      </c>
      <c r="AM27" s="851"/>
      <c r="AN27" s="851"/>
      <c r="AO27" s="851"/>
    </row>
    <row r="28" spans="1:41" s="691" customFormat="1" ht="39" customHeight="1">
      <c r="A28" s="126" t="s">
        <v>1599</v>
      </c>
      <c r="B28" s="126" t="s">
        <v>1600</v>
      </c>
      <c r="C28" s="625">
        <v>4</v>
      </c>
      <c r="D28" s="837"/>
      <c r="E28" s="627" t="s">
        <v>1601</v>
      </c>
      <c r="F28" s="839"/>
      <c r="G28" s="687">
        <v>1</v>
      </c>
      <c r="H28" s="663">
        <v>28850</v>
      </c>
      <c r="I28" s="663"/>
      <c r="J28" s="663">
        <v>28850</v>
      </c>
      <c r="K28" s="663">
        <v>17300</v>
      </c>
      <c r="L28" s="663">
        <v>4100</v>
      </c>
      <c r="M28" s="663">
        <v>4650</v>
      </c>
      <c r="N28" s="663">
        <v>2025</v>
      </c>
      <c r="O28" s="663">
        <v>1175</v>
      </c>
      <c r="P28" s="663">
        <v>1675</v>
      </c>
      <c r="Q28" s="663">
        <v>3675</v>
      </c>
      <c r="R28" s="663"/>
      <c r="S28" s="663">
        <v>11000</v>
      </c>
      <c r="T28" s="663">
        <v>750</v>
      </c>
      <c r="U28" s="663">
        <v>900</v>
      </c>
      <c r="V28" s="663">
        <v>775</v>
      </c>
      <c r="W28" s="663">
        <v>1425</v>
      </c>
      <c r="X28" s="663">
        <v>675</v>
      </c>
      <c r="Y28" s="663">
        <v>1150</v>
      </c>
      <c r="Z28" s="663">
        <v>975</v>
      </c>
      <c r="AA28" s="663">
        <v>1150</v>
      </c>
      <c r="AB28" s="663">
        <v>575</v>
      </c>
      <c r="AC28" s="663">
        <v>550</v>
      </c>
      <c r="AD28" s="663">
        <v>300</v>
      </c>
      <c r="AE28" s="663">
        <v>625</v>
      </c>
      <c r="AF28" s="663">
        <v>475</v>
      </c>
      <c r="AG28" s="663">
        <v>675</v>
      </c>
      <c r="AH28" s="663"/>
      <c r="AI28" s="663">
        <v>550</v>
      </c>
      <c r="AJ28" s="663">
        <v>275</v>
      </c>
      <c r="AK28" s="663">
        <v>275</v>
      </c>
      <c r="AL28" s="827">
        <f t="shared" si="1"/>
        <v>0</v>
      </c>
      <c r="AM28" s="606"/>
      <c r="AN28" s="606"/>
      <c r="AO28" s="606"/>
    </row>
    <row r="29" spans="1:41" s="694" customFormat="1" ht="21.95" customHeight="1">
      <c r="A29" s="1037" t="s">
        <v>1602</v>
      </c>
      <c r="B29" s="1038"/>
      <c r="C29" s="1038"/>
      <c r="D29" s="1040"/>
      <c r="E29" s="1039"/>
      <c r="F29" s="852"/>
      <c r="G29" s="682"/>
      <c r="H29" s="693">
        <f t="shared" ref="H29:AK29" si="15">H30+H38+H45</f>
        <v>778245</v>
      </c>
      <c r="I29" s="693">
        <f t="shared" si="15"/>
        <v>69431</v>
      </c>
      <c r="J29" s="693">
        <f t="shared" si="15"/>
        <v>708814</v>
      </c>
      <c r="K29" s="693">
        <f t="shared" si="15"/>
        <v>397728</v>
      </c>
      <c r="L29" s="693">
        <f t="shared" si="15"/>
        <v>53418</v>
      </c>
      <c r="M29" s="693">
        <f t="shared" si="15"/>
        <v>21440</v>
      </c>
      <c r="N29" s="693">
        <f t="shared" si="15"/>
        <v>57986</v>
      </c>
      <c r="O29" s="693">
        <f t="shared" si="15"/>
        <v>78839</v>
      </c>
      <c r="P29" s="693">
        <f t="shared" si="15"/>
        <v>49412</v>
      </c>
      <c r="Q29" s="693">
        <f t="shared" si="15"/>
        <v>94790</v>
      </c>
      <c r="R29" s="693">
        <f t="shared" si="15"/>
        <v>41843</v>
      </c>
      <c r="S29" s="693">
        <f t="shared" si="15"/>
        <v>364542</v>
      </c>
      <c r="T29" s="693">
        <f t="shared" si="15"/>
        <v>24066</v>
      </c>
      <c r="U29" s="693">
        <f t="shared" si="15"/>
        <v>25451</v>
      </c>
      <c r="V29" s="693">
        <f t="shared" si="15"/>
        <v>28948</v>
      </c>
      <c r="W29" s="693">
        <f t="shared" si="15"/>
        <v>27414</v>
      </c>
      <c r="X29" s="693">
        <f t="shared" si="15"/>
        <v>24954</v>
      </c>
      <c r="Y29" s="693">
        <f t="shared" si="15"/>
        <v>20033</v>
      </c>
      <c r="Z29" s="693">
        <f t="shared" si="15"/>
        <v>12896</v>
      </c>
      <c r="AA29" s="693">
        <f t="shared" si="15"/>
        <v>29451</v>
      </c>
      <c r="AB29" s="693">
        <f t="shared" si="15"/>
        <v>17159</v>
      </c>
      <c r="AC29" s="693">
        <f t="shared" si="15"/>
        <v>14052</v>
      </c>
      <c r="AD29" s="693">
        <f t="shared" si="15"/>
        <v>9398</v>
      </c>
      <c r="AE29" s="693">
        <f t="shared" si="15"/>
        <v>23470</v>
      </c>
      <c r="AF29" s="693">
        <f t="shared" si="15"/>
        <v>32360</v>
      </c>
      <c r="AG29" s="693">
        <f t="shared" si="15"/>
        <v>8553</v>
      </c>
      <c r="AH29" s="693">
        <f t="shared" si="15"/>
        <v>66337</v>
      </c>
      <c r="AI29" s="693">
        <f t="shared" si="15"/>
        <v>15975</v>
      </c>
      <c r="AJ29" s="693">
        <f t="shared" si="15"/>
        <v>7421</v>
      </c>
      <c r="AK29" s="693">
        <f t="shared" si="15"/>
        <v>8554</v>
      </c>
      <c r="AL29" s="827">
        <f t="shared" si="1"/>
        <v>0</v>
      </c>
      <c r="AM29" s="605">
        <f t="shared" si="2"/>
        <v>0</v>
      </c>
      <c r="AN29" s="605">
        <f t="shared" si="3"/>
        <v>0</v>
      </c>
      <c r="AO29" s="606">
        <f t="shared" si="4"/>
        <v>0</v>
      </c>
    </row>
    <row r="30" spans="1:41" s="695" customFormat="1" ht="20.100000000000001" customHeight="1">
      <c r="A30" s="844" t="s">
        <v>1603</v>
      </c>
      <c r="B30" s="647"/>
      <c r="C30" s="734"/>
      <c r="D30" s="647"/>
      <c r="E30" s="641"/>
      <c r="F30" s="839"/>
      <c r="G30" s="616"/>
      <c r="H30" s="649">
        <f t="shared" ref="H30:AK30" si="16">SUM(H31:H37)</f>
        <v>224927</v>
      </c>
      <c r="I30" s="649">
        <f t="shared" si="16"/>
        <v>68293</v>
      </c>
      <c r="J30" s="649">
        <f t="shared" si="16"/>
        <v>156634</v>
      </c>
      <c r="K30" s="649">
        <f t="shared" si="16"/>
        <v>110541</v>
      </c>
      <c r="L30" s="649">
        <f t="shared" si="16"/>
        <v>19376</v>
      </c>
      <c r="M30" s="649">
        <f t="shared" si="16"/>
        <v>13063</v>
      </c>
      <c r="N30" s="649">
        <f t="shared" si="16"/>
        <v>13223</v>
      </c>
      <c r="O30" s="649">
        <f t="shared" si="16"/>
        <v>16624</v>
      </c>
      <c r="P30" s="649">
        <f t="shared" si="16"/>
        <v>13449</v>
      </c>
      <c r="Q30" s="649">
        <f t="shared" si="16"/>
        <v>18352</v>
      </c>
      <c r="R30" s="649">
        <f t="shared" si="16"/>
        <v>16454</v>
      </c>
      <c r="S30" s="649">
        <f t="shared" si="16"/>
        <v>111437</v>
      </c>
      <c r="T30" s="649">
        <f t="shared" si="16"/>
        <v>4850</v>
      </c>
      <c r="U30" s="649">
        <f t="shared" si="16"/>
        <v>5164</v>
      </c>
      <c r="V30" s="649">
        <f t="shared" si="16"/>
        <v>6445</v>
      </c>
      <c r="W30" s="649">
        <f t="shared" si="16"/>
        <v>10121</v>
      </c>
      <c r="X30" s="649">
        <f t="shared" si="16"/>
        <v>6342</v>
      </c>
      <c r="Y30" s="649">
        <f t="shared" si="16"/>
        <v>7845</v>
      </c>
      <c r="Z30" s="649">
        <f t="shared" si="16"/>
        <v>6309</v>
      </c>
      <c r="AA30" s="649">
        <f t="shared" si="16"/>
        <v>10008</v>
      </c>
      <c r="AB30" s="649">
        <f t="shared" si="16"/>
        <v>4691</v>
      </c>
      <c r="AC30" s="649">
        <f t="shared" si="16"/>
        <v>4876</v>
      </c>
      <c r="AD30" s="649">
        <f t="shared" si="16"/>
        <v>2062</v>
      </c>
      <c r="AE30" s="649">
        <f t="shared" si="16"/>
        <v>2867</v>
      </c>
      <c r="AF30" s="649">
        <f t="shared" si="16"/>
        <v>2460</v>
      </c>
      <c r="AG30" s="649">
        <f t="shared" si="16"/>
        <v>1498</v>
      </c>
      <c r="AH30" s="649">
        <f t="shared" si="16"/>
        <v>35899</v>
      </c>
      <c r="AI30" s="649">
        <f t="shared" si="16"/>
        <v>2949</v>
      </c>
      <c r="AJ30" s="649">
        <f t="shared" si="16"/>
        <v>1791</v>
      </c>
      <c r="AK30" s="649">
        <f t="shared" si="16"/>
        <v>1158</v>
      </c>
      <c r="AL30" s="853">
        <f t="shared" si="1"/>
        <v>0</v>
      </c>
      <c r="AM30" s="605">
        <f t="shared" si="2"/>
        <v>0</v>
      </c>
      <c r="AN30" s="605">
        <f t="shared" si="3"/>
        <v>0</v>
      </c>
      <c r="AO30" s="606">
        <f t="shared" si="4"/>
        <v>0</v>
      </c>
    </row>
    <row r="31" spans="1:41" s="856" customFormat="1" ht="27.6" hidden="1" customHeight="1">
      <c r="A31" s="627" t="s">
        <v>1604</v>
      </c>
      <c r="B31" s="627" t="s">
        <v>433</v>
      </c>
      <c r="C31" s="625">
        <v>4</v>
      </c>
      <c r="D31" s="837"/>
      <c r="E31" s="627" t="s">
        <v>1429</v>
      </c>
      <c r="F31" s="854">
        <v>2</v>
      </c>
      <c r="G31" s="629">
        <v>3</v>
      </c>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638"/>
      <c r="AG31" s="638"/>
      <c r="AH31" s="638"/>
      <c r="AI31" s="638"/>
      <c r="AJ31" s="638"/>
      <c r="AK31" s="638"/>
      <c r="AL31" s="855">
        <f t="shared" si="1"/>
        <v>0</v>
      </c>
      <c r="AM31" s="605">
        <f t="shared" si="2"/>
        <v>0</v>
      </c>
      <c r="AN31" s="605">
        <f t="shared" si="3"/>
        <v>0</v>
      </c>
      <c r="AO31" s="606">
        <f t="shared" si="4"/>
        <v>0</v>
      </c>
    </row>
    <row r="32" spans="1:41" s="699" customFormat="1" ht="28.5">
      <c r="A32" s="627" t="s">
        <v>1604</v>
      </c>
      <c r="B32" s="627" t="s">
        <v>433</v>
      </c>
      <c r="C32" s="625">
        <v>4</v>
      </c>
      <c r="D32" s="857">
        <v>4.0999999999999996</v>
      </c>
      <c r="E32" s="126" t="s">
        <v>1431</v>
      </c>
      <c r="F32" s="858">
        <v>2</v>
      </c>
      <c r="G32" s="629">
        <v>3</v>
      </c>
      <c r="H32" s="638">
        <v>37112</v>
      </c>
      <c r="I32" s="638">
        <v>27112</v>
      </c>
      <c r="J32" s="638">
        <v>10000</v>
      </c>
      <c r="K32" s="638">
        <v>8899</v>
      </c>
      <c r="L32" s="638"/>
      <c r="M32" s="638"/>
      <c r="N32" s="638"/>
      <c r="O32" s="638"/>
      <c r="P32" s="638"/>
      <c r="Q32" s="638"/>
      <c r="R32" s="638">
        <v>8899</v>
      </c>
      <c r="S32" s="638">
        <v>27449</v>
      </c>
      <c r="T32" s="638"/>
      <c r="U32" s="638"/>
      <c r="V32" s="638"/>
      <c r="W32" s="638"/>
      <c r="X32" s="638"/>
      <c r="Y32" s="638"/>
      <c r="Z32" s="638"/>
      <c r="AA32" s="638"/>
      <c r="AB32" s="638"/>
      <c r="AC32" s="638"/>
      <c r="AD32" s="638"/>
      <c r="AE32" s="638"/>
      <c r="AF32" s="638"/>
      <c r="AG32" s="638"/>
      <c r="AH32" s="638">
        <v>27449</v>
      </c>
      <c r="AI32" s="638">
        <v>764</v>
      </c>
      <c r="AJ32" s="638">
        <v>564</v>
      </c>
      <c r="AK32" s="638">
        <v>200</v>
      </c>
      <c r="AL32" s="855">
        <f t="shared" si="1"/>
        <v>0</v>
      </c>
      <c r="AM32" s="605">
        <f t="shared" si="2"/>
        <v>0</v>
      </c>
      <c r="AN32" s="605">
        <f t="shared" si="3"/>
        <v>0</v>
      </c>
      <c r="AO32" s="606">
        <f t="shared" si="4"/>
        <v>0</v>
      </c>
    </row>
    <row r="33" spans="1:41" s="699" customFormat="1" ht="40.5" customHeight="1">
      <c r="A33" s="627" t="s">
        <v>1604</v>
      </c>
      <c r="B33" s="627" t="s">
        <v>433</v>
      </c>
      <c r="C33" s="625">
        <v>4</v>
      </c>
      <c r="D33" s="859" t="s">
        <v>1605</v>
      </c>
      <c r="E33" s="126" t="s">
        <v>1432</v>
      </c>
      <c r="F33" s="858">
        <v>2</v>
      </c>
      <c r="G33" s="629">
        <v>3</v>
      </c>
      <c r="H33" s="638">
        <v>55409</v>
      </c>
      <c r="I33" s="638">
        <v>23283</v>
      </c>
      <c r="J33" s="638">
        <v>32126</v>
      </c>
      <c r="K33" s="638">
        <v>29681</v>
      </c>
      <c r="L33" s="638">
        <v>6551</v>
      </c>
      <c r="M33" s="638">
        <v>4581</v>
      </c>
      <c r="N33" s="638">
        <v>3362</v>
      </c>
      <c r="O33" s="638">
        <v>4531</v>
      </c>
      <c r="P33" s="638">
        <v>4318</v>
      </c>
      <c r="Q33" s="638">
        <v>6338</v>
      </c>
      <c r="R33" s="638"/>
      <c r="S33" s="638">
        <v>24559</v>
      </c>
      <c r="T33" s="638">
        <v>1701</v>
      </c>
      <c r="U33" s="638">
        <v>1488</v>
      </c>
      <c r="V33" s="638">
        <v>2126</v>
      </c>
      <c r="W33" s="638">
        <v>2977</v>
      </c>
      <c r="X33" s="638">
        <v>1595</v>
      </c>
      <c r="Y33" s="638">
        <v>2552</v>
      </c>
      <c r="Z33" s="638">
        <v>2126</v>
      </c>
      <c r="AA33" s="638">
        <v>4040</v>
      </c>
      <c r="AB33" s="638">
        <v>1807</v>
      </c>
      <c r="AC33" s="638">
        <v>1489</v>
      </c>
      <c r="AD33" s="638">
        <v>744</v>
      </c>
      <c r="AE33" s="638">
        <v>1063</v>
      </c>
      <c r="AF33" s="638">
        <v>532</v>
      </c>
      <c r="AG33" s="638">
        <v>319</v>
      </c>
      <c r="AH33" s="638"/>
      <c r="AI33" s="638">
        <v>1169</v>
      </c>
      <c r="AJ33" s="638">
        <v>532</v>
      </c>
      <c r="AK33" s="638">
        <v>637</v>
      </c>
      <c r="AL33" s="855">
        <f t="shared" si="1"/>
        <v>0</v>
      </c>
      <c r="AM33" s="605">
        <f t="shared" si="2"/>
        <v>0</v>
      </c>
      <c r="AN33" s="605">
        <f t="shared" si="3"/>
        <v>0</v>
      </c>
      <c r="AO33" s="606">
        <f t="shared" si="4"/>
        <v>0</v>
      </c>
    </row>
    <row r="34" spans="1:41" s="701" customFormat="1">
      <c r="A34" s="627" t="s">
        <v>1604</v>
      </c>
      <c r="B34" s="627" t="s">
        <v>433</v>
      </c>
      <c r="C34" s="625">
        <v>4</v>
      </c>
      <c r="D34" s="857">
        <v>4.2</v>
      </c>
      <c r="E34" s="126" t="s">
        <v>1434</v>
      </c>
      <c r="F34" s="858">
        <v>2</v>
      </c>
      <c r="G34" s="629">
        <v>3</v>
      </c>
      <c r="H34" s="638">
        <v>66772</v>
      </c>
      <c r="I34" s="638">
        <v>3362</v>
      </c>
      <c r="J34" s="638">
        <v>63410</v>
      </c>
      <c r="K34" s="638">
        <v>32256</v>
      </c>
      <c r="L34" s="638">
        <v>5466</v>
      </c>
      <c r="M34" s="638">
        <v>3994</v>
      </c>
      <c r="N34" s="638">
        <v>4901</v>
      </c>
      <c r="O34" s="638">
        <v>6051</v>
      </c>
      <c r="P34" s="638">
        <v>5385</v>
      </c>
      <c r="Q34" s="638">
        <v>6459</v>
      </c>
      <c r="R34" s="638"/>
      <c r="S34" s="638">
        <v>33770</v>
      </c>
      <c r="T34" s="638">
        <v>2022</v>
      </c>
      <c r="U34" s="638">
        <v>2265</v>
      </c>
      <c r="V34" s="638">
        <v>2912</v>
      </c>
      <c r="W34" s="638">
        <v>4248</v>
      </c>
      <c r="X34" s="638">
        <v>3417</v>
      </c>
      <c r="Y34" s="638">
        <v>3700</v>
      </c>
      <c r="Z34" s="638">
        <v>2993</v>
      </c>
      <c r="AA34" s="638">
        <v>4044</v>
      </c>
      <c r="AB34" s="638">
        <v>2184</v>
      </c>
      <c r="AC34" s="638">
        <v>2507</v>
      </c>
      <c r="AD34" s="638">
        <v>1031</v>
      </c>
      <c r="AE34" s="638">
        <v>1072</v>
      </c>
      <c r="AF34" s="638">
        <v>829</v>
      </c>
      <c r="AG34" s="638">
        <v>546</v>
      </c>
      <c r="AH34" s="638"/>
      <c r="AI34" s="638">
        <v>746</v>
      </c>
      <c r="AJ34" s="638">
        <v>484</v>
      </c>
      <c r="AK34" s="638">
        <v>262</v>
      </c>
      <c r="AL34" s="855">
        <f t="shared" si="1"/>
        <v>0</v>
      </c>
      <c r="AM34" s="605">
        <f t="shared" si="2"/>
        <v>0</v>
      </c>
      <c r="AN34" s="605">
        <f t="shared" si="3"/>
        <v>0</v>
      </c>
      <c r="AO34" s="606">
        <f t="shared" si="4"/>
        <v>0</v>
      </c>
    </row>
    <row r="35" spans="1:41" s="701" customFormat="1" ht="33.6" customHeight="1">
      <c r="A35" s="627" t="s">
        <v>1604</v>
      </c>
      <c r="B35" s="627" t="s">
        <v>433</v>
      </c>
      <c r="C35" s="625">
        <v>4</v>
      </c>
      <c r="D35" s="126" t="s">
        <v>1606</v>
      </c>
      <c r="E35" s="126" t="s">
        <v>1436</v>
      </c>
      <c r="F35" s="858">
        <v>2</v>
      </c>
      <c r="G35" s="629">
        <v>3</v>
      </c>
      <c r="H35" s="638">
        <v>49584</v>
      </c>
      <c r="I35" s="638">
        <v>9916</v>
      </c>
      <c r="J35" s="638">
        <v>39668</v>
      </c>
      <c r="K35" s="638">
        <v>32150</v>
      </c>
      <c r="L35" s="638">
        <v>7359</v>
      </c>
      <c r="M35" s="638">
        <v>4488</v>
      </c>
      <c r="N35" s="638">
        <v>4960</v>
      </c>
      <c r="O35" s="638">
        <v>6042</v>
      </c>
      <c r="P35" s="638">
        <v>3746</v>
      </c>
      <c r="Q35" s="638">
        <v>5555</v>
      </c>
      <c r="R35" s="638"/>
      <c r="S35" s="638">
        <v>17209</v>
      </c>
      <c r="T35" s="638">
        <v>1127</v>
      </c>
      <c r="U35" s="638">
        <v>1411</v>
      </c>
      <c r="V35" s="638">
        <v>1407</v>
      </c>
      <c r="W35" s="638">
        <v>2896</v>
      </c>
      <c r="X35" s="638">
        <v>1330</v>
      </c>
      <c r="Y35" s="638">
        <v>1593</v>
      </c>
      <c r="Z35" s="638">
        <v>1190</v>
      </c>
      <c r="AA35" s="638">
        <v>1924</v>
      </c>
      <c r="AB35" s="638">
        <v>700</v>
      </c>
      <c r="AC35" s="638">
        <v>880</v>
      </c>
      <c r="AD35" s="638">
        <v>287</v>
      </c>
      <c r="AE35" s="638">
        <v>732</v>
      </c>
      <c r="AF35" s="638">
        <v>1099</v>
      </c>
      <c r="AG35" s="638">
        <v>633</v>
      </c>
      <c r="AH35" s="638"/>
      <c r="AI35" s="638">
        <v>225</v>
      </c>
      <c r="AJ35" s="638">
        <v>181</v>
      </c>
      <c r="AK35" s="638">
        <v>44</v>
      </c>
      <c r="AL35" s="855">
        <f t="shared" si="1"/>
        <v>0</v>
      </c>
      <c r="AM35" s="605">
        <f t="shared" si="2"/>
        <v>0</v>
      </c>
      <c r="AN35" s="605">
        <f t="shared" si="3"/>
        <v>0</v>
      </c>
      <c r="AO35" s="606">
        <f t="shared" si="4"/>
        <v>0</v>
      </c>
    </row>
    <row r="36" spans="1:41" s="702" customFormat="1" ht="27.95" customHeight="1">
      <c r="A36" s="627" t="s">
        <v>1604</v>
      </c>
      <c r="B36" s="627" t="s">
        <v>433</v>
      </c>
      <c r="C36" s="625">
        <v>5</v>
      </c>
      <c r="D36" s="126" t="s">
        <v>1606</v>
      </c>
      <c r="E36" s="126" t="s">
        <v>1438</v>
      </c>
      <c r="F36" s="858">
        <v>1</v>
      </c>
      <c r="G36" s="629">
        <v>3</v>
      </c>
      <c r="H36" s="638">
        <v>4500</v>
      </c>
      <c r="I36" s="638"/>
      <c r="J36" s="638">
        <v>4500</v>
      </c>
      <c r="K36" s="638">
        <v>2205</v>
      </c>
      <c r="L36" s="638"/>
      <c r="M36" s="638"/>
      <c r="N36" s="638"/>
      <c r="O36" s="638"/>
      <c r="P36" s="638"/>
      <c r="Q36" s="638"/>
      <c r="R36" s="638">
        <v>2205</v>
      </c>
      <c r="S36" s="638">
        <v>2250</v>
      </c>
      <c r="T36" s="638"/>
      <c r="U36" s="638"/>
      <c r="V36" s="638"/>
      <c r="W36" s="638"/>
      <c r="X36" s="638"/>
      <c r="Y36" s="638"/>
      <c r="Z36" s="638"/>
      <c r="AA36" s="638"/>
      <c r="AB36" s="638"/>
      <c r="AC36" s="638"/>
      <c r="AD36" s="638"/>
      <c r="AE36" s="638"/>
      <c r="AF36" s="638"/>
      <c r="AG36" s="638"/>
      <c r="AH36" s="638">
        <v>2250</v>
      </c>
      <c r="AI36" s="638">
        <v>45</v>
      </c>
      <c r="AJ36" s="638">
        <v>30</v>
      </c>
      <c r="AK36" s="638">
        <v>15</v>
      </c>
      <c r="AL36" s="855">
        <f t="shared" si="1"/>
        <v>0</v>
      </c>
      <c r="AM36" s="605">
        <f t="shared" si="2"/>
        <v>0</v>
      </c>
      <c r="AN36" s="605">
        <f t="shared" si="3"/>
        <v>0</v>
      </c>
      <c r="AO36" s="606">
        <f t="shared" si="4"/>
        <v>0</v>
      </c>
    </row>
    <row r="37" spans="1:41" s="702" customFormat="1" ht="30" customHeight="1">
      <c r="A37" s="627" t="s">
        <v>1604</v>
      </c>
      <c r="B37" s="627" t="s">
        <v>433</v>
      </c>
      <c r="C37" s="625">
        <v>5</v>
      </c>
      <c r="D37" s="126" t="s">
        <v>1606</v>
      </c>
      <c r="E37" s="126" t="s">
        <v>1438</v>
      </c>
      <c r="F37" s="858">
        <v>1</v>
      </c>
      <c r="G37" s="629">
        <v>3</v>
      </c>
      <c r="H37" s="638">
        <v>11550</v>
      </c>
      <c r="I37" s="638">
        <v>4620</v>
      </c>
      <c r="J37" s="638">
        <v>6930</v>
      </c>
      <c r="K37" s="638">
        <v>5350</v>
      </c>
      <c r="L37" s="638"/>
      <c r="M37" s="638"/>
      <c r="N37" s="638"/>
      <c r="O37" s="638"/>
      <c r="P37" s="638"/>
      <c r="Q37" s="638"/>
      <c r="R37" s="638">
        <v>5350</v>
      </c>
      <c r="S37" s="638">
        <v>6200</v>
      </c>
      <c r="T37" s="638"/>
      <c r="U37" s="638"/>
      <c r="V37" s="638"/>
      <c r="W37" s="638"/>
      <c r="X37" s="638"/>
      <c r="Y37" s="638"/>
      <c r="Z37" s="638"/>
      <c r="AA37" s="638"/>
      <c r="AB37" s="638"/>
      <c r="AC37" s="638"/>
      <c r="AD37" s="638"/>
      <c r="AE37" s="638"/>
      <c r="AF37" s="638"/>
      <c r="AG37" s="638"/>
      <c r="AH37" s="638">
        <v>6200</v>
      </c>
      <c r="AI37" s="638"/>
      <c r="AJ37" s="638"/>
      <c r="AK37" s="638"/>
      <c r="AL37" s="855">
        <f t="shared" si="1"/>
        <v>0</v>
      </c>
      <c r="AM37" s="605">
        <f t="shared" si="2"/>
        <v>0</v>
      </c>
      <c r="AN37" s="605">
        <f t="shared" si="3"/>
        <v>0</v>
      </c>
      <c r="AO37" s="606">
        <f t="shared" si="4"/>
        <v>0</v>
      </c>
    </row>
    <row r="38" spans="1:41" s="861" customFormat="1" ht="21" customHeight="1">
      <c r="A38" s="1033" t="s">
        <v>1607</v>
      </c>
      <c r="B38" s="1034"/>
      <c r="C38" s="1034"/>
      <c r="D38" s="1035"/>
      <c r="E38" s="1036"/>
      <c r="F38" s="848"/>
      <c r="G38" s="616"/>
      <c r="H38" s="620">
        <f t="shared" ref="H38:AJ38" si="17">SUM(H39:H44)</f>
        <v>163418</v>
      </c>
      <c r="I38" s="620">
        <f t="shared" si="17"/>
        <v>1138</v>
      </c>
      <c r="J38" s="620">
        <f t="shared" si="17"/>
        <v>162280</v>
      </c>
      <c r="K38" s="620">
        <f t="shared" si="17"/>
        <v>101141</v>
      </c>
      <c r="L38" s="620">
        <f t="shared" si="17"/>
        <v>6990</v>
      </c>
      <c r="M38" s="620">
        <f t="shared" si="17"/>
        <v>7478</v>
      </c>
      <c r="N38" s="620">
        <f t="shared" si="17"/>
        <v>17912</v>
      </c>
      <c r="O38" s="620">
        <f t="shared" si="17"/>
        <v>24834</v>
      </c>
      <c r="P38" s="620">
        <f t="shared" si="17"/>
        <v>15940</v>
      </c>
      <c r="Q38" s="620">
        <f t="shared" si="17"/>
        <v>21912</v>
      </c>
      <c r="R38" s="620">
        <f t="shared" si="17"/>
        <v>6075</v>
      </c>
      <c r="S38" s="620">
        <f t="shared" si="17"/>
        <v>61477</v>
      </c>
      <c r="T38" s="620">
        <f t="shared" si="17"/>
        <v>2051</v>
      </c>
      <c r="U38" s="620">
        <f t="shared" si="17"/>
        <v>8060</v>
      </c>
      <c r="V38" s="620">
        <f t="shared" si="17"/>
        <v>9851</v>
      </c>
      <c r="W38" s="620">
        <f t="shared" si="17"/>
        <v>6838</v>
      </c>
      <c r="X38" s="620">
        <f t="shared" si="17"/>
        <v>1959</v>
      </c>
      <c r="Y38" s="620">
        <f t="shared" si="17"/>
        <v>566</v>
      </c>
      <c r="Z38" s="620">
        <f t="shared" si="17"/>
        <v>504</v>
      </c>
      <c r="AA38" s="620">
        <f t="shared" si="17"/>
        <v>626</v>
      </c>
      <c r="AB38" s="620">
        <f t="shared" si="17"/>
        <v>1944</v>
      </c>
      <c r="AC38" s="620">
        <f t="shared" si="17"/>
        <v>494</v>
      </c>
      <c r="AD38" s="620">
        <f t="shared" si="17"/>
        <v>395</v>
      </c>
      <c r="AE38" s="620">
        <f t="shared" si="17"/>
        <v>7890</v>
      </c>
      <c r="AF38" s="620">
        <f t="shared" si="17"/>
        <v>12604</v>
      </c>
      <c r="AG38" s="620">
        <f t="shared" si="17"/>
        <v>3770</v>
      </c>
      <c r="AH38" s="620">
        <f t="shared" si="17"/>
        <v>3925</v>
      </c>
      <c r="AI38" s="620">
        <f t="shared" si="17"/>
        <v>800</v>
      </c>
      <c r="AJ38" s="620">
        <f t="shared" si="17"/>
        <v>460</v>
      </c>
      <c r="AK38" s="620">
        <f>SUM(AK39:AK43)</f>
        <v>340</v>
      </c>
      <c r="AL38" s="853">
        <f t="shared" si="1"/>
        <v>0</v>
      </c>
      <c r="AM38" s="860">
        <f t="shared" si="2"/>
        <v>0</v>
      </c>
      <c r="AN38" s="860">
        <f t="shared" si="3"/>
        <v>0</v>
      </c>
      <c r="AO38" s="860">
        <f t="shared" si="4"/>
        <v>0</v>
      </c>
    </row>
    <row r="39" spans="1:41" s="704" customFormat="1" ht="27.95" customHeight="1">
      <c r="A39" s="627" t="s">
        <v>1604</v>
      </c>
      <c r="B39" s="627" t="s">
        <v>1608</v>
      </c>
      <c r="C39" s="625">
        <v>4</v>
      </c>
      <c r="D39" s="126" t="s">
        <v>1609</v>
      </c>
      <c r="E39" s="126" t="s">
        <v>1434</v>
      </c>
      <c r="F39" s="858">
        <v>2</v>
      </c>
      <c r="G39" s="629">
        <v>3</v>
      </c>
      <c r="H39" s="638">
        <v>843</v>
      </c>
      <c r="I39" s="638">
        <v>168</v>
      </c>
      <c r="J39" s="638">
        <v>675</v>
      </c>
      <c r="K39" s="638">
        <v>659</v>
      </c>
      <c r="L39" s="638">
        <v>168</v>
      </c>
      <c r="M39" s="638">
        <v>207</v>
      </c>
      <c r="N39" s="638">
        <v>39</v>
      </c>
      <c r="O39" s="638">
        <v>67</v>
      </c>
      <c r="P39" s="638">
        <v>22</v>
      </c>
      <c r="Q39" s="638">
        <v>156</v>
      </c>
      <c r="R39" s="638"/>
      <c r="S39" s="638">
        <v>184</v>
      </c>
      <c r="T39" s="638">
        <v>11</v>
      </c>
      <c r="U39" s="638">
        <v>11</v>
      </c>
      <c r="V39" s="638">
        <v>22</v>
      </c>
      <c r="W39" s="638">
        <v>28</v>
      </c>
      <c r="X39" s="638">
        <v>6</v>
      </c>
      <c r="Y39" s="638">
        <v>17</v>
      </c>
      <c r="Z39" s="638">
        <v>11</v>
      </c>
      <c r="AA39" s="638">
        <v>22</v>
      </c>
      <c r="AB39" s="638">
        <v>6</v>
      </c>
      <c r="AC39" s="638">
        <v>11</v>
      </c>
      <c r="AD39" s="638">
        <v>0</v>
      </c>
      <c r="AE39" s="638">
        <v>22</v>
      </c>
      <c r="AF39" s="638">
        <v>17</v>
      </c>
      <c r="AG39" s="638">
        <v>0</v>
      </c>
      <c r="AH39" s="638"/>
      <c r="AI39" s="638">
        <v>0</v>
      </c>
      <c r="AJ39" s="638">
        <v>0</v>
      </c>
      <c r="AK39" s="638">
        <v>0</v>
      </c>
      <c r="AL39" s="855">
        <f t="shared" si="1"/>
        <v>0</v>
      </c>
      <c r="AM39" s="605">
        <f t="shared" si="2"/>
        <v>0</v>
      </c>
      <c r="AN39" s="605">
        <f t="shared" si="3"/>
        <v>0</v>
      </c>
      <c r="AO39" s="606">
        <f t="shared" si="4"/>
        <v>0</v>
      </c>
    </row>
    <row r="40" spans="1:41" s="633" customFormat="1" ht="27.95" customHeight="1">
      <c r="A40" s="627" t="s">
        <v>1604</v>
      </c>
      <c r="B40" s="627" t="s">
        <v>1608</v>
      </c>
      <c r="C40" s="625">
        <v>4</v>
      </c>
      <c r="D40" s="126" t="s">
        <v>1610</v>
      </c>
      <c r="E40" s="126" t="s">
        <v>1436</v>
      </c>
      <c r="F40" s="858">
        <v>2</v>
      </c>
      <c r="G40" s="629">
        <v>3</v>
      </c>
      <c r="H40" s="663">
        <v>2961</v>
      </c>
      <c r="I40" s="663">
        <v>626</v>
      </c>
      <c r="J40" s="663">
        <v>2335</v>
      </c>
      <c r="K40" s="663">
        <v>2595</v>
      </c>
      <c r="L40" s="663">
        <v>702</v>
      </c>
      <c r="M40" s="663">
        <v>1019</v>
      </c>
      <c r="N40" s="663">
        <v>153</v>
      </c>
      <c r="O40" s="663">
        <v>127</v>
      </c>
      <c r="P40" s="663">
        <v>28</v>
      </c>
      <c r="Q40" s="663">
        <v>566</v>
      </c>
      <c r="R40" s="663"/>
      <c r="S40" s="663">
        <v>366</v>
      </c>
      <c r="T40" s="663">
        <v>10</v>
      </c>
      <c r="U40" s="663">
        <v>19</v>
      </c>
      <c r="V40" s="663">
        <v>49</v>
      </c>
      <c r="W40" s="663">
        <v>66</v>
      </c>
      <c r="X40" s="663">
        <v>17</v>
      </c>
      <c r="Y40" s="663">
        <v>34</v>
      </c>
      <c r="Z40" s="663">
        <v>18</v>
      </c>
      <c r="AA40" s="663">
        <v>49</v>
      </c>
      <c r="AB40" s="663">
        <v>2</v>
      </c>
      <c r="AC40" s="663">
        <v>7</v>
      </c>
      <c r="AD40" s="663">
        <v>0</v>
      </c>
      <c r="AE40" s="663">
        <v>38</v>
      </c>
      <c r="AF40" s="663">
        <v>57</v>
      </c>
      <c r="AG40" s="663">
        <v>0</v>
      </c>
      <c r="AH40" s="663"/>
      <c r="AI40" s="663">
        <v>0</v>
      </c>
      <c r="AJ40" s="663">
        <v>0</v>
      </c>
      <c r="AK40" s="663">
        <v>0</v>
      </c>
      <c r="AL40" s="855">
        <f t="shared" si="1"/>
        <v>0</v>
      </c>
      <c r="AM40" s="605">
        <f t="shared" si="2"/>
        <v>0</v>
      </c>
      <c r="AN40" s="605">
        <f t="shared" si="3"/>
        <v>0</v>
      </c>
      <c r="AO40" s="606">
        <f t="shared" si="4"/>
        <v>0</v>
      </c>
    </row>
    <row r="41" spans="1:41" s="709" customFormat="1" ht="27.95" customHeight="1">
      <c r="A41" s="627" t="s">
        <v>1604</v>
      </c>
      <c r="B41" s="627" t="s">
        <v>1608</v>
      </c>
      <c r="C41" s="625">
        <v>4</v>
      </c>
      <c r="D41" s="126">
        <v>5.6</v>
      </c>
      <c r="E41" s="126" t="s">
        <v>1442</v>
      </c>
      <c r="F41" s="858">
        <v>2</v>
      </c>
      <c r="G41" s="629">
        <v>3</v>
      </c>
      <c r="H41" s="638">
        <v>5564</v>
      </c>
      <c r="I41" s="638">
        <v>344</v>
      </c>
      <c r="J41" s="638">
        <v>5220</v>
      </c>
      <c r="K41" s="638">
        <v>4242</v>
      </c>
      <c r="L41" s="638">
        <v>1160</v>
      </c>
      <c r="M41" s="638">
        <v>1322</v>
      </c>
      <c r="N41" s="638">
        <v>280</v>
      </c>
      <c r="O41" s="638">
        <v>360</v>
      </c>
      <c r="P41" s="638">
        <v>160</v>
      </c>
      <c r="Q41" s="638">
        <v>960</v>
      </c>
      <c r="R41" s="638"/>
      <c r="S41" s="638">
        <v>1322</v>
      </c>
      <c r="T41" s="638">
        <v>80</v>
      </c>
      <c r="U41" s="638">
        <v>80</v>
      </c>
      <c r="V41" s="638">
        <v>160</v>
      </c>
      <c r="W41" s="638">
        <v>199</v>
      </c>
      <c r="X41" s="638">
        <v>41</v>
      </c>
      <c r="Y41" s="638">
        <v>120</v>
      </c>
      <c r="Z41" s="638">
        <v>80</v>
      </c>
      <c r="AA41" s="638">
        <v>160</v>
      </c>
      <c r="AB41" s="638">
        <v>41</v>
      </c>
      <c r="AC41" s="638">
        <v>81</v>
      </c>
      <c r="AD41" s="638">
        <v>0</v>
      </c>
      <c r="AE41" s="638">
        <v>160</v>
      </c>
      <c r="AF41" s="638">
        <v>120</v>
      </c>
      <c r="AG41" s="638">
        <v>0</v>
      </c>
      <c r="AH41" s="638"/>
      <c r="AI41" s="638">
        <v>0</v>
      </c>
      <c r="AJ41" s="638">
        <v>0</v>
      </c>
      <c r="AK41" s="638">
        <v>0</v>
      </c>
      <c r="AL41" s="855">
        <f t="shared" si="1"/>
        <v>0</v>
      </c>
      <c r="AM41" s="605">
        <f t="shared" si="2"/>
        <v>0</v>
      </c>
      <c r="AN41" s="605">
        <f t="shared" si="3"/>
        <v>0</v>
      </c>
      <c r="AO41" s="606">
        <f t="shared" si="4"/>
        <v>0</v>
      </c>
    </row>
    <row r="42" spans="1:41" s="702" customFormat="1" ht="27.95" customHeight="1">
      <c r="A42" s="627" t="s">
        <v>1604</v>
      </c>
      <c r="B42" s="627" t="s">
        <v>1608</v>
      </c>
      <c r="C42" s="625">
        <v>6</v>
      </c>
      <c r="D42" s="126" t="s">
        <v>1611</v>
      </c>
      <c r="E42" s="126" t="s">
        <v>1444</v>
      </c>
      <c r="F42" s="858">
        <v>1</v>
      </c>
      <c r="G42" s="629">
        <v>3</v>
      </c>
      <c r="H42" s="638">
        <v>100000</v>
      </c>
      <c r="I42" s="638"/>
      <c r="J42" s="638">
        <v>100000</v>
      </c>
      <c r="K42" s="638">
        <v>64035</v>
      </c>
      <c r="L42" s="638">
        <v>0</v>
      </c>
      <c r="M42" s="638">
        <v>0</v>
      </c>
      <c r="N42" s="638">
        <v>12510</v>
      </c>
      <c r="O42" s="638">
        <v>19350</v>
      </c>
      <c r="P42" s="638">
        <v>10800</v>
      </c>
      <c r="Q42" s="638">
        <v>15300</v>
      </c>
      <c r="R42" s="638">
        <v>6075</v>
      </c>
      <c r="S42" s="638">
        <v>35965</v>
      </c>
      <c r="T42" s="638">
        <v>0</v>
      </c>
      <c r="U42" s="638">
        <v>4500</v>
      </c>
      <c r="V42" s="638">
        <v>9225</v>
      </c>
      <c r="W42" s="638">
        <v>3150</v>
      </c>
      <c r="X42" s="638">
        <v>0</v>
      </c>
      <c r="Y42" s="638">
        <v>0</v>
      </c>
      <c r="Z42" s="638">
        <v>0</v>
      </c>
      <c r="AA42" s="638">
        <v>0</v>
      </c>
      <c r="AB42" s="638">
        <v>0</v>
      </c>
      <c r="AC42" s="638">
        <v>0</v>
      </c>
      <c r="AD42" s="638">
        <v>0</v>
      </c>
      <c r="AE42" s="638">
        <v>4275</v>
      </c>
      <c r="AF42" s="638">
        <v>7515</v>
      </c>
      <c r="AG42" s="638">
        <v>3375</v>
      </c>
      <c r="AH42" s="638">
        <v>3925</v>
      </c>
      <c r="AI42" s="638">
        <v>0</v>
      </c>
      <c r="AJ42" s="638">
        <v>0</v>
      </c>
      <c r="AK42" s="638">
        <v>0</v>
      </c>
      <c r="AL42" s="855">
        <f t="shared" si="1"/>
        <v>0</v>
      </c>
      <c r="AM42" s="605">
        <f t="shared" si="2"/>
        <v>0</v>
      </c>
      <c r="AN42" s="605">
        <f t="shared" si="3"/>
        <v>0</v>
      </c>
      <c r="AO42" s="606">
        <f t="shared" si="4"/>
        <v>0</v>
      </c>
    </row>
    <row r="43" spans="1:41" s="702" customFormat="1" ht="27.95" customHeight="1">
      <c r="A43" s="627" t="s">
        <v>1604</v>
      </c>
      <c r="B43" s="627" t="s">
        <v>1608</v>
      </c>
      <c r="C43" s="625">
        <v>5</v>
      </c>
      <c r="D43" s="126" t="s">
        <v>1611</v>
      </c>
      <c r="E43" s="126" t="s">
        <v>1445</v>
      </c>
      <c r="F43" s="858">
        <v>1</v>
      </c>
      <c r="G43" s="629">
        <v>3</v>
      </c>
      <c r="H43" s="638">
        <v>54050</v>
      </c>
      <c r="I43" s="638"/>
      <c r="J43" s="638">
        <v>54050</v>
      </c>
      <c r="K43" s="638">
        <v>29610</v>
      </c>
      <c r="L43" s="638">
        <v>4960</v>
      </c>
      <c r="M43" s="638">
        <v>4930</v>
      </c>
      <c r="N43" s="638">
        <v>4930</v>
      </c>
      <c r="O43" s="638">
        <v>4930</v>
      </c>
      <c r="P43" s="638">
        <v>4930</v>
      </c>
      <c r="Q43" s="638">
        <v>4930</v>
      </c>
      <c r="R43" s="638"/>
      <c r="S43" s="638">
        <v>23640</v>
      </c>
      <c r="T43" s="638">
        <v>1950</v>
      </c>
      <c r="U43" s="638">
        <v>3450</v>
      </c>
      <c r="V43" s="638">
        <v>395</v>
      </c>
      <c r="W43" s="638">
        <v>3395</v>
      </c>
      <c r="X43" s="638">
        <v>1895</v>
      </c>
      <c r="Y43" s="638">
        <v>395</v>
      </c>
      <c r="Z43" s="638">
        <v>395</v>
      </c>
      <c r="AA43" s="638">
        <v>395</v>
      </c>
      <c r="AB43" s="638">
        <v>1895</v>
      </c>
      <c r="AC43" s="638">
        <v>395</v>
      </c>
      <c r="AD43" s="638">
        <v>395</v>
      </c>
      <c r="AE43" s="638">
        <v>3395</v>
      </c>
      <c r="AF43" s="638">
        <v>4895</v>
      </c>
      <c r="AG43" s="638">
        <v>395</v>
      </c>
      <c r="AH43" s="638"/>
      <c r="AI43" s="638">
        <v>800</v>
      </c>
      <c r="AJ43" s="638">
        <v>460</v>
      </c>
      <c r="AK43" s="638">
        <v>340</v>
      </c>
      <c r="AL43" s="855">
        <f t="shared" si="1"/>
        <v>0</v>
      </c>
      <c r="AM43" s="605">
        <f t="shared" si="2"/>
        <v>0</v>
      </c>
      <c r="AN43" s="605">
        <f t="shared" si="3"/>
        <v>0</v>
      </c>
      <c r="AO43" s="606">
        <f t="shared" si="4"/>
        <v>0</v>
      </c>
    </row>
    <row r="44" spans="1:41" s="702" customFormat="1" ht="27.95" customHeight="1">
      <c r="A44" s="627" t="s">
        <v>1604</v>
      </c>
      <c r="B44" s="627" t="s">
        <v>1608</v>
      </c>
      <c r="C44" s="862">
        <v>8</v>
      </c>
      <c r="D44" s="715"/>
      <c r="E44" s="126" t="s">
        <v>1446</v>
      </c>
      <c r="F44" s="854"/>
      <c r="G44" s="629">
        <v>3</v>
      </c>
      <c r="H44" s="638">
        <v>0</v>
      </c>
      <c r="I44" s="638">
        <v>0</v>
      </c>
      <c r="J44" s="638">
        <v>0</v>
      </c>
      <c r="K44" s="638">
        <v>0</v>
      </c>
      <c r="L44" s="638">
        <v>0</v>
      </c>
      <c r="M44" s="638">
        <v>0</v>
      </c>
      <c r="N44" s="638">
        <v>0</v>
      </c>
      <c r="O44" s="638">
        <v>0</v>
      </c>
      <c r="P44" s="638">
        <v>0</v>
      </c>
      <c r="Q44" s="638">
        <v>0</v>
      </c>
      <c r="R44" s="638">
        <v>0</v>
      </c>
      <c r="S44" s="638">
        <v>0</v>
      </c>
      <c r="T44" s="638">
        <v>0</v>
      </c>
      <c r="U44" s="638">
        <v>0</v>
      </c>
      <c r="V44" s="638">
        <v>0</v>
      </c>
      <c r="W44" s="638">
        <v>0</v>
      </c>
      <c r="X44" s="638">
        <v>0</v>
      </c>
      <c r="Y44" s="638">
        <v>0</v>
      </c>
      <c r="Z44" s="638">
        <v>0</v>
      </c>
      <c r="AA44" s="638">
        <v>0</v>
      </c>
      <c r="AB44" s="638">
        <v>0</v>
      </c>
      <c r="AC44" s="638">
        <v>0</v>
      </c>
      <c r="AD44" s="638">
        <v>0</v>
      </c>
      <c r="AE44" s="638">
        <v>0</v>
      </c>
      <c r="AF44" s="638">
        <v>0</v>
      </c>
      <c r="AG44" s="638">
        <v>0</v>
      </c>
      <c r="AH44" s="638">
        <v>0</v>
      </c>
      <c r="AI44" s="638">
        <v>0</v>
      </c>
      <c r="AJ44" s="638">
        <v>0</v>
      </c>
      <c r="AK44" s="638">
        <v>0</v>
      </c>
      <c r="AL44" s="855">
        <f t="shared" si="1"/>
        <v>0</v>
      </c>
      <c r="AM44" s="605"/>
      <c r="AN44" s="605"/>
      <c r="AO44" s="606"/>
    </row>
    <row r="45" spans="1:41" s="863" customFormat="1">
      <c r="A45" s="844" t="s">
        <v>1612</v>
      </c>
      <c r="B45" s="647"/>
      <c r="C45" s="734"/>
      <c r="D45" s="647"/>
      <c r="E45" s="641"/>
      <c r="F45" s="839"/>
      <c r="G45" s="616"/>
      <c r="H45" s="620">
        <f t="shared" ref="H45:AK45" si="18">SUM(H46:H49)</f>
        <v>389900</v>
      </c>
      <c r="I45" s="620">
        <f t="shared" si="18"/>
        <v>0</v>
      </c>
      <c r="J45" s="620">
        <f t="shared" si="18"/>
        <v>389900</v>
      </c>
      <c r="K45" s="620">
        <f t="shared" si="18"/>
        <v>186046</v>
      </c>
      <c r="L45" s="620">
        <f t="shared" si="18"/>
        <v>27052</v>
      </c>
      <c r="M45" s="620">
        <f t="shared" si="18"/>
        <v>899</v>
      </c>
      <c r="N45" s="620">
        <f t="shared" si="18"/>
        <v>26851</v>
      </c>
      <c r="O45" s="620">
        <f t="shared" si="18"/>
        <v>37381</v>
      </c>
      <c r="P45" s="620">
        <f t="shared" si="18"/>
        <v>20023</v>
      </c>
      <c r="Q45" s="620">
        <f t="shared" si="18"/>
        <v>54526</v>
      </c>
      <c r="R45" s="620">
        <f t="shared" si="18"/>
        <v>19314</v>
      </c>
      <c r="S45" s="620">
        <f t="shared" si="18"/>
        <v>191628</v>
      </c>
      <c r="T45" s="620">
        <f t="shared" si="18"/>
        <v>17165</v>
      </c>
      <c r="U45" s="620">
        <f t="shared" si="18"/>
        <v>12227</v>
      </c>
      <c r="V45" s="620">
        <f t="shared" si="18"/>
        <v>12652</v>
      </c>
      <c r="W45" s="620">
        <f t="shared" si="18"/>
        <v>10455</v>
      </c>
      <c r="X45" s="620">
        <f t="shared" si="18"/>
        <v>16653</v>
      </c>
      <c r="Y45" s="620">
        <f t="shared" si="18"/>
        <v>11622</v>
      </c>
      <c r="Z45" s="620">
        <f t="shared" si="18"/>
        <v>6083</v>
      </c>
      <c r="AA45" s="620">
        <f t="shared" si="18"/>
        <v>18817</v>
      </c>
      <c r="AB45" s="620">
        <f t="shared" si="18"/>
        <v>10524</v>
      </c>
      <c r="AC45" s="620">
        <f t="shared" si="18"/>
        <v>8682</v>
      </c>
      <c r="AD45" s="620">
        <f t="shared" si="18"/>
        <v>6941</v>
      </c>
      <c r="AE45" s="620">
        <f t="shared" si="18"/>
        <v>12713</v>
      </c>
      <c r="AF45" s="620">
        <f t="shared" si="18"/>
        <v>17296</v>
      </c>
      <c r="AG45" s="620">
        <f t="shared" si="18"/>
        <v>3285</v>
      </c>
      <c r="AH45" s="620">
        <f t="shared" si="18"/>
        <v>26513</v>
      </c>
      <c r="AI45" s="620">
        <f t="shared" si="18"/>
        <v>12226</v>
      </c>
      <c r="AJ45" s="620">
        <f t="shared" si="18"/>
        <v>5170</v>
      </c>
      <c r="AK45" s="620">
        <f t="shared" si="18"/>
        <v>7056</v>
      </c>
      <c r="AL45" s="853">
        <f t="shared" si="1"/>
        <v>0</v>
      </c>
      <c r="AM45" s="605">
        <f t="shared" si="2"/>
        <v>0</v>
      </c>
      <c r="AN45" s="605">
        <f t="shared" si="3"/>
        <v>0</v>
      </c>
      <c r="AO45" s="606">
        <f t="shared" si="4"/>
        <v>0</v>
      </c>
    </row>
    <row r="46" spans="1:41" s="702" customFormat="1" ht="31.5" customHeight="1">
      <c r="A46" s="627" t="s">
        <v>1604</v>
      </c>
      <c r="B46" s="126" t="s">
        <v>1613</v>
      </c>
      <c r="C46" s="625">
        <v>5</v>
      </c>
      <c r="D46" s="837"/>
      <c r="E46" s="126" t="s">
        <v>1445</v>
      </c>
      <c r="F46" s="858">
        <v>1</v>
      </c>
      <c r="G46" s="664">
        <v>3</v>
      </c>
      <c r="H46" s="638">
        <v>89900</v>
      </c>
      <c r="I46" s="638"/>
      <c r="J46" s="638">
        <v>89900</v>
      </c>
      <c r="K46" s="638">
        <v>35960</v>
      </c>
      <c r="L46" s="638">
        <v>4495</v>
      </c>
      <c r="M46" s="638">
        <v>899</v>
      </c>
      <c r="N46" s="638">
        <v>5394</v>
      </c>
      <c r="O46" s="638">
        <v>4495</v>
      </c>
      <c r="P46" s="638">
        <v>5394</v>
      </c>
      <c r="Q46" s="638">
        <v>15283.000000000002</v>
      </c>
      <c r="R46" s="638"/>
      <c r="S46" s="638">
        <v>52142</v>
      </c>
      <c r="T46" s="638">
        <v>5394</v>
      </c>
      <c r="U46" s="638">
        <v>1798</v>
      </c>
      <c r="V46" s="638">
        <v>4495</v>
      </c>
      <c r="W46" s="638">
        <v>1798</v>
      </c>
      <c r="X46" s="638">
        <v>3596</v>
      </c>
      <c r="Y46" s="638">
        <v>6293.0000000000009</v>
      </c>
      <c r="Z46" s="638">
        <v>2697</v>
      </c>
      <c r="AA46" s="638">
        <v>10788</v>
      </c>
      <c r="AB46" s="638">
        <v>4495</v>
      </c>
      <c r="AC46" s="638">
        <v>3596</v>
      </c>
      <c r="AD46" s="638">
        <v>1798</v>
      </c>
      <c r="AE46" s="638">
        <v>899</v>
      </c>
      <c r="AF46" s="638">
        <v>3596</v>
      </c>
      <c r="AG46" s="638">
        <v>899</v>
      </c>
      <c r="AH46" s="638"/>
      <c r="AI46" s="638">
        <v>1798</v>
      </c>
      <c r="AJ46" s="638">
        <v>899</v>
      </c>
      <c r="AK46" s="638">
        <v>899</v>
      </c>
      <c r="AL46" s="855">
        <f>H46-K46-S46-AI46</f>
        <v>0</v>
      </c>
      <c r="AM46" s="605">
        <f t="shared" si="2"/>
        <v>0</v>
      </c>
      <c r="AN46" s="605">
        <f t="shared" si="3"/>
        <v>0</v>
      </c>
      <c r="AO46" s="606">
        <f t="shared" si="4"/>
        <v>-1.8189894035458565E-12</v>
      </c>
    </row>
    <row r="47" spans="1:41" s="702" customFormat="1" ht="35.450000000000003" customHeight="1">
      <c r="A47" s="627" t="s">
        <v>1604</v>
      </c>
      <c r="B47" s="126" t="s">
        <v>1613</v>
      </c>
      <c r="C47" s="625">
        <v>5</v>
      </c>
      <c r="D47" s="126">
        <v>4.5</v>
      </c>
      <c r="E47" s="126" t="s">
        <v>1450</v>
      </c>
      <c r="F47" s="846">
        <v>1</v>
      </c>
      <c r="G47" s="664">
        <v>3</v>
      </c>
      <c r="H47" s="638">
        <v>220000</v>
      </c>
      <c r="I47" s="638">
        <v>0</v>
      </c>
      <c r="J47" s="638">
        <v>220000</v>
      </c>
      <c r="K47" s="638">
        <v>125086</v>
      </c>
      <c r="L47" s="638">
        <v>18857</v>
      </c>
      <c r="M47" s="638"/>
      <c r="N47" s="638">
        <v>18857</v>
      </c>
      <c r="O47" s="638">
        <v>28286</v>
      </c>
      <c r="P47" s="638">
        <v>9429</v>
      </c>
      <c r="Q47" s="638">
        <v>33943</v>
      </c>
      <c r="R47" s="638">
        <v>15714</v>
      </c>
      <c r="S47" s="638">
        <v>85486</v>
      </c>
      <c r="T47" s="638">
        <v>3771</v>
      </c>
      <c r="U47" s="638">
        <v>9429</v>
      </c>
      <c r="V47" s="638">
        <v>5657</v>
      </c>
      <c r="W47" s="638">
        <v>5657</v>
      </c>
      <c r="X47" s="638">
        <v>5657</v>
      </c>
      <c r="Y47" s="638">
        <v>2829</v>
      </c>
      <c r="Z47" s="638">
        <v>1886</v>
      </c>
      <c r="AA47" s="638">
        <v>2829</v>
      </c>
      <c r="AB47" s="638">
        <v>2829</v>
      </c>
      <c r="AC47" s="638">
        <v>1886</v>
      </c>
      <c r="AD47" s="638">
        <v>943</v>
      </c>
      <c r="AE47" s="638">
        <v>11314</v>
      </c>
      <c r="AF47" s="638">
        <v>13200</v>
      </c>
      <c r="AG47" s="638">
        <v>1886</v>
      </c>
      <c r="AH47" s="638">
        <v>15713</v>
      </c>
      <c r="AI47" s="638">
        <v>9428</v>
      </c>
      <c r="AJ47" s="638">
        <v>3771</v>
      </c>
      <c r="AK47" s="638">
        <v>5657</v>
      </c>
      <c r="AL47" s="855">
        <f t="shared" ref="AL47:AL103" si="19">H47-K47-S47-AI47</f>
        <v>0</v>
      </c>
      <c r="AM47" s="605">
        <f t="shared" si="2"/>
        <v>0</v>
      </c>
      <c r="AN47" s="605">
        <f t="shared" si="3"/>
        <v>0</v>
      </c>
      <c r="AO47" s="606">
        <f t="shared" si="4"/>
        <v>0</v>
      </c>
    </row>
    <row r="48" spans="1:41" s="702" customFormat="1" ht="28.5">
      <c r="A48" s="627" t="s">
        <v>1604</v>
      </c>
      <c r="B48" s="126" t="s">
        <v>1613</v>
      </c>
      <c r="C48" s="625">
        <v>5</v>
      </c>
      <c r="D48" s="126" t="s">
        <v>1609</v>
      </c>
      <c r="E48" s="126" t="s">
        <v>1454</v>
      </c>
      <c r="F48" s="846">
        <v>1</v>
      </c>
      <c r="G48" s="664">
        <v>3</v>
      </c>
      <c r="H48" s="638">
        <v>50000</v>
      </c>
      <c r="I48" s="638">
        <v>0</v>
      </c>
      <c r="J48" s="638">
        <v>50000</v>
      </c>
      <c r="K48" s="638">
        <v>16000</v>
      </c>
      <c r="L48" s="638">
        <v>2500</v>
      </c>
      <c r="M48" s="638">
        <v>0</v>
      </c>
      <c r="N48" s="638">
        <v>2000</v>
      </c>
      <c r="O48" s="638">
        <v>4000</v>
      </c>
      <c r="P48" s="638">
        <v>4000</v>
      </c>
      <c r="Q48" s="638">
        <v>3500</v>
      </c>
      <c r="R48" s="638">
        <v>0</v>
      </c>
      <c r="S48" s="638">
        <v>33000</v>
      </c>
      <c r="T48" s="638">
        <v>5000</v>
      </c>
      <c r="U48" s="638">
        <v>1000</v>
      </c>
      <c r="V48" s="638">
        <v>2500</v>
      </c>
      <c r="W48" s="638">
        <v>3000</v>
      </c>
      <c r="X48" s="638">
        <v>5000</v>
      </c>
      <c r="Y48" s="638">
        <v>2500</v>
      </c>
      <c r="Z48" s="638">
        <v>1500</v>
      </c>
      <c r="AA48" s="638">
        <v>4000</v>
      </c>
      <c r="AB48" s="638">
        <v>2000</v>
      </c>
      <c r="AC48" s="638">
        <v>2000</v>
      </c>
      <c r="AD48" s="638">
        <v>3000</v>
      </c>
      <c r="AE48" s="638">
        <v>500</v>
      </c>
      <c r="AF48" s="638">
        <v>500</v>
      </c>
      <c r="AG48" s="638">
        <v>500</v>
      </c>
      <c r="AH48" s="638">
        <v>0</v>
      </c>
      <c r="AI48" s="638">
        <v>1000</v>
      </c>
      <c r="AJ48" s="638">
        <v>500</v>
      </c>
      <c r="AK48" s="638">
        <v>500</v>
      </c>
      <c r="AL48" s="855">
        <f t="shared" si="19"/>
        <v>0</v>
      </c>
      <c r="AM48" s="605">
        <f t="shared" si="2"/>
        <v>0</v>
      </c>
      <c r="AN48" s="605">
        <f t="shared" si="3"/>
        <v>0</v>
      </c>
      <c r="AO48" s="606">
        <f t="shared" si="4"/>
        <v>0</v>
      </c>
    </row>
    <row r="49" spans="1:41" s="702" customFormat="1" ht="29.1" customHeight="1">
      <c r="A49" s="627" t="s">
        <v>1604</v>
      </c>
      <c r="B49" s="126" t="s">
        <v>1613</v>
      </c>
      <c r="C49" s="625">
        <v>5</v>
      </c>
      <c r="D49" s="126" t="s">
        <v>1610</v>
      </c>
      <c r="E49" s="126" t="s">
        <v>1456</v>
      </c>
      <c r="F49" s="846">
        <v>1</v>
      </c>
      <c r="G49" s="664">
        <v>3</v>
      </c>
      <c r="H49" s="638">
        <v>30000</v>
      </c>
      <c r="I49" s="638">
        <v>0</v>
      </c>
      <c r="J49" s="638">
        <v>30000</v>
      </c>
      <c r="K49" s="638">
        <v>9000</v>
      </c>
      <c r="L49" s="638">
        <v>1200</v>
      </c>
      <c r="M49" s="638">
        <v>0</v>
      </c>
      <c r="N49" s="638">
        <v>600</v>
      </c>
      <c r="O49" s="638">
        <v>600</v>
      </c>
      <c r="P49" s="638">
        <v>1200</v>
      </c>
      <c r="Q49" s="638">
        <v>1800</v>
      </c>
      <c r="R49" s="638">
        <v>3600</v>
      </c>
      <c r="S49" s="638">
        <v>21000</v>
      </c>
      <c r="T49" s="638">
        <v>3000</v>
      </c>
      <c r="U49" s="638">
        <v>0</v>
      </c>
      <c r="V49" s="638">
        <v>0</v>
      </c>
      <c r="W49" s="638">
        <v>0</v>
      </c>
      <c r="X49" s="638">
        <v>2400</v>
      </c>
      <c r="Y49" s="638">
        <v>0</v>
      </c>
      <c r="Z49" s="638">
        <v>0</v>
      </c>
      <c r="AA49" s="638">
        <v>1200</v>
      </c>
      <c r="AB49" s="638">
        <v>1200</v>
      </c>
      <c r="AC49" s="638">
        <v>1200</v>
      </c>
      <c r="AD49" s="638">
        <v>1200</v>
      </c>
      <c r="AE49" s="638">
        <v>0</v>
      </c>
      <c r="AF49" s="638">
        <v>0</v>
      </c>
      <c r="AG49" s="638">
        <v>0</v>
      </c>
      <c r="AH49" s="638">
        <v>10800</v>
      </c>
      <c r="AI49" s="638">
        <v>0</v>
      </c>
      <c r="AJ49" s="638">
        <v>0</v>
      </c>
      <c r="AK49" s="638">
        <v>0</v>
      </c>
      <c r="AL49" s="855">
        <f t="shared" si="19"/>
        <v>0</v>
      </c>
      <c r="AM49" s="605">
        <f t="shared" si="2"/>
        <v>0</v>
      </c>
      <c r="AN49" s="605">
        <f t="shared" si="3"/>
        <v>0</v>
      </c>
      <c r="AO49" s="606">
        <f t="shared" si="4"/>
        <v>0</v>
      </c>
    </row>
    <row r="50" spans="1:41" s="731" customFormat="1" ht="21.95" customHeight="1">
      <c r="A50" s="1041" t="s">
        <v>1614</v>
      </c>
      <c r="B50" s="1042"/>
      <c r="C50" s="1042"/>
      <c r="D50" s="1049"/>
      <c r="E50" s="1044"/>
      <c r="F50" s="825"/>
      <c r="G50" s="609"/>
      <c r="H50" s="730">
        <f>H51+H52+H55+H61</f>
        <v>274200</v>
      </c>
      <c r="I50" s="730">
        <f t="shared" ref="I50:AK50" si="20">I51+I52+I55+I61</f>
        <v>66000</v>
      </c>
      <c r="J50" s="730">
        <f t="shared" si="20"/>
        <v>208200</v>
      </c>
      <c r="K50" s="730">
        <f t="shared" si="20"/>
        <v>116300</v>
      </c>
      <c r="L50" s="730">
        <f t="shared" si="20"/>
        <v>9050</v>
      </c>
      <c r="M50" s="730">
        <f t="shared" si="20"/>
        <v>0</v>
      </c>
      <c r="N50" s="730">
        <f t="shared" si="20"/>
        <v>1549</v>
      </c>
      <c r="O50" s="730">
        <f t="shared" si="20"/>
        <v>8600</v>
      </c>
      <c r="P50" s="730">
        <f t="shared" si="20"/>
        <v>50</v>
      </c>
      <c r="Q50" s="730">
        <f t="shared" si="20"/>
        <v>7640</v>
      </c>
      <c r="R50" s="730">
        <f t="shared" si="20"/>
        <v>89411</v>
      </c>
      <c r="S50" s="730">
        <f t="shared" si="20"/>
        <v>147255</v>
      </c>
      <c r="T50" s="730">
        <f t="shared" si="20"/>
        <v>50</v>
      </c>
      <c r="U50" s="730">
        <f t="shared" si="20"/>
        <v>250</v>
      </c>
      <c r="V50" s="730">
        <f t="shared" si="20"/>
        <v>5725</v>
      </c>
      <c r="W50" s="730">
        <f t="shared" si="20"/>
        <v>500</v>
      </c>
      <c r="X50" s="730">
        <f t="shared" si="20"/>
        <v>200</v>
      </c>
      <c r="Y50" s="730">
        <f t="shared" si="20"/>
        <v>1049</v>
      </c>
      <c r="Z50" s="730">
        <f t="shared" si="20"/>
        <v>7700</v>
      </c>
      <c r="AA50" s="730">
        <f t="shared" si="20"/>
        <v>11375</v>
      </c>
      <c r="AB50" s="730">
        <f t="shared" si="20"/>
        <v>2500</v>
      </c>
      <c r="AC50" s="730">
        <f t="shared" si="20"/>
        <v>1500</v>
      </c>
      <c r="AD50" s="730">
        <f t="shared" si="20"/>
        <v>50</v>
      </c>
      <c r="AE50" s="730">
        <f t="shared" si="20"/>
        <v>700</v>
      </c>
      <c r="AF50" s="730">
        <f t="shared" si="20"/>
        <v>2555</v>
      </c>
      <c r="AG50" s="730">
        <f t="shared" si="20"/>
        <v>50</v>
      </c>
      <c r="AH50" s="730">
        <f t="shared" si="20"/>
        <v>113051</v>
      </c>
      <c r="AI50" s="730">
        <f t="shared" si="20"/>
        <v>10645</v>
      </c>
      <c r="AJ50" s="730">
        <f t="shared" si="20"/>
        <v>6645</v>
      </c>
      <c r="AK50" s="730">
        <f t="shared" si="20"/>
        <v>4000</v>
      </c>
      <c r="AL50" s="827">
        <f t="shared" si="19"/>
        <v>0</v>
      </c>
      <c r="AM50" s="605">
        <f t="shared" si="2"/>
        <v>0</v>
      </c>
      <c r="AN50" s="605">
        <f t="shared" si="3"/>
        <v>0</v>
      </c>
      <c r="AO50" s="606">
        <f t="shared" si="4"/>
        <v>0</v>
      </c>
    </row>
    <row r="51" spans="1:41" s="709" customFormat="1" ht="31.5" customHeight="1">
      <c r="A51" s="627" t="s">
        <v>1615</v>
      </c>
      <c r="B51" s="627" t="s">
        <v>1615</v>
      </c>
      <c r="C51" s="625">
        <v>5</v>
      </c>
      <c r="D51" s="126">
        <v>5.6</v>
      </c>
      <c r="E51" s="725" t="s">
        <v>1460</v>
      </c>
      <c r="F51" s="864">
        <v>1</v>
      </c>
      <c r="G51" s="629">
        <v>4</v>
      </c>
      <c r="H51" s="638">
        <f>I51+J51</f>
        <v>25000</v>
      </c>
      <c r="I51" s="638">
        <v>0</v>
      </c>
      <c r="J51" s="638">
        <v>25000</v>
      </c>
      <c r="K51" s="638">
        <f>SUM(L51:R51)</f>
        <v>15100</v>
      </c>
      <c r="L51" s="638">
        <v>8400</v>
      </c>
      <c r="M51" s="638">
        <f>SUM(M54:M59)</f>
        <v>0</v>
      </c>
      <c r="N51" s="638">
        <v>600</v>
      </c>
      <c r="O51" s="638">
        <v>6000</v>
      </c>
      <c r="P51" s="638">
        <v>50</v>
      </c>
      <c r="Q51" s="638">
        <v>50</v>
      </c>
      <c r="R51" s="638">
        <v>0</v>
      </c>
      <c r="S51" s="638">
        <f>SUM(T51:AH51)</f>
        <v>9900</v>
      </c>
      <c r="T51" s="638">
        <v>50</v>
      </c>
      <c r="U51" s="638">
        <v>250</v>
      </c>
      <c r="V51" s="638">
        <v>100</v>
      </c>
      <c r="W51" s="638">
        <v>500</v>
      </c>
      <c r="X51" s="638">
        <v>200</v>
      </c>
      <c r="Y51" s="638">
        <v>800</v>
      </c>
      <c r="Z51" s="638">
        <v>2000</v>
      </c>
      <c r="AA51" s="638">
        <v>500</v>
      </c>
      <c r="AB51" s="638">
        <v>2500</v>
      </c>
      <c r="AC51" s="638">
        <v>1500</v>
      </c>
      <c r="AD51" s="638">
        <v>50</v>
      </c>
      <c r="AE51" s="638">
        <v>700</v>
      </c>
      <c r="AF51" s="638">
        <v>700</v>
      </c>
      <c r="AG51" s="638">
        <v>50</v>
      </c>
      <c r="AH51" s="638">
        <v>0</v>
      </c>
      <c r="AI51" s="638">
        <f>SUM(AJ51:AK51)</f>
        <v>0</v>
      </c>
      <c r="AJ51" s="638"/>
      <c r="AK51" s="638"/>
      <c r="AL51" s="865">
        <f t="shared" si="19"/>
        <v>0</v>
      </c>
      <c r="AM51" s="605">
        <f t="shared" si="2"/>
        <v>0</v>
      </c>
      <c r="AN51" s="605">
        <f t="shared" si="3"/>
        <v>0</v>
      </c>
      <c r="AO51" s="606">
        <f t="shared" si="4"/>
        <v>0</v>
      </c>
    </row>
    <row r="52" spans="1:41" s="710" customFormat="1" ht="20.100000000000001" customHeight="1">
      <c r="A52" s="866" t="s">
        <v>1616</v>
      </c>
      <c r="B52" s="622"/>
      <c r="C52" s="867"/>
      <c r="D52" s="622"/>
      <c r="E52" s="868"/>
      <c r="F52" s="869"/>
      <c r="G52" s="616"/>
      <c r="H52" s="620">
        <f>H53+H54</f>
        <v>0</v>
      </c>
      <c r="I52" s="620">
        <f t="shared" ref="I52:AK52" si="21">I53+I54</f>
        <v>0</v>
      </c>
      <c r="J52" s="620">
        <f t="shared" si="21"/>
        <v>0</v>
      </c>
      <c r="K52" s="620">
        <f t="shared" si="21"/>
        <v>0</v>
      </c>
      <c r="L52" s="620">
        <f t="shared" si="21"/>
        <v>0</v>
      </c>
      <c r="M52" s="620">
        <f t="shared" si="21"/>
        <v>0</v>
      </c>
      <c r="N52" s="620">
        <f t="shared" si="21"/>
        <v>0</v>
      </c>
      <c r="O52" s="620">
        <f t="shared" si="21"/>
        <v>0</v>
      </c>
      <c r="P52" s="620">
        <f t="shared" si="21"/>
        <v>0</v>
      </c>
      <c r="Q52" s="620">
        <f t="shared" si="21"/>
        <v>0</v>
      </c>
      <c r="R52" s="620">
        <f t="shared" si="21"/>
        <v>0</v>
      </c>
      <c r="S52" s="620">
        <f t="shared" si="21"/>
        <v>0</v>
      </c>
      <c r="T52" s="620">
        <f t="shared" si="21"/>
        <v>0</v>
      </c>
      <c r="U52" s="620">
        <f t="shared" si="21"/>
        <v>0</v>
      </c>
      <c r="V52" s="620">
        <f t="shared" si="21"/>
        <v>0</v>
      </c>
      <c r="W52" s="620">
        <f t="shared" si="21"/>
        <v>0</v>
      </c>
      <c r="X52" s="620">
        <f t="shared" si="21"/>
        <v>0</v>
      </c>
      <c r="Y52" s="620">
        <f t="shared" si="21"/>
        <v>0</v>
      </c>
      <c r="Z52" s="620">
        <f t="shared" si="21"/>
        <v>0</v>
      </c>
      <c r="AA52" s="620">
        <f t="shared" si="21"/>
        <v>0</v>
      </c>
      <c r="AB52" s="620">
        <f t="shared" si="21"/>
        <v>0</v>
      </c>
      <c r="AC52" s="620">
        <f t="shared" si="21"/>
        <v>0</v>
      </c>
      <c r="AD52" s="620">
        <f t="shared" si="21"/>
        <v>0</v>
      </c>
      <c r="AE52" s="620">
        <f t="shared" si="21"/>
        <v>0</v>
      </c>
      <c r="AF52" s="620">
        <f t="shared" si="21"/>
        <v>0</v>
      </c>
      <c r="AG52" s="620">
        <f t="shared" si="21"/>
        <v>0</v>
      </c>
      <c r="AH52" s="620">
        <f t="shared" si="21"/>
        <v>0</v>
      </c>
      <c r="AI52" s="620">
        <f t="shared" si="21"/>
        <v>0</v>
      </c>
      <c r="AJ52" s="620">
        <f t="shared" si="21"/>
        <v>0</v>
      </c>
      <c r="AK52" s="620">
        <f t="shared" si="21"/>
        <v>0</v>
      </c>
      <c r="AL52" s="853">
        <f t="shared" si="19"/>
        <v>0</v>
      </c>
      <c r="AM52" s="605">
        <f t="shared" si="2"/>
        <v>0</v>
      </c>
      <c r="AN52" s="605">
        <f t="shared" si="3"/>
        <v>0</v>
      </c>
      <c r="AO52" s="606">
        <f t="shared" si="4"/>
        <v>0</v>
      </c>
    </row>
    <row r="53" spans="1:41" s="709" customFormat="1" ht="20.100000000000001" hidden="1" customHeight="1">
      <c r="A53" s="126" t="s">
        <v>1615</v>
      </c>
      <c r="B53" s="627" t="s">
        <v>1617</v>
      </c>
      <c r="C53" s="625">
        <v>4</v>
      </c>
      <c r="D53" s="126" t="s">
        <v>1611</v>
      </c>
      <c r="E53" s="725" t="s">
        <v>1464</v>
      </c>
      <c r="F53" s="864">
        <v>2</v>
      </c>
      <c r="G53" s="629">
        <v>3</v>
      </c>
      <c r="H53" s="638"/>
      <c r="I53" s="638"/>
      <c r="J53" s="638"/>
      <c r="K53" s="638"/>
      <c r="L53" s="638"/>
      <c r="M53" s="638"/>
      <c r="N53" s="638"/>
      <c r="O53" s="638"/>
      <c r="P53" s="638"/>
      <c r="Q53" s="638"/>
      <c r="R53" s="638"/>
      <c r="S53" s="638"/>
      <c r="T53" s="638"/>
      <c r="U53" s="638"/>
      <c r="V53" s="638"/>
      <c r="W53" s="638"/>
      <c r="X53" s="638"/>
      <c r="Y53" s="638"/>
      <c r="Z53" s="638"/>
      <c r="AA53" s="638"/>
      <c r="AB53" s="638"/>
      <c r="AC53" s="638"/>
      <c r="AD53" s="638"/>
      <c r="AE53" s="638"/>
      <c r="AF53" s="638"/>
      <c r="AG53" s="638"/>
      <c r="AH53" s="638"/>
      <c r="AI53" s="638"/>
      <c r="AJ53" s="638"/>
      <c r="AK53" s="638"/>
      <c r="AL53" s="865">
        <f t="shared" si="19"/>
        <v>0</v>
      </c>
      <c r="AM53" s="605">
        <f t="shared" si="2"/>
        <v>0</v>
      </c>
      <c r="AN53" s="605">
        <f t="shared" si="3"/>
        <v>0</v>
      </c>
      <c r="AO53" s="606">
        <f t="shared" si="4"/>
        <v>0</v>
      </c>
    </row>
    <row r="54" spans="1:41" s="709" customFormat="1" ht="56.1" customHeight="1">
      <c r="A54" s="126" t="s">
        <v>1615</v>
      </c>
      <c r="B54" s="627" t="s">
        <v>1617</v>
      </c>
      <c r="C54" s="625">
        <v>5</v>
      </c>
      <c r="D54" s="837"/>
      <c r="E54" s="627" t="s">
        <v>1466</v>
      </c>
      <c r="F54" s="864">
        <v>1</v>
      </c>
      <c r="G54" s="664">
        <v>4</v>
      </c>
      <c r="H54" s="638">
        <v>0</v>
      </c>
      <c r="I54" s="638"/>
      <c r="J54" s="638">
        <v>0</v>
      </c>
      <c r="K54" s="638">
        <v>0</v>
      </c>
      <c r="L54" s="638"/>
      <c r="M54" s="638"/>
      <c r="N54" s="638"/>
      <c r="O54" s="638"/>
      <c r="P54" s="638"/>
      <c r="Q54" s="638"/>
      <c r="R54" s="638">
        <v>0</v>
      </c>
      <c r="S54" s="638">
        <v>0</v>
      </c>
      <c r="T54" s="638"/>
      <c r="U54" s="638"/>
      <c r="V54" s="638"/>
      <c r="W54" s="638"/>
      <c r="X54" s="638"/>
      <c r="Y54" s="638"/>
      <c r="Z54" s="638"/>
      <c r="AA54" s="638"/>
      <c r="AB54" s="638"/>
      <c r="AC54" s="638"/>
      <c r="AD54" s="638"/>
      <c r="AE54" s="638"/>
      <c r="AF54" s="638"/>
      <c r="AG54" s="638"/>
      <c r="AH54" s="638">
        <v>0</v>
      </c>
      <c r="AI54" s="638">
        <v>0</v>
      </c>
      <c r="AJ54" s="638"/>
      <c r="AK54" s="638"/>
      <c r="AL54" s="865">
        <f t="shared" si="19"/>
        <v>0</v>
      </c>
      <c r="AM54" s="605">
        <f t="shared" si="2"/>
        <v>0</v>
      </c>
      <c r="AN54" s="605">
        <f t="shared" si="3"/>
        <v>0</v>
      </c>
      <c r="AO54" s="606">
        <f t="shared" si="4"/>
        <v>0</v>
      </c>
    </row>
    <row r="55" spans="1:41" s="710" customFormat="1" ht="20.100000000000001" customHeight="1">
      <c r="A55" s="866" t="s">
        <v>1618</v>
      </c>
      <c r="B55" s="622"/>
      <c r="C55" s="867"/>
      <c r="D55" s="622"/>
      <c r="E55" s="868"/>
      <c r="F55" s="869"/>
      <c r="G55" s="714"/>
      <c r="H55" s="620">
        <f>H56+H57+H58+H59+H60</f>
        <v>249200</v>
      </c>
      <c r="I55" s="620">
        <f t="shared" ref="I55:AK55" si="22">I56+I57+I58+I59+I60</f>
        <v>66000</v>
      </c>
      <c r="J55" s="620">
        <f t="shared" si="22"/>
        <v>183200</v>
      </c>
      <c r="K55" s="620">
        <f t="shared" si="22"/>
        <v>101200</v>
      </c>
      <c r="L55" s="620">
        <f t="shared" si="22"/>
        <v>650</v>
      </c>
      <c r="M55" s="620">
        <f t="shared" si="22"/>
        <v>0</v>
      </c>
      <c r="N55" s="620">
        <f t="shared" si="22"/>
        <v>949</v>
      </c>
      <c r="O55" s="620">
        <f t="shared" si="22"/>
        <v>2600</v>
      </c>
      <c r="P55" s="620">
        <f t="shared" si="22"/>
        <v>0</v>
      </c>
      <c r="Q55" s="620">
        <f t="shared" si="22"/>
        <v>7590</v>
      </c>
      <c r="R55" s="620">
        <f t="shared" si="22"/>
        <v>89411</v>
      </c>
      <c r="S55" s="620">
        <f t="shared" si="22"/>
        <v>137355</v>
      </c>
      <c r="T55" s="620">
        <f t="shared" si="22"/>
        <v>0</v>
      </c>
      <c r="U55" s="620">
        <f t="shared" si="22"/>
        <v>0</v>
      </c>
      <c r="V55" s="620">
        <f t="shared" si="22"/>
        <v>5625</v>
      </c>
      <c r="W55" s="620">
        <f t="shared" si="22"/>
        <v>0</v>
      </c>
      <c r="X55" s="620">
        <f t="shared" si="22"/>
        <v>0</v>
      </c>
      <c r="Y55" s="620">
        <f t="shared" si="22"/>
        <v>249</v>
      </c>
      <c r="Z55" s="620">
        <f t="shared" si="22"/>
        <v>5700</v>
      </c>
      <c r="AA55" s="620">
        <f t="shared" si="22"/>
        <v>10875</v>
      </c>
      <c r="AB55" s="620">
        <f t="shared" si="22"/>
        <v>0</v>
      </c>
      <c r="AC55" s="620">
        <f t="shared" si="22"/>
        <v>0</v>
      </c>
      <c r="AD55" s="620">
        <f t="shared" si="22"/>
        <v>0</v>
      </c>
      <c r="AE55" s="620">
        <f t="shared" si="22"/>
        <v>0</v>
      </c>
      <c r="AF55" s="620">
        <f t="shared" si="22"/>
        <v>1855</v>
      </c>
      <c r="AG55" s="620">
        <f t="shared" si="22"/>
        <v>0</v>
      </c>
      <c r="AH55" s="620">
        <f t="shared" si="22"/>
        <v>113051</v>
      </c>
      <c r="AI55" s="620">
        <f t="shared" si="22"/>
        <v>10645</v>
      </c>
      <c r="AJ55" s="620">
        <f t="shared" si="22"/>
        <v>6645</v>
      </c>
      <c r="AK55" s="620">
        <f t="shared" si="22"/>
        <v>4000</v>
      </c>
      <c r="AL55" s="853">
        <f t="shared" si="19"/>
        <v>0</v>
      </c>
      <c r="AM55" s="605">
        <f t="shared" si="2"/>
        <v>0</v>
      </c>
      <c r="AN55" s="605">
        <f t="shared" si="3"/>
        <v>0</v>
      </c>
      <c r="AO55" s="606">
        <f t="shared" si="4"/>
        <v>0</v>
      </c>
    </row>
    <row r="56" spans="1:41" s="709" customFormat="1" ht="33.6" customHeight="1">
      <c r="A56" s="126" t="s">
        <v>1615</v>
      </c>
      <c r="B56" s="627" t="s">
        <v>1619</v>
      </c>
      <c r="C56" s="625">
        <v>2</v>
      </c>
      <c r="D56" s="126" t="s">
        <v>1611</v>
      </c>
      <c r="E56" s="126" t="s">
        <v>1470</v>
      </c>
      <c r="F56" s="864">
        <v>1</v>
      </c>
      <c r="G56" s="629">
        <v>4</v>
      </c>
      <c r="H56" s="638">
        <f>SUM(I56:J56)</f>
        <v>90000</v>
      </c>
      <c r="I56" s="638">
        <v>30000</v>
      </c>
      <c r="J56" s="638">
        <v>60000</v>
      </c>
      <c r="K56" s="638">
        <f>SUM(L56:R56)</f>
        <v>28000</v>
      </c>
      <c r="L56" s="638">
        <v>650</v>
      </c>
      <c r="M56" s="638">
        <v>0</v>
      </c>
      <c r="N56" s="638">
        <v>949</v>
      </c>
      <c r="O56" s="638">
        <v>2600</v>
      </c>
      <c r="P56" s="638">
        <v>0</v>
      </c>
      <c r="Q56" s="638">
        <v>7590</v>
      </c>
      <c r="R56" s="638">
        <v>16211</v>
      </c>
      <c r="S56" s="638">
        <f>SUM(T56:AH56)</f>
        <v>61655</v>
      </c>
      <c r="T56" s="638">
        <v>0</v>
      </c>
      <c r="U56" s="638">
        <v>0</v>
      </c>
      <c r="V56" s="638">
        <v>5625</v>
      </c>
      <c r="W56" s="638">
        <v>0</v>
      </c>
      <c r="X56" s="638">
        <v>0</v>
      </c>
      <c r="Y56" s="638">
        <v>249</v>
      </c>
      <c r="Z56" s="638">
        <v>0</v>
      </c>
      <c r="AA56" s="638">
        <v>10875</v>
      </c>
      <c r="AB56" s="638">
        <v>0</v>
      </c>
      <c r="AC56" s="638">
        <v>0</v>
      </c>
      <c r="AD56" s="638">
        <v>0</v>
      </c>
      <c r="AE56" s="638">
        <v>0</v>
      </c>
      <c r="AF56" s="638">
        <v>1855</v>
      </c>
      <c r="AG56" s="638">
        <v>0</v>
      </c>
      <c r="AH56" s="638">
        <v>43051</v>
      </c>
      <c r="AI56" s="638">
        <f>SUM(AJ56:AK56)</f>
        <v>345</v>
      </c>
      <c r="AJ56" s="638">
        <v>345</v>
      </c>
      <c r="AK56" s="638"/>
      <c r="AL56" s="865">
        <f t="shared" si="19"/>
        <v>0</v>
      </c>
      <c r="AM56" s="605">
        <f t="shared" si="2"/>
        <v>0</v>
      </c>
      <c r="AN56" s="605">
        <f t="shared" si="3"/>
        <v>0</v>
      </c>
      <c r="AO56" s="606">
        <f t="shared" si="4"/>
        <v>0</v>
      </c>
    </row>
    <row r="57" spans="1:41" s="654" customFormat="1" ht="31.5" customHeight="1">
      <c r="A57" s="126" t="s">
        <v>1615</v>
      </c>
      <c r="B57" s="627" t="s">
        <v>1619</v>
      </c>
      <c r="C57" s="625">
        <v>2</v>
      </c>
      <c r="D57" s="126">
        <v>5.8</v>
      </c>
      <c r="E57" s="726" t="s">
        <v>1472</v>
      </c>
      <c r="F57" s="838">
        <v>1</v>
      </c>
      <c r="G57" s="629">
        <v>4</v>
      </c>
      <c r="H57" s="638">
        <f>SUM(I57:J57)</f>
        <v>8000</v>
      </c>
      <c r="I57" s="638">
        <v>6000</v>
      </c>
      <c r="J57" s="638">
        <v>2000</v>
      </c>
      <c r="K57" s="638">
        <f>SUM(L57:R57)</f>
        <v>1000</v>
      </c>
      <c r="L57" s="638"/>
      <c r="M57" s="638"/>
      <c r="N57" s="638"/>
      <c r="O57" s="638"/>
      <c r="P57" s="638"/>
      <c r="Q57" s="638"/>
      <c r="R57" s="638">
        <v>1000</v>
      </c>
      <c r="S57" s="638">
        <f>SUM(T57:AH57)</f>
        <v>1000</v>
      </c>
      <c r="T57" s="638"/>
      <c r="U57" s="638"/>
      <c r="V57" s="638"/>
      <c r="W57" s="638"/>
      <c r="X57" s="638"/>
      <c r="Y57" s="638"/>
      <c r="Z57" s="638"/>
      <c r="AA57" s="638"/>
      <c r="AB57" s="638"/>
      <c r="AC57" s="638"/>
      <c r="AD57" s="638"/>
      <c r="AE57" s="638"/>
      <c r="AF57" s="638"/>
      <c r="AG57" s="638"/>
      <c r="AH57" s="638">
        <v>1000</v>
      </c>
      <c r="AI57" s="638">
        <f>SUM(AJ57:AK57)</f>
        <v>6000</v>
      </c>
      <c r="AJ57" s="638">
        <v>5000</v>
      </c>
      <c r="AK57" s="638">
        <v>1000</v>
      </c>
      <c r="AL57" s="865">
        <f t="shared" si="19"/>
        <v>0</v>
      </c>
      <c r="AM57" s="605">
        <f t="shared" si="2"/>
        <v>0</v>
      </c>
      <c r="AN57" s="605">
        <f t="shared" si="3"/>
        <v>0</v>
      </c>
      <c r="AO57" s="606">
        <f t="shared" si="4"/>
        <v>0</v>
      </c>
    </row>
    <row r="58" spans="1:41" s="633" customFormat="1" ht="20.100000000000001" customHeight="1">
      <c r="A58" s="126" t="s">
        <v>1615</v>
      </c>
      <c r="B58" s="627" t="s">
        <v>1619</v>
      </c>
      <c r="C58" s="625">
        <v>2</v>
      </c>
      <c r="D58" s="126" t="s">
        <v>1620</v>
      </c>
      <c r="E58" s="126" t="s">
        <v>1474</v>
      </c>
      <c r="F58" s="864">
        <v>1</v>
      </c>
      <c r="G58" s="629">
        <v>4</v>
      </c>
      <c r="H58" s="638">
        <f>SUM(I58:J58)</f>
        <v>17200</v>
      </c>
      <c r="I58" s="638">
        <v>6000</v>
      </c>
      <c r="J58" s="638">
        <v>11200</v>
      </c>
      <c r="K58" s="638">
        <f>SUM(L58:R58)</f>
        <v>0</v>
      </c>
      <c r="L58" s="738">
        <v>0</v>
      </c>
      <c r="M58" s="738">
        <v>0</v>
      </c>
      <c r="N58" s="738">
        <v>0</v>
      </c>
      <c r="O58" s="738">
        <v>0</v>
      </c>
      <c r="P58" s="738">
        <v>0</v>
      </c>
      <c r="Q58" s="738">
        <v>0</v>
      </c>
      <c r="R58" s="638">
        <v>0</v>
      </c>
      <c r="S58" s="638">
        <f>SUM(T58:AH58)</f>
        <v>12900</v>
      </c>
      <c r="T58" s="638">
        <v>0</v>
      </c>
      <c r="U58" s="638">
        <v>0</v>
      </c>
      <c r="V58" s="638">
        <v>0</v>
      </c>
      <c r="W58" s="638">
        <v>0</v>
      </c>
      <c r="X58" s="638">
        <v>0</v>
      </c>
      <c r="Y58" s="638">
        <v>0</v>
      </c>
      <c r="Z58" s="638">
        <v>5700</v>
      </c>
      <c r="AA58" s="638">
        <v>0</v>
      </c>
      <c r="AB58" s="638">
        <v>0</v>
      </c>
      <c r="AC58" s="638">
        <v>0</v>
      </c>
      <c r="AD58" s="638">
        <v>0</v>
      </c>
      <c r="AE58" s="638">
        <v>0</v>
      </c>
      <c r="AF58" s="638">
        <v>0</v>
      </c>
      <c r="AG58" s="638">
        <v>0</v>
      </c>
      <c r="AH58" s="638">
        <v>7200</v>
      </c>
      <c r="AI58" s="638">
        <f>SUM(AJ58:AK58)</f>
        <v>4300</v>
      </c>
      <c r="AJ58" s="638">
        <v>1300</v>
      </c>
      <c r="AK58" s="638">
        <v>3000</v>
      </c>
      <c r="AL58" s="865">
        <f t="shared" si="19"/>
        <v>0</v>
      </c>
      <c r="AM58" s="605">
        <f t="shared" si="2"/>
        <v>0</v>
      </c>
      <c r="AN58" s="605">
        <f t="shared" si="3"/>
        <v>0</v>
      </c>
      <c r="AO58" s="606">
        <f t="shared" si="4"/>
        <v>0</v>
      </c>
    </row>
    <row r="59" spans="1:41" s="654" customFormat="1" ht="28.5" customHeight="1">
      <c r="A59" s="126" t="s">
        <v>1615</v>
      </c>
      <c r="B59" s="627" t="s">
        <v>1619</v>
      </c>
      <c r="C59" s="625">
        <v>2</v>
      </c>
      <c r="D59" s="126" t="s">
        <v>1621</v>
      </c>
      <c r="E59" s="627" t="s">
        <v>1410</v>
      </c>
      <c r="F59" s="864">
        <v>1</v>
      </c>
      <c r="G59" s="629">
        <v>4</v>
      </c>
      <c r="H59" s="738">
        <f>I59+J59</f>
        <v>40000</v>
      </c>
      <c r="I59" s="738">
        <v>0</v>
      </c>
      <c r="J59" s="738">
        <v>40000</v>
      </c>
      <c r="K59" s="738">
        <f>SUM(L59:R59)</f>
        <v>19200</v>
      </c>
      <c r="L59" s="738">
        <v>0</v>
      </c>
      <c r="M59" s="738">
        <v>0</v>
      </c>
      <c r="N59" s="738">
        <v>0</v>
      </c>
      <c r="O59" s="738">
        <v>0</v>
      </c>
      <c r="P59" s="738">
        <v>0</v>
      </c>
      <c r="Q59" s="738">
        <v>0</v>
      </c>
      <c r="R59" s="638">
        <v>19200</v>
      </c>
      <c r="S59" s="738">
        <f>SUM(T59:AH59)</f>
        <v>20800</v>
      </c>
      <c r="T59" s="738">
        <v>0</v>
      </c>
      <c r="U59" s="738">
        <v>0</v>
      </c>
      <c r="V59" s="738">
        <v>0</v>
      </c>
      <c r="W59" s="738">
        <v>0</v>
      </c>
      <c r="X59" s="738">
        <v>0</v>
      </c>
      <c r="Y59" s="738">
        <v>0</v>
      </c>
      <c r="Z59" s="738">
        <v>0</v>
      </c>
      <c r="AA59" s="738">
        <v>0</v>
      </c>
      <c r="AB59" s="738">
        <v>0</v>
      </c>
      <c r="AC59" s="738">
        <v>0</v>
      </c>
      <c r="AD59" s="738">
        <v>0</v>
      </c>
      <c r="AE59" s="738">
        <v>0</v>
      </c>
      <c r="AF59" s="738">
        <v>0</v>
      </c>
      <c r="AG59" s="738">
        <v>0</v>
      </c>
      <c r="AH59" s="738">
        <v>20800</v>
      </c>
      <c r="AI59" s="638">
        <f>SUM(AJ59:AK59)</f>
        <v>0</v>
      </c>
      <c r="AJ59" s="738"/>
      <c r="AK59" s="738"/>
      <c r="AL59" s="865">
        <f t="shared" si="19"/>
        <v>0</v>
      </c>
      <c r="AM59" s="605">
        <f t="shared" si="2"/>
        <v>0</v>
      </c>
      <c r="AN59" s="605">
        <f t="shared" si="3"/>
        <v>0</v>
      </c>
      <c r="AO59" s="606">
        <f t="shared" si="4"/>
        <v>0</v>
      </c>
    </row>
    <row r="60" spans="1:41" s="654" customFormat="1" ht="20.100000000000001" customHeight="1">
      <c r="A60" s="126" t="s">
        <v>1622</v>
      </c>
      <c r="B60" s="627" t="s">
        <v>918</v>
      </c>
      <c r="C60" s="625">
        <v>2</v>
      </c>
      <c r="D60" s="126" t="s">
        <v>1623</v>
      </c>
      <c r="E60" s="627" t="s">
        <v>1412</v>
      </c>
      <c r="F60" s="864">
        <v>1</v>
      </c>
      <c r="G60" s="629">
        <v>4</v>
      </c>
      <c r="H60" s="738">
        <f>I60+J60</f>
        <v>94000</v>
      </c>
      <c r="I60" s="738">
        <v>24000</v>
      </c>
      <c r="J60" s="738">
        <v>70000</v>
      </c>
      <c r="K60" s="738">
        <f>SUM(L60:R60)</f>
        <v>53000</v>
      </c>
      <c r="L60" s="738"/>
      <c r="M60" s="738"/>
      <c r="N60" s="738"/>
      <c r="O60" s="738"/>
      <c r="P60" s="738"/>
      <c r="Q60" s="738"/>
      <c r="R60" s="638">
        <v>53000</v>
      </c>
      <c r="S60" s="738">
        <f>SUM(T60:AH60)</f>
        <v>41000</v>
      </c>
      <c r="T60" s="738"/>
      <c r="U60" s="738"/>
      <c r="V60" s="738"/>
      <c r="W60" s="738"/>
      <c r="X60" s="738"/>
      <c r="Y60" s="738"/>
      <c r="Z60" s="738"/>
      <c r="AA60" s="738"/>
      <c r="AB60" s="738"/>
      <c r="AC60" s="738"/>
      <c r="AD60" s="738"/>
      <c r="AE60" s="738"/>
      <c r="AF60" s="738"/>
      <c r="AG60" s="738"/>
      <c r="AH60" s="738">
        <f>H60-R60</f>
        <v>41000</v>
      </c>
      <c r="AI60" s="638">
        <f>SUM(AJ60:AK60)</f>
        <v>0</v>
      </c>
      <c r="AJ60" s="738"/>
      <c r="AK60" s="738"/>
      <c r="AL60" s="865">
        <f t="shared" si="19"/>
        <v>0</v>
      </c>
      <c r="AM60" s="605">
        <f t="shared" si="2"/>
        <v>0</v>
      </c>
      <c r="AN60" s="605">
        <f t="shared" si="3"/>
        <v>0</v>
      </c>
      <c r="AO60" s="606">
        <f t="shared" si="4"/>
        <v>0</v>
      </c>
    </row>
    <row r="61" spans="1:41" s="624" customFormat="1" ht="35.450000000000003" hidden="1" customHeight="1">
      <c r="A61" s="670" t="s">
        <v>1615</v>
      </c>
      <c r="B61" s="615" t="s">
        <v>1624</v>
      </c>
      <c r="C61" s="613">
        <v>5</v>
      </c>
      <c r="D61" s="870"/>
      <c r="E61" s="615" t="s">
        <v>1479</v>
      </c>
      <c r="F61" s="869">
        <v>1</v>
      </c>
      <c r="G61" s="616">
        <v>4</v>
      </c>
      <c r="H61" s="620"/>
      <c r="I61" s="620"/>
      <c r="J61" s="620"/>
      <c r="K61" s="620"/>
      <c r="L61" s="620"/>
      <c r="M61" s="620"/>
      <c r="N61" s="620"/>
      <c r="O61" s="620"/>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853">
        <f t="shared" si="19"/>
        <v>0</v>
      </c>
      <c r="AM61" s="605">
        <f t="shared" si="2"/>
        <v>0</v>
      </c>
      <c r="AN61" s="605">
        <f t="shared" si="3"/>
        <v>0</v>
      </c>
      <c r="AO61" s="606">
        <f t="shared" si="4"/>
        <v>0</v>
      </c>
    </row>
    <row r="62" spans="1:41" s="731" customFormat="1" ht="21.95" customHeight="1">
      <c r="A62" s="1041" t="s">
        <v>1625</v>
      </c>
      <c r="B62" s="1042"/>
      <c r="C62" s="1042"/>
      <c r="D62" s="1049"/>
      <c r="E62" s="1044"/>
      <c r="F62" s="871"/>
      <c r="G62" s="609"/>
      <c r="H62" s="730">
        <f t="shared" ref="H62:AK62" si="23">H63+H77</f>
        <v>754000</v>
      </c>
      <c r="I62" s="730">
        <f t="shared" si="23"/>
        <v>0</v>
      </c>
      <c r="J62" s="730">
        <f t="shared" si="23"/>
        <v>754000</v>
      </c>
      <c r="K62" s="730">
        <f t="shared" si="23"/>
        <v>257270</v>
      </c>
      <c r="L62" s="730">
        <f t="shared" si="23"/>
        <v>4545</v>
      </c>
      <c r="M62" s="730">
        <f t="shared" si="23"/>
        <v>4545</v>
      </c>
      <c r="N62" s="730">
        <f t="shared" si="23"/>
        <v>4545</v>
      </c>
      <c r="O62" s="730">
        <f t="shared" si="23"/>
        <v>4545</v>
      </c>
      <c r="P62" s="730">
        <f t="shared" si="23"/>
        <v>52545</v>
      </c>
      <c r="Q62" s="730">
        <f t="shared" si="23"/>
        <v>6545</v>
      </c>
      <c r="R62" s="730">
        <f t="shared" si="23"/>
        <v>180000</v>
      </c>
      <c r="S62" s="730">
        <f t="shared" si="23"/>
        <v>487640</v>
      </c>
      <c r="T62" s="730">
        <f t="shared" si="23"/>
        <v>4546</v>
      </c>
      <c r="U62" s="730">
        <f t="shared" si="23"/>
        <v>8546</v>
      </c>
      <c r="V62" s="730">
        <f t="shared" si="23"/>
        <v>4546</v>
      </c>
      <c r="W62" s="730">
        <f t="shared" si="23"/>
        <v>4546</v>
      </c>
      <c r="X62" s="730">
        <f t="shared" si="23"/>
        <v>4546</v>
      </c>
      <c r="Y62" s="730">
        <f t="shared" si="23"/>
        <v>4546</v>
      </c>
      <c r="Z62" s="730">
        <f t="shared" si="23"/>
        <v>4546</v>
      </c>
      <c r="AA62" s="730">
        <f t="shared" si="23"/>
        <v>4546</v>
      </c>
      <c r="AB62" s="730">
        <f t="shared" si="23"/>
        <v>4546</v>
      </c>
      <c r="AC62" s="730">
        <f t="shared" si="23"/>
        <v>4546</v>
      </c>
      <c r="AD62" s="730">
        <f t="shared" si="23"/>
        <v>4545</v>
      </c>
      <c r="AE62" s="730">
        <f t="shared" si="23"/>
        <v>4545</v>
      </c>
      <c r="AF62" s="730">
        <f t="shared" si="23"/>
        <v>4545</v>
      </c>
      <c r="AG62" s="730">
        <f t="shared" si="23"/>
        <v>4545</v>
      </c>
      <c r="AH62" s="730">
        <f t="shared" si="23"/>
        <v>420000</v>
      </c>
      <c r="AI62" s="730">
        <f t="shared" si="23"/>
        <v>9090</v>
      </c>
      <c r="AJ62" s="730">
        <f t="shared" si="23"/>
        <v>4545</v>
      </c>
      <c r="AK62" s="730">
        <f t="shared" si="23"/>
        <v>4545</v>
      </c>
      <c r="AL62" s="827">
        <f t="shared" si="19"/>
        <v>0</v>
      </c>
      <c r="AM62" s="605">
        <f t="shared" si="2"/>
        <v>0</v>
      </c>
      <c r="AN62" s="605">
        <f t="shared" si="3"/>
        <v>0</v>
      </c>
      <c r="AO62" s="606">
        <f t="shared" si="4"/>
        <v>0</v>
      </c>
    </row>
    <row r="63" spans="1:41" s="624" customFormat="1" ht="20.100000000000001" customHeight="1">
      <c r="A63" s="844" t="s">
        <v>1103</v>
      </c>
      <c r="B63" s="647"/>
      <c r="C63" s="734"/>
      <c r="D63" s="647"/>
      <c r="E63" s="641"/>
      <c r="F63" s="872"/>
      <c r="G63" s="616"/>
      <c r="H63" s="620">
        <f>SUM(H64:H76)</f>
        <v>6000</v>
      </c>
      <c r="I63" s="620">
        <f t="shared" ref="I63:AK63" si="24">SUM(I64:I76)</f>
        <v>0</v>
      </c>
      <c r="J63" s="620">
        <f t="shared" si="24"/>
        <v>6000</v>
      </c>
      <c r="K63" s="620">
        <f t="shared" si="24"/>
        <v>2000</v>
      </c>
      <c r="L63" s="620">
        <f t="shared" si="24"/>
        <v>0</v>
      </c>
      <c r="M63" s="620">
        <f t="shared" si="24"/>
        <v>0</v>
      </c>
      <c r="N63" s="620">
        <f t="shared" si="24"/>
        <v>0</v>
      </c>
      <c r="O63" s="620">
        <f t="shared" si="24"/>
        <v>0</v>
      </c>
      <c r="P63" s="620">
        <f t="shared" si="24"/>
        <v>0</v>
      </c>
      <c r="Q63" s="620">
        <f t="shared" si="24"/>
        <v>2000</v>
      </c>
      <c r="R63" s="620">
        <f t="shared" si="24"/>
        <v>0</v>
      </c>
      <c r="S63" s="620">
        <f t="shared" si="24"/>
        <v>4000</v>
      </c>
      <c r="T63" s="620">
        <f t="shared" si="24"/>
        <v>0</v>
      </c>
      <c r="U63" s="620">
        <f t="shared" si="24"/>
        <v>4000</v>
      </c>
      <c r="V63" s="620">
        <f t="shared" si="24"/>
        <v>0</v>
      </c>
      <c r="W63" s="620">
        <f t="shared" si="24"/>
        <v>0</v>
      </c>
      <c r="X63" s="620">
        <f t="shared" si="24"/>
        <v>0</v>
      </c>
      <c r="Y63" s="620">
        <f t="shared" si="24"/>
        <v>0</v>
      </c>
      <c r="Z63" s="620">
        <f t="shared" si="24"/>
        <v>0</v>
      </c>
      <c r="AA63" s="620">
        <f t="shared" si="24"/>
        <v>0</v>
      </c>
      <c r="AB63" s="620">
        <f t="shared" si="24"/>
        <v>0</v>
      </c>
      <c r="AC63" s="620">
        <f t="shared" si="24"/>
        <v>0</v>
      </c>
      <c r="AD63" s="620">
        <f t="shared" si="24"/>
        <v>0</v>
      </c>
      <c r="AE63" s="620">
        <f t="shared" si="24"/>
        <v>0</v>
      </c>
      <c r="AF63" s="620">
        <f t="shared" si="24"/>
        <v>0</v>
      </c>
      <c r="AG63" s="620">
        <f t="shared" si="24"/>
        <v>0</v>
      </c>
      <c r="AH63" s="620">
        <f t="shared" si="24"/>
        <v>0</v>
      </c>
      <c r="AI63" s="620">
        <f t="shared" si="24"/>
        <v>0</v>
      </c>
      <c r="AJ63" s="620">
        <f t="shared" si="24"/>
        <v>0</v>
      </c>
      <c r="AK63" s="620">
        <f t="shared" si="24"/>
        <v>0</v>
      </c>
      <c r="AL63" s="853">
        <f t="shared" si="19"/>
        <v>0</v>
      </c>
      <c r="AM63" s="605">
        <f t="shared" si="2"/>
        <v>0</v>
      </c>
      <c r="AN63" s="605">
        <f t="shared" si="3"/>
        <v>0</v>
      </c>
      <c r="AO63" s="606">
        <f t="shared" si="4"/>
        <v>0</v>
      </c>
    </row>
    <row r="64" spans="1:41" s="633" customFormat="1" ht="36" hidden="1" customHeight="1">
      <c r="A64" s="126" t="s">
        <v>70</v>
      </c>
      <c r="B64" s="126" t="s">
        <v>1482</v>
      </c>
      <c r="C64" s="625">
        <v>1</v>
      </c>
      <c r="D64" s="126" t="s">
        <v>1626</v>
      </c>
      <c r="E64" s="721" t="s">
        <v>613</v>
      </c>
      <c r="F64" s="848">
        <v>1</v>
      </c>
      <c r="G64" s="629">
        <v>4</v>
      </c>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865">
        <f t="shared" si="19"/>
        <v>0</v>
      </c>
      <c r="AM64" s="605">
        <f t="shared" si="2"/>
        <v>0</v>
      </c>
      <c r="AN64" s="605">
        <f t="shared" si="3"/>
        <v>0</v>
      </c>
      <c r="AO64" s="606">
        <f t="shared" si="4"/>
        <v>0</v>
      </c>
    </row>
    <row r="65" spans="1:41" s="633" customFormat="1" ht="20.100000000000001" hidden="1" customHeight="1">
      <c r="A65" s="126" t="s">
        <v>70</v>
      </c>
      <c r="B65" s="126" t="s">
        <v>1482</v>
      </c>
      <c r="C65" s="625">
        <v>1</v>
      </c>
      <c r="D65" s="126" t="s">
        <v>1627</v>
      </c>
      <c r="E65" s="721" t="s">
        <v>214</v>
      </c>
      <c r="F65" s="848">
        <v>1</v>
      </c>
      <c r="G65" s="629">
        <v>4</v>
      </c>
      <c r="H65" s="663"/>
      <c r="I65" s="638"/>
      <c r="J65" s="638"/>
      <c r="K65" s="638"/>
      <c r="L65" s="638"/>
      <c r="M65" s="638"/>
      <c r="N65" s="638"/>
      <c r="O65" s="638"/>
      <c r="P65" s="638"/>
      <c r="Q65" s="638"/>
      <c r="R65" s="638"/>
      <c r="S65" s="638"/>
      <c r="T65" s="638"/>
      <c r="U65" s="638"/>
      <c r="V65" s="638"/>
      <c r="W65" s="638"/>
      <c r="X65" s="638"/>
      <c r="Y65" s="638"/>
      <c r="Z65" s="638"/>
      <c r="AA65" s="638"/>
      <c r="AB65" s="638"/>
      <c r="AC65" s="638"/>
      <c r="AD65" s="638"/>
      <c r="AE65" s="638"/>
      <c r="AF65" s="638"/>
      <c r="AG65" s="638"/>
      <c r="AH65" s="638"/>
      <c r="AI65" s="638"/>
      <c r="AJ65" s="638"/>
      <c r="AK65" s="638"/>
      <c r="AL65" s="865">
        <f t="shared" si="19"/>
        <v>0</v>
      </c>
      <c r="AM65" s="605">
        <f t="shared" si="2"/>
        <v>0</v>
      </c>
      <c r="AN65" s="605">
        <f t="shared" si="3"/>
        <v>0</v>
      </c>
      <c r="AO65" s="606">
        <f t="shared" si="4"/>
        <v>0</v>
      </c>
    </row>
    <row r="66" spans="1:41" s="633" customFormat="1" ht="27" hidden="1" customHeight="1">
      <c r="A66" s="126" t="s">
        <v>70</v>
      </c>
      <c r="B66" s="627" t="s">
        <v>1482</v>
      </c>
      <c r="C66" s="625">
        <v>1</v>
      </c>
      <c r="D66" s="126"/>
      <c r="E66" s="723" t="s">
        <v>614</v>
      </c>
      <c r="F66" s="848">
        <v>1</v>
      </c>
      <c r="G66" s="629">
        <v>4</v>
      </c>
      <c r="H66" s="663"/>
      <c r="I66" s="638"/>
      <c r="J66" s="638"/>
      <c r="K66" s="638"/>
      <c r="L66" s="638"/>
      <c r="M66" s="638"/>
      <c r="N66" s="638"/>
      <c r="O66" s="638"/>
      <c r="P66" s="638"/>
      <c r="Q66" s="638"/>
      <c r="R66" s="638"/>
      <c r="S66" s="638"/>
      <c r="T66" s="638"/>
      <c r="U66" s="638"/>
      <c r="V66" s="638"/>
      <c r="W66" s="638"/>
      <c r="X66" s="638"/>
      <c r="Y66" s="638"/>
      <c r="Z66" s="638"/>
      <c r="AA66" s="638"/>
      <c r="AB66" s="638"/>
      <c r="AC66" s="638"/>
      <c r="AD66" s="638"/>
      <c r="AE66" s="638"/>
      <c r="AF66" s="638"/>
      <c r="AG66" s="638"/>
      <c r="AH66" s="638"/>
      <c r="AI66" s="638"/>
      <c r="AJ66" s="638"/>
      <c r="AK66" s="638"/>
      <c r="AL66" s="865">
        <f t="shared" si="19"/>
        <v>0</v>
      </c>
      <c r="AM66" s="605">
        <f t="shared" si="2"/>
        <v>0</v>
      </c>
      <c r="AN66" s="605">
        <f t="shared" si="3"/>
        <v>0</v>
      </c>
      <c r="AO66" s="606">
        <f t="shared" si="4"/>
        <v>0</v>
      </c>
    </row>
    <row r="67" spans="1:41" s="633" customFormat="1" ht="27" hidden="1" customHeight="1">
      <c r="A67" s="126" t="s">
        <v>70</v>
      </c>
      <c r="B67" s="126" t="s">
        <v>1482</v>
      </c>
      <c r="C67" s="625">
        <v>1</v>
      </c>
      <c r="D67" s="126" t="s">
        <v>1628</v>
      </c>
      <c r="E67" s="721" t="s">
        <v>1487</v>
      </c>
      <c r="F67" s="848">
        <v>1</v>
      </c>
      <c r="G67" s="629">
        <v>4</v>
      </c>
      <c r="H67" s="663"/>
      <c r="I67" s="638"/>
      <c r="J67" s="638"/>
      <c r="K67" s="638"/>
      <c r="L67" s="638"/>
      <c r="M67" s="638"/>
      <c r="N67" s="638"/>
      <c r="O67" s="638"/>
      <c r="P67" s="638"/>
      <c r="Q67" s="638"/>
      <c r="R67" s="638"/>
      <c r="S67" s="638"/>
      <c r="T67" s="638"/>
      <c r="U67" s="638"/>
      <c r="V67" s="638"/>
      <c r="W67" s="638"/>
      <c r="X67" s="638"/>
      <c r="Y67" s="638"/>
      <c r="Z67" s="638"/>
      <c r="AA67" s="638"/>
      <c r="AB67" s="638"/>
      <c r="AC67" s="638"/>
      <c r="AD67" s="638"/>
      <c r="AE67" s="638"/>
      <c r="AF67" s="638"/>
      <c r="AG67" s="638"/>
      <c r="AH67" s="638"/>
      <c r="AI67" s="638"/>
      <c r="AJ67" s="638"/>
      <c r="AK67" s="638"/>
      <c r="AL67" s="865">
        <f t="shared" si="19"/>
        <v>0</v>
      </c>
      <c r="AM67" s="605">
        <f t="shared" si="2"/>
        <v>0</v>
      </c>
      <c r="AN67" s="605">
        <f t="shared" si="3"/>
        <v>0</v>
      </c>
      <c r="AO67" s="606">
        <f t="shared" si="4"/>
        <v>0</v>
      </c>
    </row>
    <row r="68" spans="1:41" s="633" customFormat="1" ht="43.5" hidden="1" customHeight="1">
      <c r="A68" s="126" t="s">
        <v>70</v>
      </c>
      <c r="B68" s="126" t="s">
        <v>1482</v>
      </c>
      <c r="C68" s="625">
        <v>1</v>
      </c>
      <c r="D68" s="126" t="s">
        <v>1629</v>
      </c>
      <c r="E68" s="726" t="s">
        <v>931</v>
      </c>
      <c r="F68" s="848">
        <v>1</v>
      </c>
      <c r="G68" s="629">
        <v>4</v>
      </c>
      <c r="H68" s="663"/>
      <c r="I68" s="638"/>
      <c r="J68" s="638"/>
      <c r="K68" s="638"/>
      <c r="L68" s="638"/>
      <c r="M68" s="638"/>
      <c r="N68" s="638"/>
      <c r="O68" s="638"/>
      <c r="P68" s="638"/>
      <c r="Q68" s="638"/>
      <c r="R68" s="638"/>
      <c r="S68" s="638"/>
      <c r="T68" s="638"/>
      <c r="U68" s="638"/>
      <c r="V68" s="638"/>
      <c r="W68" s="638"/>
      <c r="X68" s="638"/>
      <c r="Y68" s="638"/>
      <c r="Z68" s="638"/>
      <c r="AA68" s="638"/>
      <c r="AB68" s="638"/>
      <c r="AC68" s="638"/>
      <c r="AD68" s="638"/>
      <c r="AE68" s="638"/>
      <c r="AF68" s="638"/>
      <c r="AG68" s="638"/>
      <c r="AH68" s="638"/>
      <c r="AI68" s="638"/>
      <c r="AJ68" s="638"/>
      <c r="AK68" s="638"/>
      <c r="AL68" s="865">
        <f t="shared" si="19"/>
        <v>0</v>
      </c>
      <c r="AM68" s="605">
        <f t="shared" si="2"/>
        <v>0</v>
      </c>
      <c r="AN68" s="605">
        <f t="shared" si="3"/>
        <v>0</v>
      </c>
      <c r="AO68" s="606">
        <f t="shared" si="4"/>
        <v>0</v>
      </c>
    </row>
    <row r="69" spans="1:41" s="654" customFormat="1" ht="20.100000000000001" customHeight="1">
      <c r="A69" s="126" t="s">
        <v>70</v>
      </c>
      <c r="B69" s="126" t="s">
        <v>1482</v>
      </c>
      <c r="C69" s="625">
        <v>1</v>
      </c>
      <c r="D69" s="126" t="s">
        <v>1630</v>
      </c>
      <c r="E69" s="126" t="s">
        <v>1490</v>
      </c>
      <c r="F69" s="848">
        <v>1</v>
      </c>
      <c r="G69" s="629">
        <v>4</v>
      </c>
      <c r="H69" s="663">
        <v>2000</v>
      </c>
      <c r="I69" s="638"/>
      <c r="J69" s="638">
        <v>2000</v>
      </c>
      <c r="K69" s="638">
        <v>2000</v>
      </c>
      <c r="L69" s="638"/>
      <c r="M69" s="638"/>
      <c r="N69" s="638"/>
      <c r="O69" s="638"/>
      <c r="P69" s="638"/>
      <c r="Q69" s="638">
        <v>2000</v>
      </c>
      <c r="R69" s="638">
        <v>0</v>
      </c>
      <c r="S69" s="638">
        <v>0</v>
      </c>
      <c r="T69" s="638"/>
      <c r="U69" s="638"/>
      <c r="V69" s="638"/>
      <c r="W69" s="638"/>
      <c r="X69" s="638"/>
      <c r="Y69" s="638"/>
      <c r="Z69" s="638"/>
      <c r="AA69" s="638"/>
      <c r="AB69" s="638"/>
      <c r="AC69" s="638"/>
      <c r="AD69" s="638"/>
      <c r="AE69" s="638"/>
      <c r="AF69" s="638"/>
      <c r="AG69" s="638"/>
      <c r="AH69" s="638"/>
      <c r="AI69" s="638">
        <v>0</v>
      </c>
      <c r="AJ69" s="638"/>
      <c r="AK69" s="638"/>
      <c r="AL69" s="865">
        <f t="shared" si="19"/>
        <v>0</v>
      </c>
      <c r="AM69" s="605">
        <f t="shared" ref="AM69:AM99" si="25">AI69-AJ69-AK69</f>
        <v>0</v>
      </c>
      <c r="AN69" s="605">
        <f t="shared" ref="AN69:AN99" si="26">S69-T69-U69-V69-W69-X69-Y69-Z69-AA69-AB69-AC69-AD69-AE69-AF69-AG69-AH69</f>
        <v>0</v>
      </c>
      <c r="AO69" s="606">
        <f t="shared" ref="AO69:AO99" si="27">K69-L69-M69-N69-O69-P69-Q69-R69</f>
        <v>0</v>
      </c>
    </row>
    <row r="70" spans="1:41" s="633" customFormat="1" ht="20.100000000000001" hidden="1" customHeight="1">
      <c r="A70" s="126" t="s">
        <v>70</v>
      </c>
      <c r="B70" s="126" t="s">
        <v>1482</v>
      </c>
      <c r="C70" s="625">
        <v>1</v>
      </c>
      <c r="D70" s="126" t="s">
        <v>1631</v>
      </c>
      <c r="E70" s="721" t="s">
        <v>1492</v>
      </c>
      <c r="F70" s="848">
        <v>1</v>
      </c>
      <c r="G70" s="629">
        <v>4</v>
      </c>
      <c r="H70" s="663"/>
      <c r="I70" s="638"/>
      <c r="J70" s="638"/>
      <c r="K70" s="638"/>
      <c r="L70" s="638"/>
      <c r="M70" s="638"/>
      <c r="N70" s="638"/>
      <c r="O70" s="638"/>
      <c r="P70" s="638"/>
      <c r="Q70" s="638"/>
      <c r="R70" s="638"/>
      <c r="S70" s="638"/>
      <c r="T70" s="638"/>
      <c r="U70" s="638"/>
      <c r="V70" s="638"/>
      <c r="W70" s="638"/>
      <c r="X70" s="638"/>
      <c r="Y70" s="638"/>
      <c r="Z70" s="638"/>
      <c r="AA70" s="638"/>
      <c r="AB70" s="638"/>
      <c r="AC70" s="638"/>
      <c r="AD70" s="638"/>
      <c r="AE70" s="638"/>
      <c r="AF70" s="638"/>
      <c r="AG70" s="638"/>
      <c r="AH70" s="638"/>
      <c r="AI70" s="638"/>
      <c r="AJ70" s="638"/>
      <c r="AK70" s="638"/>
      <c r="AL70" s="865">
        <f t="shared" si="19"/>
        <v>0</v>
      </c>
      <c r="AM70" s="605">
        <f t="shared" si="25"/>
        <v>0</v>
      </c>
      <c r="AN70" s="605">
        <f t="shared" si="26"/>
        <v>0</v>
      </c>
      <c r="AO70" s="606">
        <f t="shared" si="27"/>
        <v>0</v>
      </c>
    </row>
    <row r="71" spans="1:41" s="633" customFormat="1" ht="20.100000000000001" customHeight="1">
      <c r="A71" s="126" t="s">
        <v>70</v>
      </c>
      <c r="B71" s="126" t="s">
        <v>1482</v>
      </c>
      <c r="C71" s="625">
        <v>1</v>
      </c>
      <c r="D71" s="126" t="s">
        <v>1476</v>
      </c>
      <c r="E71" s="721" t="s">
        <v>1494</v>
      </c>
      <c r="F71" s="848">
        <v>1</v>
      </c>
      <c r="G71" s="629">
        <v>4</v>
      </c>
      <c r="H71" s="663">
        <v>4000</v>
      </c>
      <c r="I71" s="638"/>
      <c r="J71" s="638">
        <v>4000</v>
      </c>
      <c r="K71" s="638">
        <v>0</v>
      </c>
      <c r="L71" s="638"/>
      <c r="M71" s="638"/>
      <c r="N71" s="638"/>
      <c r="O71" s="638"/>
      <c r="P71" s="638"/>
      <c r="Q71" s="638"/>
      <c r="R71" s="638">
        <v>0</v>
      </c>
      <c r="S71" s="638">
        <v>4000</v>
      </c>
      <c r="T71" s="638"/>
      <c r="U71" s="638">
        <v>4000</v>
      </c>
      <c r="V71" s="638"/>
      <c r="W71" s="638"/>
      <c r="X71" s="638"/>
      <c r="Y71" s="638"/>
      <c r="Z71" s="638"/>
      <c r="AA71" s="638"/>
      <c r="AB71" s="638"/>
      <c r="AC71" s="638"/>
      <c r="AD71" s="638"/>
      <c r="AE71" s="638"/>
      <c r="AF71" s="638"/>
      <c r="AG71" s="638"/>
      <c r="AH71" s="638"/>
      <c r="AI71" s="638">
        <v>0</v>
      </c>
      <c r="AJ71" s="638"/>
      <c r="AK71" s="638"/>
      <c r="AL71" s="865">
        <f t="shared" si="19"/>
        <v>0</v>
      </c>
      <c r="AM71" s="605">
        <f t="shared" si="25"/>
        <v>0</v>
      </c>
      <c r="AN71" s="605">
        <f t="shared" si="26"/>
        <v>0</v>
      </c>
      <c r="AO71" s="606">
        <f t="shared" si="27"/>
        <v>0</v>
      </c>
    </row>
    <row r="72" spans="1:41" s="633" customFormat="1" ht="24.6" hidden="1" customHeight="1">
      <c r="A72" s="126" t="s">
        <v>70</v>
      </c>
      <c r="B72" s="126" t="s">
        <v>1482</v>
      </c>
      <c r="C72" s="625">
        <v>1</v>
      </c>
      <c r="D72" s="859" t="s">
        <v>1632</v>
      </c>
      <c r="E72" s="721" t="s">
        <v>1496</v>
      </c>
      <c r="F72" s="848">
        <v>1</v>
      </c>
      <c r="G72" s="629">
        <v>4</v>
      </c>
      <c r="H72" s="663"/>
      <c r="I72" s="638"/>
      <c r="J72" s="638"/>
      <c r="K72" s="638"/>
      <c r="L72" s="638"/>
      <c r="M72" s="638"/>
      <c r="N72" s="638"/>
      <c r="O72" s="638"/>
      <c r="P72" s="638"/>
      <c r="Q72" s="638"/>
      <c r="R72" s="638"/>
      <c r="S72" s="638"/>
      <c r="T72" s="638"/>
      <c r="U72" s="638"/>
      <c r="V72" s="638"/>
      <c r="W72" s="638"/>
      <c r="X72" s="638"/>
      <c r="Y72" s="638"/>
      <c r="Z72" s="638"/>
      <c r="AA72" s="638"/>
      <c r="AB72" s="638"/>
      <c r="AC72" s="638"/>
      <c r="AD72" s="638"/>
      <c r="AE72" s="638"/>
      <c r="AF72" s="638"/>
      <c r="AG72" s="638"/>
      <c r="AH72" s="638"/>
      <c r="AI72" s="638"/>
      <c r="AJ72" s="638"/>
      <c r="AK72" s="638"/>
      <c r="AL72" s="865">
        <f t="shared" si="19"/>
        <v>0</v>
      </c>
      <c r="AM72" s="605">
        <f t="shared" si="25"/>
        <v>0</v>
      </c>
      <c r="AN72" s="605">
        <f t="shared" si="26"/>
        <v>0</v>
      </c>
      <c r="AO72" s="606">
        <f t="shared" si="27"/>
        <v>0</v>
      </c>
    </row>
    <row r="73" spans="1:41" s="633" customFormat="1" ht="27.95" hidden="1" customHeight="1">
      <c r="A73" s="126" t="s">
        <v>70</v>
      </c>
      <c r="B73" s="126" t="s">
        <v>1482</v>
      </c>
      <c r="C73" s="686">
        <v>1</v>
      </c>
      <c r="D73" s="870"/>
      <c r="E73" s="721" t="s">
        <v>1498</v>
      </c>
      <c r="F73" s="848">
        <v>1</v>
      </c>
      <c r="G73" s="629">
        <v>4</v>
      </c>
      <c r="H73" s="663"/>
      <c r="I73" s="638"/>
      <c r="J73" s="638"/>
      <c r="K73" s="638"/>
      <c r="L73" s="638"/>
      <c r="M73" s="638"/>
      <c r="N73" s="638"/>
      <c r="O73" s="638"/>
      <c r="P73" s="638"/>
      <c r="Q73" s="638"/>
      <c r="R73" s="638"/>
      <c r="S73" s="638"/>
      <c r="T73" s="638"/>
      <c r="U73" s="638"/>
      <c r="V73" s="638"/>
      <c r="W73" s="638"/>
      <c r="X73" s="638"/>
      <c r="Y73" s="638"/>
      <c r="Z73" s="638"/>
      <c r="AA73" s="638"/>
      <c r="AB73" s="638"/>
      <c r="AC73" s="638"/>
      <c r="AD73" s="638"/>
      <c r="AE73" s="638"/>
      <c r="AF73" s="638"/>
      <c r="AG73" s="638"/>
      <c r="AH73" s="638"/>
      <c r="AI73" s="638"/>
      <c r="AJ73" s="638"/>
      <c r="AK73" s="638"/>
      <c r="AL73" s="865">
        <f t="shared" si="19"/>
        <v>0</v>
      </c>
      <c r="AM73" s="605">
        <f t="shared" si="25"/>
        <v>0</v>
      </c>
      <c r="AN73" s="605">
        <f t="shared" si="26"/>
        <v>0</v>
      </c>
      <c r="AO73" s="606">
        <f t="shared" si="27"/>
        <v>0</v>
      </c>
    </row>
    <row r="74" spans="1:41" s="654" customFormat="1" ht="30.95" hidden="1" customHeight="1">
      <c r="A74" s="126" t="s">
        <v>70</v>
      </c>
      <c r="B74" s="126" t="s">
        <v>1482</v>
      </c>
      <c r="C74" s="625">
        <v>1</v>
      </c>
      <c r="D74" s="126" t="s">
        <v>1483</v>
      </c>
      <c r="E74" s="721" t="s">
        <v>1500</v>
      </c>
      <c r="F74" s="848">
        <v>1</v>
      </c>
      <c r="G74" s="629">
        <v>4</v>
      </c>
      <c r="H74" s="663"/>
      <c r="I74" s="638"/>
      <c r="J74" s="638"/>
      <c r="K74" s="638"/>
      <c r="L74" s="638"/>
      <c r="M74" s="638"/>
      <c r="N74" s="638"/>
      <c r="O74" s="638"/>
      <c r="P74" s="638"/>
      <c r="Q74" s="638"/>
      <c r="R74" s="638"/>
      <c r="S74" s="638"/>
      <c r="T74" s="638"/>
      <c r="U74" s="638"/>
      <c r="V74" s="638"/>
      <c r="W74" s="638"/>
      <c r="X74" s="638"/>
      <c r="Y74" s="638"/>
      <c r="Z74" s="638"/>
      <c r="AA74" s="638"/>
      <c r="AB74" s="638"/>
      <c r="AC74" s="638"/>
      <c r="AD74" s="638"/>
      <c r="AE74" s="638"/>
      <c r="AF74" s="638"/>
      <c r="AG74" s="638"/>
      <c r="AH74" s="638"/>
      <c r="AI74" s="638"/>
      <c r="AJ74" s="638"/>
      <c r="AK74" s="638"/>
      <c r="AL74" s="865">
        <f t="shared" si="19"/>
        <v>0</v>
      </c>
      <c r="AM74" s="605">
        <f t="shared" si="25"/>
        <v>0</v>
      </c>
      <c r="AN74" s="605">
        <f t="shared" si="26"/>
        <v>0</v>
      </c>
      <c r="AO74" s="606">
        <f t="shared" si="27"/>
        <v>0</v>
      </c>
    </row>
    <row r="75" spans="1:41" s="654" customFormat="1" ht="34.5" hidden="1" customHeight="1">
      <c r="A75" s="126" t="s">
        <v>70</v>
      </c>
      <c r="B75" s="126" t="s">
        <v>476</v>
      </c>
      <c r="C75" s="625">
        <v>1</v>
      </c>
      <c r="D75" s="126" t="s">
        <v>1491</v>
      </c>
      <c r="E75" s="721" t="s">
        <v>226</v>
      </c>
      <c r="F75" s="848">
        <v>1</v>
      </c>
      <c r="G75" s="629">
        <v>4</v>
      </c>
      <c r="H75" s="663"/>
      <c r="I75" s="638"/>
      <c r="J75" s="638"/>
      <c r="K75" s="638"/>
      <c r="L75" s="638"/>
      <c r="M75" s="638"/>
      <c r="N75" s="638"/>
      <c r="O75" s="638"/>
      <c r="P75" s="638"/>
      <c r="Q75" s="638"/>
      <c r="R75" s="638"/>
      <c r="S75" s="638"/>
      <c r="T75" s="638"/>
      <c r="U75" s="638"/>
      <c r="V75" s="638"/>
      <c r="W75" s="638"/>
      <c r="X75" s="638"/>
      <c r="Y75" s="638"/>
      <c r="Z75" s="638"/>
      <c r="AA75" s="638"/>
      <c r="AB75" s="638"/>
      <c r="AC75" s="638"/>
      <c r="AD75" s="638"/>
      <c r="AE75" s="638"/>
      <c r="AF75" s="638"/>
      <c r="AG75" s="638"/>
      <c r="AH75" s="638"/>
      <c r="AI75" s="638"/>
      <c r="AJ75" s="638"/>
      <c r="AK75" s="638"/>
      <c r="AL75" s="865">
        <f>H75-K75-S75-AI75</f>
        <v>0</v>
      </c>
      <c r="AM75" s="605">
        <f>AI75-AJ75-AK75</f>
        <v>0</v>
      </c>
      <c r="AN75" s="605">
        <f>S75-T75-U75-V75-W75-X75-Y75-Z75-AA75-AB75-AC75-AD75-AE75-AF75-AG75-AH75</f>
        <v>0</v>
      </c>
      <c r="AO75" s="606">
        <f>K75-L75-M75-N75-O75-P75-Q75-R75</f>
        <v>0</v>
      </c>
    </row>
    <row r="76" spans="1:41" s="633" customFormat="1" ht="32.1" hidden="1" customHeight="1">
      <c r="A76" s="126" t="s">
        <v>70</v>
      </c>
      <c r="B76" s="126" t="s">
        <v>476</v>
      </c>
      <c r="C76" s="625">
        <v>1</v>
      </c>
      <c r="D76" s="126" t="s">
        <v>1493</v>
      </c>
      <c r="E76" s="721" t="s">
        <v>935</v>
      </c>
      <c r="F76" s="848">
        <v>1</v>
      </c>
      <c r="G76" s="629">
        <v>4</v>
      </c>
      <c r="H76" s="663"/>
      <c r="I76" s="638"/>
      <c r="J76" s="638"/>
      <c r="K76" s="638"/>
      <c r="L76" s="638"/>
      <c r="M76" s="638"/>
      <c r="N76" s="638"/>
      <c r="O76" s="638"/>
      <c r="P76" s="638"/>
      <c r="Q76" s="638"/>
      <c r="R76" s="638"/>
      <c r="S76" s="638"/>
      <c r="T76" s="638"/>
      <c r="U76" s="638"/>
      <c r="V76" s="638"/>
      <c r="W76" s="638"/>
      <c r="X76" s="638"/>
      <c r="Y76" s="638"/>
      <c r="Z76" s="638"/>
      <c r="AA76" s="638"/>
      <c r="AB76" s="638"/>
      <c r="AC76" s="638"/>
      <c r="AD76" s="638"/>
      <c r="AE76" s="638"/>
      <c r="AF76" s="638"/>
      <c r="AG76" s="638"/>
      <c r="AH76" s="638"/>
      <c r="AI76" s="638"/>
      <c r="AJ76" s="638"/>
      <c r="AK76" s="638"/>
      <c r="AL76" s="865">
        <f>H76-K76-S76-AI76</f>
        <v>0</v>
      </c>
      <c r="AM76" s="605">
        <f>AI76-AJ76-AK76</f>
        <v>0</v>
      </c>
      <c r="AN76" s="605">
        <f>S76-T76-U76-V76-W76-X76-Y76-Z76-AA76-AB76-AC76-AD76-AE76-AF76-AG76-AH76</f>
        <v>0</v>
      </c>
      <c r="AO76" s="606">
        <f>K76-L76-M76-N76-O76-P76-Q76-R76</f>
        <v>0</v>
      </c>
    </row>
    <row r="77" spans="1:41" s="624" customFormat="1" ht="24" customHeight="1">
      <c r="A77" s="1023" t="s">
        <v>1104</v>
      </c>
      <c r="B77" s="1024"/>
      <c r="C77" s="1024"/>
      <c r="D77" s="1025"/>
      <c r="E77" s="1026"/>
      <c r="F77" s="839"/>
      <c r="G77" s="616"/>
      <c r="H77" s="620">
        <f t="shared" ref="H77:AK77" si="28">SUM(H78:H80)</f>
        <v>748000</v>
      </c>
      <c r="I77" s="620">
        <f t="shared" si="28"/>
        <v>0</v>
      </c>
      <c r="J77" s="620">
        <f t="shared" si="28"/>
        <v>748000</v>
      </c>
      <c r="K77" s="620">
        <f t="shared" si="28"/>
        <v>255270</v>
      </c>
      <c r="L77" s="620">
        <f t="shared" si="28"/>
        <v>4545</v>
      </c>
      <c r="M77" s="620">
        <f t="shared" si="28"/>
        <v>4545</v>
      </c>
      <c r="N77" s="620">
        <f t="shared" si="28"/>
        <v>4545</v>
      </c>
      <c r="O77" s="620">
        <f t="shared" si="28"/>
        <v>4545</v>
      </c>
      <c r="P77" s="620">
        <f t="shared" si="28"/>
        <v>52545</v>
      </c>
      <c r="Q77" s="620">
        <f t="shared" si="28"/>
        <v>4545</v>
      </c>
      <c r="R77" s="620">
        <f t="shared" si="28"/>
        <v>180000</v>
      </c>
      <c r="S77" s="620">
        <f t="shared" si="28"/>
        <v>483640</v>
      </c>
      <c r="T77" s="620">
        <f t="shared" si="28"/>
        <v>4546</v>
      </c>
      <c r="U77" s="620">
        <f t="shared" si="28"/>
        <v>4546</v>
      </c>
      <c r="V77" s="620">
        <f t="shared" si="28"/>
        <v>4546</v>
      </c>
      <c r="W77" s="620">
        <f t="shared" si="28"/>
        <v>4546</v>
      </c>
      <c r="X77" s="620">
        <f t="shared" si="28"/>
        <v>4546</v>
      </c>
      <c r="Y77" s="620">
        <f t="shared" si="28"/>
        <v>4546</v>
      </c>
      <c r="Z77" s="620">
        <f t="shared" si="28"/>
        <v>4546</v>
      </c>
      <c r="AA77" s="620">
        <f t="shared" si="28"/>
        <v>4546</v>
      </c>
      <c r="AB77" s="620">
        <f t="shared" si="28"/>
        <v>4546</v>
      </c>
      <c r="AC77" s="620">
        <f t="shared" si="28"/>
        <v>4546</v>
      </c>
      <c r="AD77" s="620">
        <f t="shared" si="28"/>
        <v>4545</v>
      </c>
      <c r="AE77" s="620">
        <f t="shared" si="28"/>
        <v>4545</v>
      </c>
      <c r="AF77" s="620">
        <f t="shared" si="28"/>
        <v>4545</v>
      </c>
      <c r="AG77" s="620">
        <f t="shared" si="28"/>
        <v>4545</v>
      </c>
      <c r="AH77" s="620">
        <f t="shared" si="28"/>
        <v>420000</v>
      </c>
      <c r="AI77" s="620">
        <f t="shared" si="28"/>
        <v>9090</v>
      </c>
      <c r="AJ77" s="620">
        <f t="shared" si="28"/>
        <v>4545</v>
      </c>
      <c r="AK77" s="620">
        <f t="shared" si="28"/>
        <v>4545</v>
      </c>
      <c r="AL77" s="853">
        <f t="shared" si="19"/>
        <v>0</v>
      </c>
      <c r="AM77" s="605">
        <f t="shared" si="25"/>
        <v>0</v>
      </c>
      <c r="AN77" s="605">
        <f t="shared" si="26"/>
        <v>0</v>
      </c>
      <c r="AO77" s="606">
        <f t="shared" si="27"/>
        <v>0</v>
      </c>
    </row>
    <row r="78" spans="1:41" s="654" customFormat="1" ht="20.100000000000001" customHeight="1">
      <c r="A78" s="126" t="s">
        <v>70</v>
      </c>
      <c r="B78" s="627" t="s">
        <v>79</v>
      </c>
      <c r="C78" s="625">
        <v>5</v>
      </c>
      <c r="D78" s="126" t="s">
        <v>1485</v>
      </c>
      <c r="E78" s="723" t="s">
        <v>1504</v>
      </c>
      <c r="F78" s="848">
        <v>1</v>
      </c>
      <c r="G78" s="629">
        <v>4</v>
      </c>
      <c r="H78" s="663">
        <v>100000</v>
      </c>
      <c r="I78" s="638"/>
      <c r="J78" s="638">
        <v>100000</v>
      </c>
      <c r="K78" s="638">
        <v>27270</v>
      </c>
      <c r="L78" s="638">
        <v>4545</v>
      </c>
      <c r="M78" s="638">
        <v>4545</v>
      </c>
      <c r="N78" s="638">
        <v>4545</v>
      </c>
      <c r="O78" s="638">
        <v>4545</v>
      </c>
      <c r="P78" s="638">
        <v>4545</v>
      </c>
      <c r="Q78" s="638">
        <v>4545</v>
      </c>
      <c r="R78" s="638"/>
      <c r="S78" s="638">
        <v>63640</v>
      </c>
      <c r="T78" s="638">
        <v>4546</v>
      </c>
      <c r="U78" s="638">
        <v>4546</v>
      </c>
      <c r="V78" s="638">
        <v>4546</v>
      </c>
      <c r="W78" s="638">
        <v>4546</v>
      </c>
      <c r="X78" s="638">
        <v>4546</v>
      </c>
      <c r="Y78" s="638">
        <v>4546</v>
      </c>
      <c r="Z78" s="638">
        <v>4546</v>
      </c>
      <c r="AA78" s="638">
        <v>4546</v>
      </c>
      <c r="AB78" s="638">
        <v>4546</v>
      </c>
      <c r="AC78" s="638">
        <v>4546</v>
      </c>
      <c r="AD78" s="638">
        <v>4545</v>
      </c>
      <c r="AE78" s="638">
        <v>4545</v>
      </c>
      <c r="AF78" s="638">
        <v>4545</v>
      </c>
      <c r="AG78" s="638">
        <v>4545</v>
      </c>
      <c r="AH78" s="638"/>
      <c r="AI78" s="638">
        <v>9090</v>
      </c>
      <c r="AJ78" s="638">
        <v>4545</v>
      </c>
      <c r="AK78" s="638">
        <v>4545</v>
      </c>
      <c r="AL78" s="865">
        <f t="shared" si="19"/>
        <v>0</v>
      </c>
      <c r="AM78" s="605">
        <f t="shared" si="25"/>
        <v>0</v>
      </c>
      <c r="AN78" s="605">
        <f t="shared" si="26"/>
        <v>0</v>
      </c>
      <c r="AO78" s="606">
        <f t="shared" si="27"/>
        <v>0</v>
      </c>
    </row>
    <row r="79" spans="1:41" s="654" customFormat="1" ht="33.6" customHeight="1">
      <c r="A79" s="126" t="s">
        <v>70</v>
      </c>
      <c r="B79" s="627" t="s">
        <v>79</v>
      </c>
      <c r="C79" s="625">
        <v>3</v>
      </c>
      <c r="D79" s="126" t="s">
        <v>1486</v>
      </c>
      <c r="E79" s="725" t="s">
        <v>1633</v>
      </c>
      <c r="F79" s="848">
        <v>1</v>
      </c>
      <c r="G79" s="629">
        <v>4</v>
      </c>
      <c r="H79" s="663">
        <v>48000</v>
      </c>
      <c r="I79" s="638"/>
      <c r="J79" s="638">
        <v>48000</v>
      </c>
      <c r="K79" s="638">
        <v>48000</v>
      </c>
      <c r="L79" s="638"/>
      <c r="M79" s="638"/>
      <c r="N79" s="638"/>
      <c r="O79" s="638"/>
      <c r="P79" s="638">
        <v>48000</v>
      </c>
      <c r="Q79" s="638"/>
      <c r="R79" s="638"/>
      <c r="S79" s="638">
        <v>0</v>
      </c>
      <c r="T79" s="638"/>
      <c r="U79" s="638"/>
      <c r="V79" s="638"/>
      <c r="W79" s="638"/>
      <c r="X79" s="638"/>
      <c r="Y79" s="638"/>
      <c r="Z79" s="638"/>
      <c r="AA79" s="638"/>
      <c r="AB79" s="638"/>
      <c r="AC79" s="638"/>
      <c r="AD79" s="638"/>
      <c r="AE79" s="638"/>
      <c r="AF79" s="638"/>
      <c r="AG79" s="638"/>
      <c r="AH79" s="638"/>
      <c r="AI79" s="638">
        <v>0</v>
      </c>
      <c r="AJ79" s="638"/>
      <c r="AK79" s="638"/>
      <c r="AL79" s="865">
        <f t="shared" si="19"/>
        <v>0</v>
      </c>
      <c r="AM79" s="605">
        <f t="shared" si="25"/>
        <v>0</v>
      </c>
      <c r="AN79" s="605">
        <f t="shared" si="26"/>
        <v>0</v>
      </c>
      <c r="AO79" s="606">
        <f t="shared" si="27"/>
        <v>0</v>
      </c>
    </row>
    <row r="80" spans="1:41" s="633" customFormat="1" ht="32.450000000000003" customHeight="1">
      <c r="A80" s="126" t="s">
        <v>70</v>
      </c>
      <c r="B80" s="126" t="s">
        <v>79</v>
      </c>
      <c r="C80" s="625">
        <v>5</v>
      </c>
      <c r="D80" s="126" t="s">
        <v>1488</v>
      </c>
      <c r="E80" s="726" t="s">
        <v>1508</v>
      </c>
      <c r="F80" s="848">
        <v>1</v>
      </c>
      <c r="G80" s="664">
        <v>4</v>
      </c>
      <c r="H80" s="663">
        <v>600000</v>
      </c>
      <c r="I80" s="638"/>
      <c r="J80" s="638">
        <v>600000</v>
      </c>
      <c r="K80" s="638">
        <v>180000</v>
      </c>
      <c r="L80" s="638"/>
      <c r="M80" s="638"/>
      <c r="N80" s="638"/>
      <c r="O80" s="638"/>
      <c r="P80" s="638"/>
      <c r="Q80" s="638"/>
      <c r="R80" s="638">
        <v>180000</v>
      </c>
      <c r="S80" s="638">
        <v>420000</v>
      </c>
      <c r="T80" s="638"/>
      <c r="U80" s="638"/>
      <c r="V80" s="638"/>
      <c r="W80" s="638"/>
      <c r="X80" s="638"/>
      <c r="Y80" s="638"/>
      <c r="Z80" s="638"/>
      <c r="AA80" s="638"/>
      <c r="AB80" s="638"/>
      <c r="AC80" s="638"/>
      <c r="AD80" s="638"/>
      <c r="AE80" s="638"/>
      <c r="AF80" s="638"/>
      <c r="AG80" s="638"/>
      <c r="AH80" s="638">
        <v>420000</v>
      </c>
      <c r="AI80" s="638">
        <v>0</v>
      </c>
      <c r="AJ80" s="638"/>
      <c r="AK80" s="638"/>
      <c r="AL80" s="865">
        <f t="shared" si="19"/>
        <v>0</v>
      </c>
      <c r="AM80" s="605">
        <f t="shared" si="25"/>
        <v>0</v>
      </c>
      <c r="AN80" s="605">
        <f t="shared" si="26"/>
        <v>0</v>
      </c>
      <c r="AO80" s="606">
        <f t="shared" si="27"/>
        <v>0</v>
      </c>
    </row>
    <row r="81" spans="1:41" s="694" customFormat="1" ht="21.95" customHeight="1">
      <c r="A81" s="1037" t="s">
        <v>1634</v>
      </c>
      <c r="B81" s="1038"/>
      <c r="C81" s="1038"/>
      <c r="D81" s="1040"/>
      <c r="E81" s="1039"/>
      <c r="F81" s="848">
        <v>1</v>
      </c>
      <c r="G81" s="729"/>
      <c r="H81" s="730">
        <f>H82</f>
        <v>78000</v>
      </c>
      <c r="I81" s="730">
        <f t="shared" ref="I81:AK81" si="29">I82</f>
        <v>0</v>
      </c>
      <c r="J81" s="730">
        <f t="shared" si="29"/>
        <v>78000</v>
      </c>
      <c r="K81" s="730">
        <f t="shared" si="29"/>
        <v>78000</v>
      </c>
      <c r="L81" s="730">
        <f t="shared" si="29"/>
        <v>0</v>
      </c>
      <c r="M81" s="730">
        <f t="shared" si="29"/>
        <v>0</v>
      </c>
      <c r="N81" s="730">
        <f t="shared" si="29"/>
        <v>0</v>
      </c>
      <c r="O81" s="730">
        <f t="shared" si="29"/>
        <v>0</v>
      </c>
      <c r="P81" s="730">
        <f t="shared" si="29"/>
        <v>0</v>
      </c>
      <c r="Q81" s="730">
        <f t="shared" si="29"/>
        <v>0</v>
      </c>
      <c r="R81" s="730">
        <f t="shared" si="29"/>
        <v>78000</v>
      </c>
      <c r="S81" s="730">
        <f t="shared" si="29"/>
        <v>0</v>
      </c>
      <c r="T81" s="730">
        <f t="shared" si="29"/>
        <v>0</v>
      </c>
      <c r="U81" s="730">
        <f t="shared" si="29"/>
        <v>0</v>
      </c>
      <c r="V81" s="730">
        <f t="shared" si="29"/>
        <v>0</v>
      </c>
      <c r="W81" s="730">
        <f t="shared" si="29"/>
        <v>0</v>
      </c>
      <c r="X81" s="730">
        <f t="shared" si="29"/>
        <v>0</v>
      </c>
      <c r="Y81" s="730">
        <f t="shared" si="29"/>
        <v>0</v>
      </c>
      <c r="Z81" s="730">
        <f t="shared" si="29"/>
        <v>0</v>
      </c>
      <c r="AA81" s="730">
        <f t="shared" si="29"/>
        <v>0</v>
      </c>
      <c r="AB81" s="730">
        <f t="shared" si="29"/>
        <v>0</v>
      </c>
      <c r="AC81" s="730">
        <f t="shared" si="29"/>
        <v>0</v>
      </c>
      <c r="AD81" s="730">
        <f t="shared" si="29"/>
        <v>0</v>
      </c>
      <c r="AE81" s="730">
        <f t="shared" si="29"/>
        <v>0</v>
      </c>
      <c r="AF81" s="730">
        <f t="shared" si="29"/>
        <v>0</v>
      </c>
      <c r="AG81" s="730">
        <f t="shared" si="29"/>
        <v>0</v>
      </c>
      <c r="AH81" s="730">
        <f t="shared" si="29"/>
        <v>0</v>
      </c>
      <c r="AI81" s="730">
        <f t="shared" si="29"/>
        <v>0</v>
      </c>
      <c r="AJ81" s="730">
        <f t="shared" si="29"/>
        <v>0</v>
      </c>
      <c r="AK81" s="730">
        <f t="shared" si="29"/>
        <v>0</v>
      </c>
      <c r="AL81" s="827">
        <f t="shared" si="19"/>
        <v>0</v>
      </c>
      <c r="AM81" s="605">
        <f t="shared" si="25"/>
        <v>0</v>
      </c>
      <c r="AN81" s="605">
        <f t="shared" si="26"/>
        <v>0</v>
      </c>
      <c r="AO81" s="606">
        <f t="shared" si="27"/>
        <v>0</v>
      </c>
    </row>
    <row r="82" spans="1:41" s="878" customFormat="1" ht="39.950000000000003" customHeight="1">
      <c r="A82" s="873" t="s">
        <v>1635</v>
      </c>
      <c r="B82" s="873" t="s">
        <v>1636</v>
      </c>
      <c r="C82" s="625">
        <v>2</v>
      </c>
      <c r="D82" s="126" t="s">
        <v>1497</v>
      </c>
      <c r="E82" s="874" t="s">
        <v>1412</v>
      </c>
      <c r="F82" s="875"/>
      <c r="G82" s="664">
        <v>4</v>
      </c>
      <c r="H82" s="876">
        <v>78000</v>
      </c>
      <c r="I82" s="876"/>
      <c r="J82" s="876">
        <v>78000</v>
      </c>
      <c r="K82" s="876">
        <v>78000</v>
      </c>
      <c r="L82" s="876"/>
      <c r="M82" s="876"/>
      <c r="N82" s="876"/>
      <c r="O82" s="876"/>
      <c r="P82" s="876"/>
      <c r="Q82" s="876"/>
      <c r="R82" s="876">
        <v>78000</v>
      </c>
      <c r="S82" s="876">
        <v>0</v>
      </c>
      <c r="T82" s="876"/>
      <c r="U82" s="876"/>
      <c r="V82" s="876"/>
      <c r="W82" s="876"/>
      <c r="X82" s="876"/>
      <c r="Y82" s="876"/>
      <c r="Z82" s="876"/>
      <c r="AA82" s="876"/>
      <c r="AB82" s="876"/>
      <c r="AC82" s="876"/>
      <c r="AD82" s="876"/>
      <c r="AE82" s="876"/>
      <c r="AF82" s="876"/>
      <c r="AG82" s="876"/>
      <c r="AH82" s="876"/>
      <c r="AI82" s="876"/>
      <c r="AJ82" s="876"/>
      <c r="AK82" s="876"/>
      <c r="AL82" s="877"/>
      <c r="AM82" s="606">
        <f t="shared" si="25"/>
        <v>0</v>
      </c>
      <c r="AN82" s="606">
        <f t="shared" si="26"/>
        <v>0</v>
      </c>
      <c r="AO82" s="606">
        <f t="shared" si="27"/>
        <v>0</v>
      </c>
    </row>
    <row r="83" spans="1:41" s="731" customFormat="1" ht="21.95" customHeight="1">
      <c r="A83" s="1037" t="s">
        <v>1637</v>
      </c>
      <c r="B83" s="1038"/>
      <c r="C83" s="1038"/>
      <c r="D83" s="1040"/>
      <c r="E83" s="1039"/>
      <c r="F83" s="825"/>
      <c r="G83" s="729"/>
      <c r="H83" s="730">
        <f>H84+H89+H90+H93</f>
        <v>548500</v>
      </c>
      <c r="I83" s="730">
        <f t="shared" ref="I83:AK83" si="30">I84+I89+I90+I93</f>
        <v>0</v>
      </c>
      <c r="J83" s="730">
        <f t="shared" si="30"/>
        <v>548500</v>
      </c>
      <c r="K83" s="730">
        <f t="shared" si="30"/>
        <v>243834</v>
      </c>
      <c r="L83" s="730">
        <f t="shared" si="30"/>
        <v>37500</v>
      </c>
      <c r="M83" s="730">
        <f t="shared" si="30"/>
        <v>0</v>
      </c>
      <c r="N83" s="730">
        <f t="shared" si="30"/>
        <v>37632</v>
      </c>
      <c r="O83" s="730">
        <f t="shared" si="30"/>
        <v>89816</v>
      </c>
      <c r="P83" s="730">
        <f t="shared" si="30"/>
        <v>26912</v>
      </c>
      <c r="Q83" s="730">
        <f t="shared" si="30"/>
        <v>17274</v>
      </c>
      <c r="R83" s="730">
        <f t="shared" si="30"/>
        <v>34700</v>
      </c>
      <c r="S83" s="730">
        <f t="shared" si="30"/>
        <v>298816</v>
      </c>
      <c r="T83" s="730">
        <f t="shared" si="30"/>
        <v>10502</v>
      </c>
      <c r="U83" s="730">
        <f t="shared" si="30"/>
        <v>31500</v>
      </c>
      <c r="V83" s="730">
        <f t="shared" si="30"/>
        <v>7515</v>
      </c>
      <c r="W83" s="730">
        <f t="shared" si="30"/>
        <v>45470</v>
      </c>
      <c r="X83" s="730">
        <f t="shared" si="30"/>
        <v>30000</v>
      </c>
      <c r="Y83" s="730">
        <f t="shared" si="30"/>
        <v>21007</v>
      </c>
      <c r="Z83" s="730">
        <f t="shared" si="30"/>
        <v>7020</v>
      </c>
      <c r="AA83" s="730">
        <f t="shared" si="30"/>
        <v>16650</v>
      </c>
      <c r="AB83" s="730">
        <f t="shared" si="30"/>
        <v>12555</v>
      </c>
      <c r="AC83" s="730">
        <f t="shared" si="30"/>
        <v>7000</v>
      </c>
      <c r="AD83" s="730">
        <f t="shared" si="30"/>
        <v>5520</v>
      </c>
      <c r="AE83" s="730">
        <f t="shared" si="30"/>
        <v>4562</v>
      </c>
      <c r="AF83" s="730">
        <f t="shared" si="30"/>
        <v>1760</v>
      </c>
      <c r="AG83" s="730">
        <f t="shared" si="30"/>
        <v>0</v>
      </c>
      <c r="AH83" s="730">
        <f t="shared" si="30"/>
        <v>97755</v>
      </c>
      <c r="AI83" s="730">
        <f t="shared" si="30"/>
        <v>5850</v>
      </c>
      <c r="AJ83" s="730">
        <f t="shared" si="30"/>
        <v>300</v>
      </c>
      <c r="AK83" s="730">
        <f t="shared" si="30"/>
        <v>5550</v>
      </c>
      <c r="AL83" s="827">
        <f t="shared" si="19"/>
        <v>0</v>
      </c>
      <c r="AM83" s="605">
        <f t="shared" si="25"/>
        <v>0</v>
      </c>
      <c r="AN83" s="605">
        <f t="shared" si="26"/>
        <v>0</v>
      </c>
      <c r="AO83" s="606">
        <f t="shared" si="27"/>
        <v>0</v>
      </c>
    </row>
    <row r="84" spans="1:41" s="624" customFormat="1" ht="27" customHeight="1">
      <c r="A84" s="1033" t="s">
        <v>1638</v>
      </c>
      <c r="B84" s="1034"/>
      <c r="C84" s="1034"/>
      <c r="D84" s="1035"/>
      <c r="E84" s="1036"/>
      <c r="F84" s="879"/>
      <c r="G84" s="616"/>
      <c r="H84" s="620">
        <f>H85+H86+H87+H88</f>
        <v>213620</v>
      </c>
      <c r="I84" s="620">
        <f t="shared" ref="I84:AK84" si="31">I85+I86+I87+I88</f>
        <v>0</v>
      </c>
      <c r="J84" s="620">
        <f t="shared" si="31"/>
        <v>213620</v>
      </c>
      <c r="K84" s="620">
        <f t="shared" si="31"/>
        <v>72200</v>
      </c>
      <c r="L84" s="620">
        <f t="shared" si="31"/>
        <v>0</v>
      </c>
      <c r="M84" s="620">
        <f t="shared" si="31"/>
        <v>0</v>
      </c>
      <c r="N84" s="620">
        <f t="shared" si="31"/>
        <v>0</v>
      </c>
      <c r="O84" s="620">
        <f t="shared" si="31"/>
        <v>54500</v>
      </c>
      <c r="P84" s="620">
        <f t="shared" si="31"/>
        <v>0</v>
      </c>
      <c r="Q84" s="620">
        <f t="shared" si="31"/>
        <v>3000</v>
      </c>
      <c r="R84" s="620">
        <f t="shared" si="31"/>
        <v>14700</v>
      </c>
      <c r="S84" s="620">
        <f t="shared" si="31"/>
        <v>139620</v>
      </c>
      <c r="T84" s="620">
        <f t="shared" si="31"/>
        <v>7120</v>
      </c>
      <c r="U84" s="620">
        <f t="shared" si="31"/>
        <v>1500</v>
      </c>
      <c r="V84" s="620">
        <f t="shared" si="31"/>
        <v>3015</v>
      </c>
      <c r="W84" s="620">
        <f t="shared" si="31"/>
        <v>45470</v>
      </c>
      <c r="X84" s="620">
        <f t="shared" si="31"/>
        <v>0</v>
      </c>
      <c r="Y84" s="620">
        <f t="shared" si="31"/>
        <v>6500</v>
      </c>
      <c r="Z84" s="620">
        <f t="shared" si="31"/>
        <v>0</v>
      </c>
      <c r="AA84" s="620">
        <f t="shared" si="31"/>
        <v>9000</v>
      </c>
      <c r="AB84" s="620">
        <f t="shared" si="31"/>
        <v>12015</v>
      </c>
      <c r="AC84" s="620">
        <f t="shared" si="31"/>
        <v>7000</v>
      </c>
      <c r="AD84" s="620">
        <f t="shared" si="31"/>
        <v>3000</v>
      </c>
      <c r="AE84" s="620">
        <f t="shared" si="31"/>
        <v>0</v>
      </c>
      <c r="AF84" s="620">
        <f t="shared" si="31"/>
        <v>0</v>
      </c>
      <c r="AG84" s="620">
        <f t="shared" si="31"/>
        <v>0</v>
      </c>
      <c r="AH84" s="620">
        <f t="shared" si="31"/>
        <v>45000</v>
      </c>
      <c r="AI84" s="620">
        <f t="shared" si="31"/>
        <v>1800</v>
      </c>
      <c r="AJ84" s="620">
        <f t="shared" si="31"/>
        <v>300</v>
      </c>
      <c r="AK84" s="620">
        <f t="shared" si="31"/>
        <v>1500</v>
      </c>
      <c r="AL84" s="853">
        <f t="shared" si="19"/>
        <v>0</v>
      </c>
      <c r="AM84" s="605">
        <f t="shared" si="25"/>
        <v>0</v>
      </c>
      <c r="AN84" s="605">
        <f t="shared" si="26"/>
        <v>0</v>
      </c>
      <c r="AO84" s="606">
        <f t="shared" si="27"/>
        <v>0</v>
      </c>
    </row>
    <row r="85" spans="1:41" s="881" customFormat="1" ht="27.95" hidden="1" customHeight="1">
      <c r="A85" s="126" t="s">
        <v>1639</v>
      </c>
      <c r="B85" s="627" t="s">
        <v>1640</v>
      </c>
      <c r="C85" s="625">
        <v>4</v>
      </c>
      <c r="D85" s="126"/>
      <c r="E85" s="726" t="s">
        <v>1517</v>
      </c>
      <c r="F85" s="880">
        <v>3</v>
      </c>
      <c r="G85" s="629">
        <v>5</v>
      </c>
      <c r="H85" s="738"/>
      <c r="I85" s="738"/>
      <c r="J85" s="738"/>
      <c r="K85" s="738"/>
      <c r="L85" s="738"/>
      <c r="M85" s="738"/>
      <c r="N85" s="738"/>
      <c r="O85" s="738"/>
      <c r="P85" s="738"/>
      <c r="Q85" s="738"/>
      <c r="R85" s="738"/>
      <c r="S85" s="738"/>
      <c r="T85" s="738"/>
      <c r="U85" s="738"/>
      <c r="V85" s="738"/>
      <c r="W85" s="738"/>
      <c r="X85" s="738"/>
      <c r="Y85" s="738"/>
      <c r="Z85" s="738"/>
      <c r="AA85" s="738"/>
      <c r="AB85" s="738"/>
      <c r="AC85" s="738"/>
      <c r="AD85" s="738"/>
      <c r="AE85" s="738"/>
      <c r="AF85" s="738"/>
      <c r="AG85" s="738"/>
      <c r="AH85" s="738"/>
      <c r="AI85" s="738"/>
      <c r="AJ85" s="738"/>
      <c r="AK85" s="738"/>
      <c r="AL85" s="865">
        <f t="shared" si="19"/>
        <v>0</v>
      </c>
      <c r="AM85" s="605">
        <f t="shared" si="25"/>
        <v>0</v>
      </c>
      <c r="AN85" s="605">
        <f t="shared" si="26"/>
        <v>0</v>
      </c>
      <c r="AO85" s="606">
        <f t="shared" si="27"/>
        <v>0</v>
      </c>
    </row>
    <row r="86" spans="1:41" s="654" customFormat="1" ht="34.5" customHeight="1">
      <c r="A86" s="882" t="s">
        <v>1641</v>
      </c>
      <c r="B86" s="882" t="s">
        <v>1642</v>
      </c>
      <c r="C86" s="625">
        <v>5</v>
      </c>
      <c r="D86" s="126">
        <v>5.0999999999999996</v>
      </c>
      <c r="E86" s="725" t="s">
        <v>1520</v>
      </c>
      <c r="F86" s="846">
        <v>1</v>
      </c>
      <c r="G86" s="629">
        <v>5</v>
      </c>
      <c r="H86" s="738">
        <f>I86+J86</f>
        <v>60000</v>
      </c>
      <c r="I86" s="738"/>
      <c r="J86" s="738">
        <v>60000</v>
      </c>
      <c r="K86" s="738">
        <f>SUM(L86:R86)</f>
        <v>14700</v>
      </c>
      <c r="L86" s="738"/>
      <c r="M86" s="738"/>
      <c r="N86" s="738"/>
      <c r="O86" s="738"/>
      <c r="P86" s="738"/>
      <c r="Q86" s="738"/>
      <c r="R86" s="638">
        <v>14700</v>
      </c>
      <c r="S86" s="738">
        <f>SUM(T86:AH86)</f>
        <v>45000</v>
      </c>
      <c r="T86" s="738"/>
      <c r="U86" s="738"/>
      <c r="V86" s="738"/>
      <c r="W86" s="738"/>
      <c r="X86" s="738"/>
      <c r="Y86" s="738"/>
      <c r="Z86" s="738"/>
      <c r="AA86" s="738"/>
      <c r="AB86" s="738"/>
      <c r="AC86" s="738"/>
      <c r="AD86" s="738"/>
      <c r="AE86" s="738"/>
      <c r="AF86" s="738"/>
      <c r="AG86" s="738"/>
      <c r="AH86" s="738">
        <v>45000</v>
      </c>
      <c r="AI86" s="638">
        <f>SUM(AJ86:AK86)</f>
        <v>300</v>
      </c>
      <c r="AJ86" s="738">
        <v>300</v>
      </c>
      <c r="AK86" s="738"/>
      <c r="AL86" s="865">
        <f t="shared" si="19"/>
        <v>0</v>
      </c>
      <c r="AM86" s="605">
        <f t="shared" si="25"/>
        <v>0</v>
      </c>
      <c r="AN86" s="605">
        <f t="shared" si="26"/>
        <v>0</v>
      </c>
      <c r="AO86" s="606">
        <f t="shared" si="27"/>
        <v>0</v>
      </c>
    </row>
    <row r="87" spans="1:41" s="654" customFormat="1" ht="34.5" customHeight="1">
      <c r="A87" s="882" t="s">
        <v>1641</v>
      </c>
      <c r="B87" s="735" t="s">
        <v>1643</v>
      </c>
      <c r="C87" s="625">
        <v>5</v>
      </c>
      <c r="D87" s="126" t="s">
        <v>1505</v>
      </c>
      <c r="E87" s="723" t="s">
        <v>1523</v>
      </c>
      <c r="F87" s="848">
        <v>1</v>
      </c>
      <c r="G87" s="629">
        <v>5</v>
      </c>
      <c r="H87" s="738">
        <f>I87+J87</f>
        <v>104120</v>
      </c>
      <c r="I87" s="738"/>
      <c r="J87" s="738">
        <v>104120</v>
      </c>
      <c r="K87" s="738">
        <f>SUM(L87:R87)</f>
        <v>53000</v>
      </c>
      <c r="L87" s="738"/>
      <c r="M87" s="738"/>
      <c r="N87" s="738"/>
      <c r="O87" s="738">
        <v>53000</v>
      </c>
      <c r="P87" s="738"/>
      <c r="Q87" s="738"/>
      <c r="R87" s="638">
        <v>0</v>
      </c>
      <c r="S87" s="738">
        <f>SUM(T87:AH87)</f>
        <v>51120</v>
      </c>
      <c r="T87" s="738">
        <v>5620</v>
      </c>
      <c r="U87" s="738"/>
      <c r="V87" s="738">
        <v>15</v>
      </c>
      <c r="W87" s="738">
        <v>45470</v>
      </c>
      <c r="X87" s="738"/>
      <c r="Y87" s="738"/>
      <c r="Z87" s="738"/>
      <c r="AA87" s="738"/>
      <c r="AB87" s="738">
        <v>15</v>
      </c>
      <c r="AC87" s="738"/>
      <c r="AD87" s="738"/>
      <c r="AE87" s="738"/>
      <c r="AF87" s="738"/>
      <c r="AG87" s="738"/>
      <c r="AH87" s="738"/>
      <c r="AI87" s="638">
        <f>SUM(AJ87:AK87)</f>
        <v>0</v>
      </c>
      <c r="AJ87" s="738"/>
      <c r="AK87" s="738"/>
      <c r="AL87" s="865">
        <f t="shared" si="19"/>
        <v>0</v>
      </c>
      <c r="AM87" s="605">
        <f t="shared" si="25"/>
        <v>0</v>
      </c>
      <c r="AN87" s="605">
        <f t="shared" si="26"/>
        <v>0</v>
      </c>
      <c r="AO87" s="606">
        <f t="shared" si="27"/>
        <v>0</v>
      </c>
    </row>
    <row r="88" spans="1:41" s="654" customFormat="1" ht="32.450000000000003" customHeight="1">
      <c r="A88" s="882" t="s">
        <v>1644</v>
      </c>
      <c r="B88" s="735" t="s">
        <v>1645</v>
      </c>
      <c r="C88" s="625">
        <v>5</v>
      </c>
      <c r="D88" s="126" t="s">
        <v>1507</v>
      </c>
      <c r="E88" s="725" t="s">
        <v>1526</v>
      </c>
      <c r="F88" s="883">
        <v>1</v>
      </c>
      <c r="G88" s="629">
        <v>5</v>
      </c>
      <c r="H88" s="638">
        <v>49500</v>
      </c>
      <c r="I88" s="638">
        <v>0</v>
      </c>
      <c r="J88" s="638">
        <v>49500</v>
      </c>
      <c r="K88" s="638">
        <v>4500</v>
      </c>
      <c r="L88" s="638">
        <v>0</v>
      </c>
      <c r="M88" s="638">
        <v>0</v>
      </c>
      <c r="N88" s="638">
        <v>0</v>
      </c>
      <c r="O88" s="638">
        <v>1500</v>
      </c>
      <c r="P88" s="638">
        <v>0</v>
      </c>
      <c r="Q88" s="638">
        <v>3000</v>
      </c>
      <c r="R88" s="638">
        <v>0</v>
      </c>
      <c r="S88" s="638">
        <v>43500</v>
      </c>
      <c r="T88" s="638">
        <v>1500</v>
      </c>
      <c r="U88" s="638">
        <v>1500</v>
      </c>
      <c r="V88" s="638">
        <v>3000</v>
      </c>
      <c r="W88" s="638">
        <v>0</v>
      </c>
      <c r="X88" s="638">
        <v>0</v>
      </c>
      <c r="Y88" s="638">
        <v>6500</v>
      </c>
      <c r="Z88" s="638">
        <v>0</v>
      </c>
      <c r="AA88" s="638">
        <v>9000</v>
      </c>
      <c r="AB88" s="638">
        <v>12000</v>
      </c>
      <c r="AC88" s="638">
        <v>7000</v>
      </c>
      <c r="AD88" s="638">
        <v>3000</v>
      </c>
      <c r="AE88" s="638">
        <v>0</v>
      </c>
      <c r="AF88" s="638">
        <v>0</v>
      </c>
      <c r="AG88" s="638">
        <v>0</v>
      </c>
      <c r="AH88" s="638"/>
      <c r="AI88" s="638">
        <v>1500</v>
      </c>
      <c r="AJ88" s="638">
        <v>0</v>
      </c>
      <c r="AK88" s="638">
        <v>1500</v>
      </c>
      <c r="AL88" s="855">
        <f t="shared" si="19"/>
        <v>0</v>
      </c>
      <c r="AM88" s="606">
        <f t="shared" si="25"/>
        <v>0</v>
      </c>
      <c r="AN88" s="606">
        <f t="shared" si="26"/>
        <v>0</v>
      </c>
      <c r="AO88" s="606">
        <f t="shared" si="27"/>
        <v>0</v>
      </c>
    </row>
    <row r="89" spans="1:41" s="624" customFormat="1" ht="32.450000000000003" customHeight="1">
      <c r="A89" s="884" t="s">
        <v>1644</v>
      </c>
      <c r="B89" s="615" t="s">
        <v>196</v>
      </c>
      <c r="C89" s="639">
        <v>7</v>
      </c>
      <c r="D89" s="126"/>
      <c r="E89" s="747" t="s">
        <v>1527</v>
      </c>
      <c r="F89" s="883"/>
      <c r="G89" s="616">
        <v>5</v>
      </c>
      <c r="H89" s="620">
        <v>50000</v>
      </c>
      <c r="I89" s="620"/>
      <c r="J89" s="620">
        <v>50000</v>
      </c>
      <c r="K89" s="620">
        <v>41350</v>
      </c>
      <c r="L89" s="620">
        <v>7500</v>
      </c>
      <c r="M89" s="620">
        <v>0</v>
      </c>
      <c r="N89" s="620">
        <v>4500</v>
      </c>
      <c r="O89" s="620">
        <v>3750</v>
      </c>
      <c r="P89" s="620">
        <v>16000</v>
      </c>
      <c r="Q89" s="620">
        <v>9600</v>
      </c>
      <c r="R89" s="620"/>
      <c r="S89" s="620">
        <v>8650</v>
      </c>
      <c r="T89" s="620">
        <v>0</v>
      </c>
      <c r="U89" s="620">
        <v>0</v>
      </c>
      <c r="V89" s="620">
        <v>0</v>
      </c>
      <c r="W89" s="620">
        <v>0</v>
      </c>
      <c r="X89" s="620">
        <v>0</v>
      </c>
      <c r="Y89" s="620">
        <v>0</v>
      </c>
      <c r="Z89" s="620">
        <v>5400</v>
      </c>
      <c r="AA89" s="620">
        <v>0</v>
      </c>
      <c r="AB89" s="620">
        <v>0</v>
      </c>
      <c r="AC89" s="620">
        <v>0</v>
      </c>
      <c r="AD89" s="620">
        <v>0</v>
      </c>
      <c r="AE89" s="620">
        <v>3250</v>
      </c>
      <c r="AF89" s="620">
        <v>0</v>
      </c>
      <c r="AG89" s="620">
        <v>0</v>
      </c>
      <c r="AH89" s="620">
        <v>0</v>
      </c>
      <c r="AI89" s="620">
        <v>0</v>
      </c>
      <c r="AJ89" s="620">
        <v>0</v>
      </c>
      <c r="AK89" s="620">
        <v>0</v>
      </c>
      <c r="AL89" s="853"/>
      <c r="AM89" s="860"/>
      <c r="AN89" s="860"/>
      <c r="AO89" s="860"/>
    </row>
    <row r="90" spans="1:41" s="624" customFormat="1" ht="21.95" customHeight="1">
      <c r="A90" s="1033" t="s">
        <v>1646</v>
      </c>
      <c r="B90" s="1034"/>
      <c r="C90" s="1034"/>
      <c r="D90" s="1035"/>
      <c r="E90" s="1036"/>
      <c r="F90" s="839"/>
      <c r="G90" s="616"/>
      <c r="H90" s="620">
        <f>H91+H92</f>
        <v>62000</v>
      </c>
      <c r="I90" s="620">
        <f t="shared" ref="I90:AK90" si="32">I91+I92</f>
        <v>0</v>
      </c>
      <c r="J90" s="620">
        <f t="shared" si="32"/>
        <v>62000</v>
      </c>
      <c r="K90" s="620">
        <f t="shared" si="32"/>
        <v>18364</v>
      </c>
      <c r="L90" s="620">
        <f t="shared" si="32"/>
        <v>0</v>
      </c>
      <c r="M90" s="620">
        <f t="shared" si="32"/>
        <v>0</v>
      </c>
      <c r="N90" s="620">
        <f t="shared" si="32"/>
        <v>3132</v>
      </c>
      <c r="O90" s="620">
        <f t="shared" si="32"/>
        <v>1566</v>
      </c>
      <c r="P90" s="620">
        <f t="shared" si="32"/>
        <v>10912</v>
      </c>
      <c r="Q90" s="620">
        <f t="shared" si="32"/>
        <v>2754</v>
      </c>
      <c r="R90" s="620">
        <f t="shared" si="32"/>
        <v>0</v>
      </c>
      <c r="S90" s="620">
        <f t="shared" si="32"/>
        <v>39586</v>
      </c>
      <c r="T90" s="620">
        <f t="shared" si="32"/>
        <v>3382</v>
      </c>
      <c r="U90" s="620">
        <f t="shared" si="32"/>
        <v>0</v>
      </c>
      <c r="V90" s="620">
        <f t="shared" si="32"/>
        <v>4500</v>
      </c>
      <c r="W90" s="620">
        <f t="shared" si="32"/>
        <v>0</v>
      </c>
      <c r="X90" s="620">
        <f t="shared" si="32"/>
        <v>0</v>
      </c>
      <c r="Y90" s="620">
        <f t="shared" si="32"/>
        <v>14507</v>
      </c>
      <c r="Z90" s="620">
        <f t="shared" si="32"/>
        <v>1620</v>
      </c>
      <c r="AA90" s="620">
        <f t="shared" si="32"/>
        <v>7650</v>
      </c>
      <c r="AB90" s="620">
        <f t="shared" si="32"/>
        <v>540</v>
      </c>
      <c r="AC90" s="620">
        <f t="shared" si="32"/>
        <v>0</v>
      </c>
      <c r="AD90" s="620">
        <f t="shared" si="32"/>
        <v>2520</v>
      </c>
      <c r="AE90" s="620">
        <f t="shared" si="32"/>
        <v>352</v>
      </c>
      <c r="AF90" s="620">
        <f t="shared" si="32"/>
        <v>1760</v>
      </c>
      <c r="AG90" s="620">
        <f t="shared" si="32"/>
        <v>0</v>
      </c>
      <c r="AH90" s="620">
        <f t="shared" si="32"/>
        <v>2755</v>
      </c>
      <c r="AI90" s="620">
        <f t="shared" si="32"/>
        <v>4050</v>
      </c>
      <c r="AJ90" s="620">
        <f t="shared" si="32"/>
        <v>0</v>
      </c>
      <c r="AK90" s="620">
        <f t="shared" si="32"/>
        <v>4050</v>
      </c>
      <c r="AL90" s="853">
        <f t="shared" si="19"/>
        <v>0</v>
      </c>
      <c r="AM90" s="605">
        <f t="shared" si="25"/>
        <v>0</v>
      </c>
      <c r="AN90" s="605">
        <f t="shared" si="26"/>
        <v>0</v>
      </c>
      <c r="AO90" s="606">
        <f t="shared" si="27"/>
        <v>0</v>
      </c>
    </row>
    <row r="91" spans="1:41" s="654" customFormat="1" ht="36.6" customHeight="1">
      <c r="A91" s="126" t="s">
        <v>1639</v>
      </c>
      <c r="B91" s="126" t="s">
        <v>1647</v>
      </c>
      <c r="C91" s="625">
        <v>5</v>
      </c>
      <c r="D91" s="126" t="s">
        <v>1501</v>
      </c>
      <c r="E91" s="726" t="s">
        <v>1530</v>
      </c>
      <c r="F91" s="848">
        <v>1</v>
      </c>
      <c r="G91" s="629">
        <v>5</v>
      </c>
      <c r="H91" s="738">
        <f>I91+J91</f>
        <v>62000</v>
      </c>
      <c r="I91" s="738"/>
      <c r="J91" s="738">
        <v>62000</v>
      </c>
      <c r="K91" s="738">
        <f>SUM(L91:R91)</f>
        <v>18364</v>
      </c>
      <c r="L91" s="738">
        <v>0</v>
      </c>
      <c r="M91" s="738">
        <v>0</v>
      </c>
      <c r="N91" s="738">
        <v>3132</v>
      </c>
      <c r="O91" s="738">
        <v>1566</v>
      </c>
      <c r="P91" s="738">
        <v>10912</v>
      </c>
      <c r="Q91" s="738">
        <v>2754</v>
      </c>
      <c r="R91" s="638">
        <v>0</v>
      </c>
      <c r="S91" s="738">
        <f>SUM(T91:AH91)</f>
        <v>39586</v>
      </c>
      <c r="T91" s="738">
        <v>3382</v>
      </c>
      <c r="U91" s="738">
        <v>0</v>
      </c>
      <c r="V91" s="738">
        <f>3150+1350</f>
        <v>4500</v>
      </c>
      <c r="W91" s="738">
        <v>0</v>
      </c>
      <c r="X91" s="738">
        <v>0</v>
      </c>
      <c r="Y91" s="738">
        <v>14507</v>
      </c>
      <c r="Z91" s="738">
        <v>1620</v>
      </c>
      <c r="AA91" s="738">
        <v>7650</v>
      </c>
      <c r="AB91" s="738">
        <v>540</v>
      </c>
      <c r="AC91" s="738">
        <v>0</v>
      </c>
      <c r="AD91" s="738">
        <v>2520</v>
      </c>
      <c r="AE91" s="738">
        <v>352</v>
      </c>
      <c r="AF91" s="738">
        <v>1760</v>
      </c>
      <c r="AG91" s="738">
        <v>0</v>
      </c>
      <c r="AH91" s="738">
        <f>2305+450</f>
        <v>2755</v>
      </c>
      <c r="AI91" s="638">
        <f>SUM(AJ91:AK91)</f>
        <v>4050</v>
      </c>
      <c r="AJ91" s="738">
        <v>0</v>
      </c>
      <c r="AK91" s="738">
        <v>4050</v>
      </c>
      <c r="AL91" s="865">
        <f t="shared" si="19"/>
        <v>0</v>
      </c>
      <c r="AM91" s="605">
        <f t="shared" si="25"/>
        <v>0</v>
      </c>
      <c r="AN91" s="605">
        <f t="shared" si="26"/>
        <v>0</v>
      </c>
      <c r="AO91" s="606">
        <f t="shared" si="27"/>
        <v>0</v>
      </c>
    </row>
    <row r="92" spans="1:41" s="654" customFormat="1" ht="36.6" customHeight="1">
      <c r="A92" s="882" t="s">
        <v>1641</v>
      </c>
      <c r="B92" s="882" t="s">
        <v>1648</v>
      </c>
      <c r="C92" s="625">
        <v>5</v>
      </c>
      <c r="D92" s="126" t="s">
        <v>1502</v>
      </c>
      <c r="E92" s="726" t="s">
        <v>1532</v>
      </c>
      <c r="F92" s="848">
        <v>1</v>
      </c>
      <c r="G92" s="750">
        <v>5</v>
      </c>
      <c r="H92" s="738">
        <f>SUM(I92:J92)</f>
        <v>0</v>
      </c>
      <c r="I92" s="738"/>
      <c r="J92" s="738"/>
      <c r="K92" s="738">
        <f>SUM(L92:R92)</f>
        <v>0</v>
      </c>
      <c r="L92" s="738"/>
      <c r="M92" s="738"/>
      <c r="N92" s="738"/>
      <c r="O92" s="738"/>
      <c r="P92" s="738"/>
      <c r="Q92" s="738"/>
      <c r="R92" s="738"/>
      <c r="S92" s="638">
        <f>SUM(T92:AH92)</f>
        <v>0</v>
      </c>
      <c r="T92" s="738"/>
      <c r="U92" s="738"/>
      <c r="V92" s="738"/>
      <c r="W92" s="738"/>
      <c r="X92" s="738"/>
      <c r="Y92" s="738"/>
      <c r="Z92" s="738"/>
      <c r="AA92" s="738"/>
      <c r="AB92" s="738"/>
      <c r="AC92" s="738"/>
      <c r="AD92" s="738"/>
      <c r="AE92" s="738"/>
      <c r="AF92" s="738"/>
      <c r="AG92" s="738"/>
      <c r="AH92" s="738"/>
      <c r="AI92" s="638">
        <f>SUM(AJ92:AK92)</f>
        <v>0</v>
      </c>
      <c r="AJ92" s="738"/>
      <c r="AK92" s="738"/>
      <c r="AL92" s="865">
        <f t="shared" si="19"/>
        <v>0</v>
      </c>
      <c r="AM92" s="605">
        <f t="shared" si="25"/>
        <v>0</v>
      </c>
      <c r="AN92" s="605">
        <f t="shared" si="26"/>
        <v>0</v>
      </c>
      <c r="AO92" s="606">
        <f t="shared" si="27"/>
        <v>0</v>
      </c>
    </row>
    <row r="93" spans="1:41" s="624" customFormat="1" ht="75.95" customHeight="1">
      <c r="A93" s="670" t="s">
        <v>1649</v>
      </c>
      <c r="B93" s="615" t="s">
        <v>1650</v>
      </c>
      <c r="C93" s="639">
        <v>5</v>
      </c>
      <c r="D93" s="885"/>
      <c r="E93" s="747" t="s">
        <v>1535</v>
      </c>
      <c r="F93" s="836">
        <v>1</v>
      </c>
      <c r="G93" s="616">
        <v>5</v>
      </c>
      <c r="H93" s="620">
        <v>222880</v>
      </c>
      <c r="I93" s="620">
        <v>0</v>
      </c>
      <c r="J93" s="620">
        <v>222880</v>
      </c>
      <c r="K93" s="620">
        <f>SUM(L93:R93)</f>
        <v>111920</v>
      </c>
      <c r="L93" s="620">
        <v>30000</v>
      </c>
      <c r="M93" s="620">
        <v>0</v>
      </c>
      <c r="N93" s="620">
        <v>30000</v>
      </c>
      <c r="O93" s="620">
        <v>30000</v>
      </c>
      <c r="P93" s="620">
        <v>0</v>
      </c>
      <c r="Q93" s="620">
        <v>1920</v>
      </c>
      <c r="R93" s="620">
        <v>20000</v>
      </c>
      <c r="S93" s="620">
        <f>SUM(T93:AH93)</f>
        <v>110960</v>
      </c>
      <c r="T93" s="620">
        <v>0</v>
      </c>
      <c r="U93" s="620">
        <v>30000</v>
      </c>
      <c r="V93" s="620">
        <v>0</v>
      </c>
      <c r="W93" s="620">
        <v>0</v>
      </c>
      <c r="X93" s="620">
        <v>30000</v>
      </c>
      <c r="Y93" s="620">
        <v>0</v>
      </c>
      <c r="Z93" s="620">
        <v>0</v>
      </c>
      <c r="AA93" s="620">
        <v>0</v>
      </c>
      <c r="AB93" s="620">
        <v>0</v>
      </c>
      <c r="AC93" s="620">
        <v>0</v>
      </c>
      <c r="AD93" s="620">
        <v>0</v>
      </c>
      <c r="AE93" s="620">
        <v>960</v>
      </c>
      <c r="AF93" s="620">
        <v>0</v>
      </c>
      <c r="AG93" s="620">
        <v>0</v>
      </c>
      <c r="AH93" s="620">
        <v>50000</v>
      </c>
      <c r="AI93" s="620">
        <v>0</v>
      </c>
      <c r="AJ93" s="620">
        <v>0</v>
      </c>
      <c r="AK93" s="620">
        <v>0</v>
      </c>
      <c r="AL93" s="853">
        <f t="shared" si="19"/>
        <v>0</v>
      </c>
      <c r="AM93" s="860">
        <f t="shared" si="25"/>
        <v>0</v>
      </c>
      <c r="AN93" s="860">
        <f t="shared" si="26"/>
        <v>0</v>
      </c>
      <c r="AO93" s="860">
        <f t="shared" si="27"/>
        <v>0</v>
      </c>
    </row>
    <row r="94" spans="1:41" s="731" customFormat="1" ht="21.95" customHeight="1">
      <c r="A94" s="1041" t="s">
        <v>1651</v>
      </c>
      <c r="B94" s="1042"/>
      <c r="C94" s="1042"/>
      <c r="D94" s="1049"/>
      <c r="E94" s="1044"/>
      <c r="F94" s="886"/>
      <c r="G94" s="609"/>
      <c r="H94" s="730">
        <f t="shared" ref="H94:AK94" si="33">H95+H96</f>
        <v>0</v>
      </c>
      <c r="I94" s="730">
        <f t="shared" si="33"/>
        <v>0</v>
      </c>
      <c r="J94" s="730">
        <f t="shared" si="33"/>
        <v>0</v>
      </c>
      <c r="K94" s="730">
        <f t="shared" si="33"/>
        <v>0</v>
      </c>
      <c r="L94" s="730">
        <f t="shared" si="33"/>
        <v>0</v>
      </c>
      <c r="M94" s="730">
        <f t="shared" si="33"/>
        <v>0</v>
      </c>
      <c r="N94" s="730">
        <f t="shared" si="33"/>
        <v>0</v>
      </c>
      <c r="O94" s="730">
        <f t="shared" si="33"/>
        <v>0</v>
      </c>
      <c r="P94" s="730">
        <f t="shared" si="33"/>
        <v>0</v>
      </c>
      <c r="Q94" s="730">
        <f t="shared" si="33"/>
        <v>0</v>
      </c>
      <c r="R94" s="730">
        <f t="shared" si="33"/>
        <v>0</v>
      </c>
      <c r="S94" s="730">
        <f t="shared" si="33"/>
        <v>0</v>
      </c>
      <c r="T94" s="730">
        <f t="shared" si="33"/>
        <v>0</v>
      </c>
      <c r="U94" s="730">
        <f t="shared" si="33"/>
        <v>0</v>
      </c>
      <c r="V94" s="730">
        <f t="shared" si="33"/>
        <v>0</v>
      </c>
      <c r="W94" s="730">
        <f t="shared" si="33"/>
        <v>0</v>
      </c>
      <c r="X94" s="730">
        <f t="shared" si="33"/>
        <v>0</v>
      </c>
      <c r="Y94" s="730">
        <f t="shared" si="33"/>
        <v>0</v>
      </c>
      <c r="Z94" s="730">
        <f t="shared" si="33"/>
        <v>0</v>
      </c>
      <c r="AA94" s="730">
        <f t="shared" si="33"/>
        <v>0</v>
      </c>
      <c r="AB94" s="730">
        <f t="shared" si="33"/>
        <v>0</v>
      </c>
      <c r="AC94" s="730">
        <f t="shared" si="33"/>
        <v>0</v>
      </c>
      <c r="AD94" s="730">
        <f t="shared" si="33"/>
        <v>0</v>
      </c>
      <c r="AE94" s="730">
        <f t="shared" si="33"/>
        <v>0</v>
      </c>
      <c r="AF94" s="730">
        <f t="shared" si="33"/>
        <v>0</v>
      </c>
      <c r="AG94" s="730">
        <f t="shared" si="33"/>
        <v>0</v>
      </c>
      <c r="AH94" s="730">
        <f t="shared" si="33"/>
        <v>0</v>
      </c>
      <c r="AI94" s="730">
        <f t="shared" si="33"/>
        <v>0</v>
      </c>
      <c r="AJ94" s="730">
        <f t="shared" si="33"/>
        <v>0</v>
      </c>
      <c r="AK94" s="730">
        <f t="shared" si="33"/>
        <v>0</v>
      </c>
      <c r="AL94" s="827">
        <f t="shared" si="19"/>
        <v>0</v>
      </c>
      <c r="AM94" s="605">
        <f t="shared" si="25"/>
        <v>0</v>
      </c>
      <c r="AN94" s="605">
        <f t="shared" si="26"/>
        <v>0</v>
      </c>
      <c r="AO94" s="606">
        <f t="shared" si="27"/>
        <v>0</v>
      </c>
    </row>
    <row r="95" spans="1:41" s="654" customFormat="1" ht="20.100000000000001" customHeight="1">
      <c r="A95" s="740" t="s">
        <v>1652</v>
      </c>
      <c r="B95" s="740" t="s">
        <v>1652</v>
      </c>
      <c r="C95" s="625">
        <v>2</v>
      </c>
      <c r="D95" s="885"/>
      <c r="E95" s="740" t="s">
        <v>1653</v>
      </c>
      <c r="F95" s="848">
        <v>1</v>
      </c>
      <c r="G95" s="758">
        <v>6</v>
      </c>
      <c r="H95" s="638">
        <f>I95+J95</f>
        <v>0</v>
      </c>
      <c r="I95" s="638">
        <v>0</v>
      </c>
      <c r="J95" s="638">
        <v>0</v>
      </c>
      <c r="K95" s="638">
        <f>SUM(L95:Q95)</f>
        <v>0</v>
      </c>
      <c r="L95" s="638"/>
      <c r="M95" s="638"/>
      <c r="N95" s="638"/>
      <c r="O95" s="638"/>
      <c r="P95" s="638"/>
      <c r="Q95" s="638"/>
      <c r="R95" s="638">
        <v>0</v>
      </c>
      <c r="S95" s="638">
        <f>SUM(T95:AH95)</f>
        <v>0</v>
      </c>
      <c r="T95" s="638"/>
      <c r="U95" s="638"/>
      <c r="V95" s="638"/>
      <c r="W95" s="638"/>
      <c r="X95" s="638"/>
      <c r="Y95" s="638"/>
      <c r="Z95" s="638"/>
      <c r="AA95" s="638"/>
      <c r="AB95" s="638"/>
      <c r="AC95" s="638"/>
      <c r="AD95" s="638"/>
      <c r="AE95" s="638"/>
      <c r="AF95" s="638"/>
      <c r="AG95" s="638"/>
      <c r="AH95" s="638">
        <v>0</v>
      </c>
      <c r="AI95" s="638">
        <f>SUM(AJ95:AK95)</f>
        <v>0</v>
      </c>
      <c r="AJ95" s="638">
        <v>0</v>
      </c>
      <c r="AK95" s="638">
        <v>0</v>
      </c>
      <c r="AL95" s="865">
        <f t="shared" si="19"/>
        <v>0</v>
      </c>
      <c r="AM95" s="605">
        <f t="shared" si="25"/>
        <v>0</v>
      </c>
      <c r="AN95" s="605">
        <f t="shared" si="26"/>
        <v>0</v>
      </c>
      <c r="AO95" s="606">
        <f t="shared" si="27"/>
        <v>0</v>
      </c>
    </row>
    <row r="96" spans="1:41" s="633" customFormat="1" ht="20.100000000000001" customHeight="1">
      <c r="A96" s="740" t="s">
        <v>1652</v>
      </c>
      <c r="B96" s="740" t="s">
        <v>1652</v>
      </c>
      <c r="C96" s="686">
        <v>2</v>
      </c>
      <c r="D96" s="887"/>
      <c r="E96" s="888" t="s">
        <v>1654</v>
      </c>
      <c r="F96" s="848">
        <v>1</v>
      </c>
      <c r="G96" s="758">
        <v>6</v>
      </c>
      <c r="H96" s="638">
        <f>SUM(I96:J96)</f>
        <v>0</v>
      </c>
      <c r="I96" s="638"/>
      <c r="J96" s="638"/>
      <c r="K96" s="638">
        <f>SUM(L96:Q96)</f>
        <v>0</v>
      </c>
      <c r="L96" s="638"/>
      <c r="M96" s="638"/>
      <c r="N96" s="638"/>
      <c r="O96" s="638"/>
      <c r="P96" s="638"/>
      <c r="Q96" s="638"/>
      <c r="R96" s="638">
        <f>SUM(S96:AH96)</f>
        <v>0</v>
      </c>
      <c r="S96" s="638">
        <f>SUM(T96:AH96)</f>
        <v>0</v>
      </c>
      <c r="T96" s="638"/>
      <c r="U96" s="638"/>
      <c r="V96" s="638"/>
      <c r="W96" s="638"/>
      <c r="X96" s="638"/>
      <c r="Y96" s="638"/>
      <c r="Z96" s="638"/>
      <c r="AA96" s="638"/>
      <c r="AB96" s="638"/>
      <c r="AC96" s="638"/>
      <c r="AD96" s="638"/>
      <c r="AE96" s="638"/>
      <c r="AF96" s="638"/>
      <c r="AG96" s="638"/>
      <c r="AH96" s="638"/>
      <c r="AI96" s="638">
        <f>SUM(AJ96:AK96)</f>
        <v>0</v>
      </c>
      <c r="AJ96" s="638"/>
      <c r="AK96" s="638"/>
      <c r="AL96" s="865">
        <f t="shared" si="19"/>
        <v>0</v>
      </c>
      <c r="AM96" s="605">
        <f t="shared" si="25"/>
        <v>0</v>
      </c>
      <c r="AN96" s="605">
        <f t="shared" si="26"/>
        <v>0</v>
      </c>
      <c r="AO96" s="606">
        <f t="shared" si="27"/>
        <v>0</v>
      </c>
    </row>
    <row r="97" spans="1:41" s="694" customFormat="1" ht="21.95" customHeight="1">
      <c r="A97" s="1041" t="s">
        <v>1655</v>
      </c>
      <c r="B97" s="1042"/>
      <c r="C97" s="1042"/>
      <c r="D97" s="1049"/>
      <c r="E97" s="1044"/>
      <c r="F97" s="889"/>
      <c r="G97" s="609"/>
      <c r="H97" s="730">
        <f>H98+H103</f>
        <v>454925</v>
      </c>
      <c r="I97" s="730">
        <f t="shared" ref="I97:AK97" si="34">I98+I103</f>
        <v>244725</v>
      </c>
      <c r="J97" s="730">
        <f t="shared" si="34"/>
        <v>210200</v>
      </c>
      <c r="K97" s="730">
        <f t="shared" si="34"/>
        <v>201080</v>
      </c>
      <c r="L97" s="730">
        <f t="shared" si="34"/>
        <v>12330</v>
      </c>
      <c r="M97" s="730">
        <f t="shared" si="34"/>
        <v>28423</v>
      </c>
      <c r="N97" s="730">
        <f t="shared" si="34"/>
        <v>5940</v>
      </c>
      <c r="O97" s="730">
        <f t="shared" si="34"/>
        <v>20800</v>
      </c>
      <c r="P97" s="730">
        <f t="shared" si="34"/>
        <v>17200</v>
      </c>
      <c r="Q97" s="730">
        <f t="shared" si="34"/>
        <v>102060</v>
      </c>
      <c r="R97" s="730">
        <f t="shared" si="34"/>
        <v>14327</v>
      </c>
      <c r="S97" s="730">
        <f t="shared" si="34"/>
        <v>226845</v>
      </c>
      <c r="T97" s="730">
        <f t="shared" si="34"/>
        <v>1200</v>
      </c>
      <c r="U97" s="730">
        <f t="shared" si="34"/>
        <v>1200</v>
      </c>
      <c r="V97" s="730">
        <f t="shared" si="34"/>
        <v>1200</v>
      </c>
      <c r="W97" s="730">
        <f t="shared" si="34"/>
        <v>28200</v>
      </c>
      <c r="X97" s="730">
        <f t="shared" si="34"/>
        <v>1200</v>
      </c>
      <c r="Y97" s="730">
        <f t="shared" si="34"/>
        <v>16200</v>
      </c>
      <c r="Z97" s="730">
        <f t="shared" si="34"/>
        <v>46200</v>
      </c>
      <c r="AA97" s="730">
        <f t="shared" si="34"/>
        <v>47370</v>
      </c>
      <c r="AB97" s="730">
        <f t="shared" si="34"/>
        <v>5250</v>
      </c>
      <c r="AC97" s="730">
        <f t="shared" si="34"/>
        <v>9390</v>
      </c>
      <c r="AD97" s="730">
        <f t="shared" si="34"/>
        <v>1200</v>
      </c>
      <c r="AE97" s="730">
        <f t="shared" si="34"/>
        <v>11800</v>
      </c>
      <c r="AF97" s="730">
        <f t="shared" si="34"/>
        <v>16600</v>
      </c>
      <c r="AG97" s="730">
        <f t="shared" si="34"/>
        <v>1200</v>
      </c>
      <c r="AH97" s="730">
        <f t="shared" si="34"/>
        <v>38635</v>
      </c>
      <c r="AI97" s="730">
        <f t="shared" si="34"/>
        <v>27000</v>
      </c>
      <c r="AJ97" s="730">
        <f t="shared" si="34"/>
        <v>10000</v>
      </c>
      <c r="AK97" s="730">
        <f t="shared" si="34"/>
        <v>17000</v>
      </c>
      <c r="AL97" s="827">
        <f t="shared" si="19"/>
        <v>0</v>
      </c>
      <c r="AM97" s="605">
        <f t="shared" si="25"/>
        <v>0</v>
      </c>
      <c r="AN97" s="605">
        <f t="shared" si="26"/>
        <v>0</v>
      </c>
      <c r="AO97" s="606">
        <f t="shared" si="27"/>
        <v>0</v>
      </c>
    </row>
    <row r="98" spans="1:41" s="695" customFormat="1" ht="20.100000000000001" customHeight="1">
      <c r="A98" s="866" t="s">
        <v>888</v>
      </c>
      <c r="B98" s="622"/>
      <c r="C98" s="867"/>
      <c r="D98" s="622"/>
      <c r="E98" s="868"/>
      <c r="F98" s="839"/>
      <c r="G98" s="616"/>
      <c r="H98" s="620">
        <f>H99+H100+H101+H102</f>
        <v>58375</v>
      </c>
      <c r="I98" s="620">
        <f t="shared" ref="I98:AK98" si="35">I99+I100+I101+I102</f>
        <v>48175</v>
      </c>
      <c r="J98" s="620">
        <f t="shared" si="35"/>
        <v>10200</v>
      </c>
      <c r="K98" s="620">
        <f t="shared" si="35"/>
        <v>31750</v>
      </c>
      <c r="L98" s="620">
        <f t="shared" si="35"/>
        <v>1500</v>
      </c>
      <c r="M98" s="620">
        <f t="shared" si="35"/>
        <v>19000</v>
      </c>
      <c r="N98" s="620">
        <f t="shared" si="35"/>
        <v>1500</v>
      </c>
      <c r="O98" s="620">
        <f t="shared" si="35"/>
        <v>1500</v>
      </c>
      <c r="P98" s="620">
        <f t="shared" si="35"/>
        <v>1500</v>
      </c>
      <c r="Q98" s="620">
        <f t="shared" si="35"/>
        <v>1500</v>
      </c>
      <c r="R98" s="620">
        <f t="shared" si="35"/>
        <v>5250</v>
      </c>
      <c r="S98" s="620">
        <f t="shared" si="35"/>
        <v>22625</v>
      </c>
      <c r="T98" s="620">
        <f t="shared" si="35"/>
        <v>1200</v>
      </c>
      <c r="U98" s="620">
        <f t="shared" si="35"/>
        <v>1200</v>
      </c>
      <c r="V98" s="620">
        <f t="shared" si="35"/>
        <v>1200</v>
      </c>
      <c r="W98" s="620">
        <f t="shared" si="35"/>
        <v>1200</v>
      </c>
      <c r="X98" s="620">
        <f t="shared" si="35"/>
        <v>1200</v>
      </c>
      <c r="Y98" s="620">
        <f t="shared" si="35"/>
        <v>1200</v>
      </c>
      <c r="Z98" s="620">
        <f t="shared" si="35"/>
        <v>1200</v>
      </c>
      <c r="AA98" s="620">
        <f t="shared" si="35"/>
        <v>1200</v>
      </c>
      <c r="AB98" s="620">
        <f t="shared" si="35"/>
        <v>1200</v>
      </c>
      <c r="AC98" s="620">
        <f t="shared" si="35"/>
        <v>1200</v>
      </c>
      <c r="AD98" s="620">
        <f t="shared" si="35"/>
        <v>1200</v>
      </c>
      <c r="AE98" s="620">
        <f t="shared" si="35"/>
        <v>1200</v>
      </c>
      <c r="AF98" s="620">
        <f t="shared" si="35"/>
        <v>1200</v>
      </c>
      <c r="AG98" s="620">
        <f t="shared" si="35"/>
        <v>1200</v>
      </c>
      <c r="AH98" s="620">
        <f t="shared" si="35"/>
        <v>5825</v>
      </c>
      <c r="AI98" s="620">
        <f t="shared" si="35"/>
        <v>4000</v>
      </c>
      <c r="AJ98" s="620">
        <f t="shared" si="35"/>
        <v>2000</v>
      </c>
      <c r="AK98" s="620">
        <f t="shared" si="35"/>
        <v>2000</v>
      </c>
      <c r="AL98" s="853">
        <f t="shared" si="19"/>
        <v>0</v>
      </c>
      <c r="AM98" s="605">
        <f t="shared" si="25"/>
        <v>0</v>
      </c>
      <c r="AN98" s="605">
        <f t="shared" si="26"/>
        <v>0</v>
      </c>
      <c r="AO98" s="606">
        <f t="shared" si="27"/>
        <v>0</v>
      </c>
    </row>
    <row r="99" spans="1:41" s="633" customFormat="1" ht="41.1" customHeight="1">
      <c r="A99" s="735" t="s">
        <v>1541</v>
      </c>
      <c r="B99" s="735" t="s">
        <v>1541</v>
      </c>
      <c r="C99" s="625">
        <v>4</v>
      </c>
      <c r="D99" s="625" t="s">
        <v>1656</v>
      </c>
      <c r="E99" s="890" t="s">
        <v>1543</v>
      </c>
      <c r="F99" s="846">
        <v>2</v>
      </c>
      <c r="G99" s="758">
        <v>3</v>
      </c>
      <c r="H99" s="638">
        <f>I99+J99</f>
        <v>30875</v>
      </c>
      <c r="I99" s="638">
        <v>20675</v>
      </c>
      <c r="J99" s="638">
        <v>10200</v>
      </c>
      <c r="K99" s="638">
        <f>SUM(L99:R99)</f>
        <v>9250</v>
      </c>
      <c r="L99" s="638">
        <v>1500</v>
      </c>
      <c r="M99" s="638">
        <v>1500</v>
      </c>
      <c r="N99" s="638">
        <v>1500</v>
      </c>
      <c r="O99" s="638">
        <v>1500</v>
      </c>
      <c r="P99" s="638">
        <v>1500</v>
      </c>
      <c r="Q99" s="638">
        <v>1500</v>
      </c>
      <c r="R99" s="638">
        <v>250</v>
      </c>
      <c r="S99" s="638">
        <f>SUM(T99:AH99)</f>
        <v>17625</v>
      </c>
      <c r="T99" s="638">
        <v>1200</v>
      </c>
      <c r="U99" s="638">
        <v>1200</v>
      </c>
      <c r="V99" s="638">
        <v>1200</v>
      </c>
      <c r="W99" s="638">
        <v>1200</v>
      </c>
      <c r="X99" s="638">
        <v>1200</v>
      </c>
      <c r="Y99" s="638">
        <v>1200</v>
      </c>
      <c r="Z99" s="638">
        <v>1200</v>
      </c>
      <c r="AA99" s="638">
        <v>1200</v>
      </c>
      <c r="AB99" s="638">
        <v>1200</v>
      </c>
      <c r="AC99" s="638">
        <v>1200</v>
      </c>
      <c r="AD99" s="638">
        <v>1200</v>
      </c>
      <c r="AE99" s="638">
        <v>1200</v>
      </c>
      <c r="AF99" s="638">
        <v>1200</v>
      </c>
      <c r="AG99" s="638">
        <v>1200</v>
      </c>
      <c r="AH99" s="638">
        <v>825</v>
      </c>
      <c r="AI99" s="638">
        <f>SUM(AJ99:AK99)</f>
        <v>4000</v>
      </c>
      <c r="AJ99" s="638">
        <v>2000</v>
      </c>
      <c r="AK99" s="638">
        <v>2000</v>
      </c>
      <c r="AL99" s="855">
        <f t="shared" si="19"/>
        <v>0</v>
      </c>
      <c r="AM99" s="606">
        <f t="shared" si="25"/>
        <v>0</v>
      </c>
      <c r="AN99" s="606">
        <f t="shared" si="26"/>
        <v>0</v>
      </c>
      <c r="AO99" s="606">
        <f t="shared" si="27"/>
        <v>0</v>
      </c>
    </row>
    <row r="100" spans="1:41" s="633" customFormat="1" ht="45.95" customHeight="1">
      <c r="A100" s="735" t="s">
        <v>1541</v>
      </c>
      <c r="B100" s="735" t="s">
        <v>1541</v>
      </c>
      <c r="C100" s="625">
        <v>4</v>
      </c>
      <c r="D100" s="625" t="s">
        <v>1657</v>
      </c>
      <c r="E100" s="890" t="s">
        <v>1545</v>
      </c>
      <c r="F100" s="846">
        <v>2</v>
      </c>
      <c r="G100" s="629">
        <v>3</v>
      </c>
      <c r="H100" s="638">
        <f>I100+J100</f>
        <v>17500</v>
      </c>
      <c r="I100" s="638">
        <v>17500</v>
      </c>
      <c r="J100" s="638">
        <v>0</v>
      </c>
      <c r="K100" s="638">
        <f>SUM(L100:R100)</f>
        <v>17500</v>
      </c>
      <c r="L100" s="638">
        <v>0</v>
      </c>
      <c r="M100" s="638">
        <v>17500</v>
      </c>
      <c r="N100" s="638">
        <v>0</v>
      </c>
      <c r="O100" s="638">
        <v>0</v>
      </c>
      <c r="P100" s="638">
        <v>0</v>
      </c>
      <c r="Q100" s="638">
        <v>0</v>
      </c>
      <c r="R100" s="638">
        <v>0</v>
      </c>
      <c r="S100" s="638">
        <f>SUM(T100:AH100)</f>
        <v>0</v>
      </c>
      <c r="T100" s="638">
        <v>0</v>
      </c>
      <c r="U100" s="638">
        <v>0</v>
      </c>
      <c r="V100" s="638">
        <v>0</v>
      </c>
      <c r="W100" s="638">
        <v>0</v>
      </c>
      <c r="X100" s="638">
        <v>0</v>
      </c>
      <c r="Y100" s="638">
        <v>0</v>
      </c>
      <c r="Z100" s="638">
        <v>0</v>
      </c>
      <c r="AA100" s="638">
        <v>0</v>
      </c>
      <c r="AB100" s="638">
        <v>0</v>
      </c>
      <c r="AC100" s="638">
        <v>0</v>
      </c>
      <c r="AD100" s="638">
        <v>0</v>
      </c>
      <c r="AE100" s="638">
        <v>0</v>
      </c>
      <c r="AF100" s="638">
        <v>0</v>
      </c>
      <c r="AG100" s="638">
        <v>0</v>
      </c>
      <c r="AH100" s="638">
        <v>0</v>
      </c>
      <c r="AI100" s="638">
        <f>SUM(AJ100:AK100)</f>
        <v>0</v>
      </c>
      <c r="AJ100" s="638">
        <v>0</v>
      </c>
      <c r="AK100" s="638">
        <v>0</v>
      </c>
      <c r="AL100" s="855">
        <f t="shared" si="19"/>
        <v>0</v>
      </c>
      <c r="AM100" s="606">
        <f>AI100-AJ100-AK100</f>
        <v>0</v>
      </c>
      <c r="AN100" s="606">
        <f>S100-T100-U100-V100-W100-X100-Y100-Z100-AA100-AB100-AC100-AD100-AE100-AF100-AG100-AH100</f>
        <v>0</v>
      </c>
      <c r="AO100" s="606">
        <f>K100-L100-M100-N100-O100-P100-Q100-R100</f>
        <v>0</v>
      </c>
    </row>
    <row r="101" spans="1:41" s="633" customFormat="1" ht="63" hidden="1" customHeight="1">
      <c r="A101" s="735" t="s">
        <v>1541</v>
      </c>
      <c r="B101" s="735" t="s">
        <v>1541</v>
      </c>
      <c r="C101" s="625">
        <v>5</v>
      </c>
      <c r="D101" s="625"/>
      <c r="E101" s="890" t="s">
        <v>1546</v>
      </c>
      <c r="F101" s="846"/>
      <c r="G101" s="758">
        <v>3</v>
      </c>
      <c r="H101" s="638"/>
      <c r="I101" s="638"/>
      <c r="J101" s="638"/>
      <c r="K101" s="638"/>
      <c r="L101" s="638"/>
      <c r="M101" s="638"/>
      <c r="N101" s="638"/>
      <c r="O101" s="638"/>
      <c r="P101" s="638"/>
      <c r="Q101" s="638"/>
      <c r="R101" s="638"/>
      <c r="S101" s="638"/>
      <c r="T101" s="638"/>
      <c r="U101" s="638"/>
      <c r="V101" s="638"/>
      <c r="W101" s="638"/>
      <c r="X101" s="638"/>
      <c r="Y101" s="638"/>
      <c r="Z101" s="638"/>
      <c r="AA101" s="638"/>
      <c r="AB101" s="638"/>
      <c r="AC101" s="638"/>
      <c r="AD101" s="638"/>
      <c r="AE101" s="638"/>
      <c r="AF101" s="638"/>
      <c r="AG101" s="638"/>
      <c r="AH101" s="638"/>
      <c r="AI101" s="638"/>
      <c r="AJ101" s="638"/>
      <c r="AK101" s="638"/>
      <c r="AL101" s="855">
        <f t="shared" si="19"/>
        <v>0</v>
      </c>
      <c r="AM101" s="606">
        <f>AI101-AJ101-AK101</f>
        <v>0</v>
      </c>
      <c r="AN101" s="606">
        <f>S101-T101-U101-V101-W101-X101-Y101-Z101-AA101-AB101-AC101-AD101-AE101-AF101-AG101-AH101</f>
        <v>0</v>
      </c>
      <c r="AO101" s="606">
        <f>K101-L101-M101-N101-O101-P101-Q101-R101</f>
        <v>0</v>
      </c>
    </row>
    <row r="102" spans="1:41" s="769" customFormat="1" ht="58.5" customHeight="1">
      <c r="A102" s="735" t="s">
        <v>1541</v>
      </c>
      <c r="B102" s="735" t="s">
        <v>1541</v>
      </c>
      <c r="C102" s="625">
        <v>5</v>
      </c>
      <c r="D102" s="625" t="s">
        <v>1657</v>
      </c>
      <c r="E102" s="890" t="s">
        <v>1548</v>
      </c>
      <c r="F102" s="891">
        <v>1</v>
      </c>
      <c r="G102" s="629">
        <v>3</v>
      </c>
      <c r="H102" s="638">
        <f>I102+J102</f>
        <v>10000</v>
      </c>
      <c r="I102" s="638">
        <v>10000</v>
      </c>
      <c r="J102" s="638">
        <v>0</v>
      </c>
      <c r="K102" s="638">
        <f>SUM(L102:R102)</f>
        <v>5000</v>
      </c>
      <c r="L102" s="638">
        <v>0</v>
      </c>
      <c r="M102" s="638">
        <v>0</v>
      </c>
      <c r="N102" s="638">
        <v>0</v>
      </c>
      <c r="O102" s="638">
        <v>0</v>
      </c>
      <c r="P102" s="638">
        <v>0</v>
      </c>
      <c r="Q102" s="638">
        <v>0</v>
      </c>
      <c r="R102" s="638">
        <v>5000</v>
      </c>
      <c r="S102" s="638">
        <f>SUM(T102:AH102)</f>
        <v>5000</v>
      </c>
      <c r="T102" s="638">
        <v>0</v>
      </c>
      <c r="U102" s="638">
        <v>0</v>
      </c>
      <c r="V102" s="638">
        <v>0</v>
      </c>
      <c r="W102" s="638">
        <v>0</v>
      </c>
      <c r="X102" s="638">
        <v>0</v>
      </c>
      <c r="Y102" s="638">
        <v>0</v>
      </c>
      <c r="Z102" s="638">
        <v>0</v>
      </c>
      <c r="AA102" s="638">
        <v>0</v>
      </c>
      <c r="AB102" s="638">
        <v>0</v>
      </c>
      <c r="AC102" s="638">
        <v>0</v>
      </c>
      <c r="AD102" s="638">
        <v>0</v>
      </c>
      <c r="AE102" s="638">
        <v>0</v>
      </c>
      <c r="AF102" s="638">
        <v>0</v>
      </c>
      <c r="AG102" s="638">
        <v>0</v>
      </c>
      <c r="AH102" s="638">
        <v>5000</v>
      </c>
      <c r="AI102" s="638">
        <f>SUM(AJ102:AK102)</f>
        <v>0</v>
      </c>
      <c r="AJ102" s="638">
        <v>0</v>
      </c>
      <c r="AK102" s="638">
        <v>0</v>
      </c>
      <c r="AL102" s="855">
        <f t="shared" si="19"/>
        <v>0</v>
      </c>
      <c r="AM102" s="606">
        <f>AI102-AJ102-AK102</f>
        <v>0</v>
      </c>
      <c r="AN102" s="606">
        <f>S102-T102-U102-V102-W102-X102-Y102-Z102-AA102-AB102-AC102-AD102-AE102-AF102-AG102-AH102</f>
        <v>0</v>
      </c>
      <c r="AO102" s="606">
        <f>K102-L102-M102-N102-O102-P102-Q102-R102</f>
        <v>0</v>
      </c>
    </row>
    <row r="103" spans="1:41" s="695" customFormat="1" ht="37.5" customHeight="1">
      <c r="A103" s="770" t="s">
        <v>1541</v>
      </c>
      <c r="B103" s="770" t="s">
        <v>1549</v>
      </c>
      <c r="C103" s="639">
        <v>5</v>
      </c>
      <c r="D103" s="625" t="s">
        <v>1657</v>
      </c>
      <c r="E103" s="892" t="s">
        <v>1550</v>
      </c>
      <c r="F103" s="869">
        <v>1</v>
      </c>
      <c r="G103" s="616">
        <v>3</v>
      </c>
      <c r="H103" s="620">
        <f>I103+J103</f>
        <v>396550</v>
      </c>
      <c r="I103" s="620">
        <v>196550</v>
      </c>
      <c r="J103" s="620">
        <v>200000</v>
      </c>
      <c r="K103" s="620">
        <f>SUM(L103:R103)</f>
        <v>169330</v>
      </c>
      <c r="L103" s="620">
        <v>10830</v>
      </c>
      <c r="M103" s="620">
        <v>9423</v>
      </c>
      <c r="N103" s="620">
        <v>4440</v>
      </c>
      <c r="O103" s="620">
        <v>19300</v>
      </c>
      <c r="P103" s="620">
        <v>15700</v>
      </c>
      <c r="Q103" s="620">
        <v>100560</v>
      </c>
      <c r="R103" s="620">
        <v>9077</v>
      </c>
      <c r="S103" s="620">
        <f>SUM(T103:AH103)</f>
        <v>204220</v>
      </c>
      <c r="T103" s="620">
        <v>0</v>
      </c>
      <c r="U103" s="620">
        <v>0</v>
      </c>
      <c r="V103" s="620">
        <v>0</v>
      </c>
      <c r="W103" s="620">
        <v>27000</v>
      </c>
      <c r="X103" s="620">
        <v>0</v>
      </c>
      <c r="Y103" s="620">
        <v>15000</v>
      </c>
      <c r="Z103" s="620">
        <v>45000</v>
      </c>
      <c r="AA103" s="620">
        <v>46170</v>
      </c>
      <c r="AB103" s="620">
        <v>4050</v>
      </c>
      <c r="AC103" s="620">
        <v>8190</v>
      </c>
      <c r="AD103" s="620">
        <v>0</v>
      </c>
      <c r="AE103" s="620">
        <v>10600</v>
      </c>
      <c r="AF103" s="620">
        <v>15400</v>
      </c>
      <c r="AG103" s="620">
        <v>0</v>
      </c>
      <c r="AH103" s="620">
        <v>32810</v>
      </c>
      <c r="AI103" s="620">
        <f>SUM(AJ103:AK103)</f>
        <v>23000</v>
      </c>
      <c r="AJ103" s="620">
        <v>8000</v>
      </c>
      <c r="AK103" s="620">
        <v>15000</v>
      </c>
      <c r="AL103" s="853">
        <f t="shared" si="19"/>
        <v>0</v>
      </c>
      <c r="AM103" s="860">
        <f>AI103-AJ103-AK103</f>
        <v>0</v>
      </c>
      <c r="AN103" s="860">
        <f>S103-T103-U103-V103-W103-X103-Y103-Z103-AA103-AB103-AC103-AD103-AE103-AF103-AG103-AH103</f>
        <v>0</v>
      </c>
      <c r="AO103" s="860">
        <f>K103-L103-M103-N103-O103-P103-Q103-R103</f>
        <v>0</v>
      </c>
    </row>
    <row r="104" spans="1:41" ht="16.5" hidden="1">
      <c r="A104" s="893" t="s">
        <v>1551</v>
      </c>
      <c r="B104" s="894"/>
      <c r="C104" s="895"/>
      <c r="D104" s="896"/>
      <c r="E104" s="897"/>
      <c r="F104" s="898"/>
      <c r="G104" s="899"/>
      <c r="H104" s="898"/>
      <c r="I104" s="898"/>
      <c r="J104" s="898"/>
      <c r="K104" s="898"/>
      <c r="L104" s="898"/>
      <c r="M104" s="898"/>
      <c r="N104" s="898"/>
      <c r="O104" s="898"/>
      <c r="P104" s="898"/>
      <c r="Q104" s="898"/>
      <c r="R104" s="898"/>
      <c r="S104" s="898"/>
      <c r="T104" s="898"/>
      <c r="U104" s="898"/>
      <c r="V104" s="898"/>
      <c r="W104" s="898"/>
      <c r="X104" s="898"/>
      <c r="Y104" s="898"/>
      <c r="Z104" s="898"/>
      <c r="AA104" s="898"/>
      <c r="AB104" s="898"/>
      <c r="AC104" s="898"/>
      <c r="AD104" s="898"/>
      <c r="AE104" s="898"/>
      <c r="AF104" s="898"/>
      <c r="AG104" s="898"/>
      <c r="AH104" s="898"/>
      <c r="AI104" s="898"/>
      <c r="AJ104" s="898"/>
      <c r="AK104" s="898"/>
    </row>
    <row r="105" spans="1:41" ht="34.5" hidden="1" customHeight="1">
      <c r="A105" s="156" t="s">
        <v>1552</v>
      </c>
      <c r="B105" s="900"/>
      <c r="C105" s="901"/>
      <c r="D105" s="901"/>
      <c r="E105" s="777"/>
      <c r="F105" s="902"/>
      <c r="G105" s="903"/>
      <c r="H105" s="902"/>
      <c r="I105" s="902"/>
      <c r="J105" s="902"/>
      <c r="K105" s="902"/>
      <c r="L105" s="902"/>
      <c r="M105" s="902"/>
      <c r="N105" s="902"/>
      <c r="O105" s="902"/>
      <c r="P105" s="902"/>
      <c r="Q105" s="902"/>
      <c r="R105" s="902"/>
      <c r="S105" s="902"/>
      <c r="T105" s="902"/>
      <c r="U105" s="902"/>
      <c r="V105" s="902"/>
      <c r="W105" s="902"/>
      <c r="X105" s="902"/>
      <c r="Y105" s="902"/>
      <c r="Z105" s="902"/>
      <c r="AA105" s="902"/>
      <c r="AB105" s="902"/>
      <c r="AC105" s="902"/>
      <c r="AD105" s="902"/>
      <c r="AE105" s="902"/>
      <c r="AF105" s="902"/>
      <c r="AG105" s="902"/>
      <c r="AH105" s="902"/>
      <c r="AI105" s="902"/>
      <c r="AJ105" s="902"/>
      <c r="AK105" s="902"/>
    </row>
    <row r="106" spans="1:41" ht="16.5" hidden="1">
      <c r="A106" s="893" t="s">
        <v>1553</v>
      </c>
      <c r="B106" s="894"/>
      <c r="C106" s="904"/>
      <c r="D106" s="905"/>
      <c r="E106" s="784"/>
      <c r="F106" s="902"/>
      <c r="G106" s="903"/>
      <c r="H106" s="902"/>
      <c r="I106" s="902"/>
      <c r="J106" s="902"/>
      <c r="K106" s="902"/>
      <c r="L106" s="902"/>
      <c r="M106" s="902"/>
      <c r="N106" s="902"/>
      <c r="O106" s="902"/>
      <c r="P106" s="902"/>
      <c r="Q106" s="902"/>
      <c r="R106" s="902"/>
      <c r="S106" s="902"/>
      <c r="T106" s="902"/>
      <c r="U106" s="902"/>
      <c r="V106" s="902"/>
      <c r="W106" s="902"/>
      <c r="X106" s="902"/>
      <c r="Y106" s="902"/>
      <c r="Z106" s="902"/>
      <c r="AA106" s="902"/>
      <c r="AB106" s="902"/>
      <c r="AC106" s="902"/>
      <c r="AD106" s="902"/>
      <c r="AE106" s="902"/>
      <c r="AF106" s="902"/>
      <c r="AG106" s="902"/>
      <c r="AH106" s="902"/>
      <c r="AI106" s="902"/>
      <c r="AJ106" s="902"/>
      <c r="AK106" s="902"/>
    </row>
    <row r="107" spans="1:41" ht="16.5" hidden="1">
      <c r="A107" s="893" t="s">
        <v>1551</v>
      </c>
      <c r="B107" s="894"/>
      <c r="C107" s="895"/>
      <c r="D107" s="896"/>
      <c r="E107" s="897"/>
    </row>
    <row r="108" spans="1:41">
      <c r="A108" s="803"/>
      <c r="C108" s="895"/>
      <c r="D108" s="896"/>
    </row>
    <row r="109" spans="1:41" ht="15.75">
      <c r="C109" s="904"/>
      <c r="D109" s="905"/>
    </row>
    <row r="110" spans="1:41">
      <c r="C110" s="895"/>
      <c r="D110" s="896"/>
    </row>
    <row r="111" spans="1:41">
      <c r="C111" s="895"/>
      <c r="D111" s="895"/>
      <c r="G111" s="788">
        <v>1</v>
      </c>
      <c r="H111" s="789">
        <f t="shared" ref="H111:H116" si="36">SUMIF($G$5:$G$103,G111,$H$5:$H$103)</f>
        <v>200350</v>
      </c>
      <c r="K111" s="789">
        <f t="shared" ref="K111:K116" si="37">SUMIF($G$5:$G$103,$G111,$K$5:$K$103)</f>
        <v>108862.67</v>
      </c>
      <c r="L111" s="73"/>
      <c r="M111" s="73"/>
      <c r="N111" s="73"/>
      <c r="O111" s="73"/>
      <c r="P111" s="73"/>
      <c r="Q111" s="73"/>
      <c r="R111" s="73"/>
      <c r="S111" s="789">
        <f t="shared" ref="S111:S116" si="38">SUMIF($G$5:$G$103,$G111,$S$5:$S$103)</f>
        <v>90937.34</v>
      </c>
      <c r="T111" s="73"/>
      <c r="U111" s="73"/>
      <c r="V111" s="73"/>
      <c r="W111" s="73"/>
      <c r="X111" s="73"/>
      <c r="Y111" s="96"/>
      <c r="Z111" s="78"/>
      <c r="AA111" s="73"/>
      <c r="AB111" s="73"/>
      <c r="AC111" s="73"/>
      <c r="AD111" s="73"/>
      <c r="AE111" s="73"/>
      <c r="AF111" s="73"/>
      <c r="AG111" s="73"/>
      <c r="AH111" s="73"/>
      <c r="AI111" s="789">
        <f t="shared" ref="AI111:AI116" si="39">SUMIF($G$5:$G$103,$G111,$AI$5:$AI$103)</f>
        <v>550</v>
      </c>
      <c r="AL111" s="789">
        <f>SUBTOTAL(9,S111:AI111)</f>
        <v>91487.34</v>
      </c>
    </row>
    <row r="112" spans="1:41">
      <c r="C112" s="895"/>
      <c r="D112" s="895"/>
      <c r="G112" s="788">
        <v>2</v>
      </c>
      <c r="H112" s="789">
        <f t="shared" si="36"/>
        <v>0</v>
      </c>
      <c r="K112" s="789">
        <f t="shared" si="37"/>
        <v>0</v>
      </c>
      <c r="L112" s="73"/>
      <c r="M112" s="73"/>
      <c r="N112" s="73"/>
      <c r="O112" s="73"/>
      <c r="P112" s="73"/>
      <c r="Q112" s="73"/>
      <c r="R112" s="73"/>
      <c r="S112" s="789">
        <f t="shared" si="38"/>
        <v>0</v>
      </c>
      <c r="T112" s="73"/>
      <c r="U112" s="73"/>
      <c r="V112" s="73"/>
      <c r="W112" s="73"/>
      <c r="X112" s="73"/>
      <c r="Y112" s="96"/>
      <c r="Z112" s="78"/>
      <c r="AA112" s="73"/>
      <c r="AB112" s="73"/>
      <c r="AC112" s="73"/>
      <c r="AD112" s="73"/>
      <c r="AE112" s="73"/>
      <c r="AF112" s="73"/>
      <c r="AG112" s="73"/>
      <c r="AH112" s="73"/>
      <c r="AI112" s="789">
        <f t="shared" si="39"/>
        <v>0</v>
      </c>
      <c r="AL112" s="789">
        <f t="shared" ref="AL112:AL117" si="40">SUBTOTAL(9,S112:AI112)</f>
        <v>0</v>
      </c>
    </row>
    <row r="113" spans="3:38">
      <c r="C113" s="895"/>
      <c r="D113" s="901"/>
      <c r="G113" s="788">
        <v>3</v>
      </c>
      <c r="H113" s="789">
        <f t="shared" si="36"/>
        <v>1259970</v>
      </c>
      <c r="K113" s="789">
        <f t="shared" si="37"/>
        <v>601408</v>
      </c>
      <c r="L113" s="73"/>
      <c r="M113" s="73"/>
      <c r="N113" s="73"/>
      <c r="O113" s="73"/>
      <c r="P113" s="73"/>
      <c r="Q113" s="73"/>
      <c r="R113" s="73"/>
      <c r="S113" s="789">
        <f t="shared" si="38"/>
        <v>615587</v>
      </c>
      <c r="T113" s="73"/>
      <c r="U113" s="73"/>
      <c r="V113" s="73"/>
      <c r="W113" s="73"/>
      <c r="X113" s="73"/>
      <c r="Y113" s="96"/>
      <c r="Z113" s="78"/>
      <c r="AA113" s="73"/>
      <c r="AB113" s="73"/>
      <c r="AC113" s="73"/>
      <c r="AD113" s="73"/>
      <c r="AE113" s="73"/>
      <c r="AF113" s="73"/>
      <c r="AG113" s="73"/>
      <c r="AH113" s="73"/>
      <c r="AI113" s="789">
        <f t="shared" si="39"/>
        <v>42975</v>
      </c>
      <c r="AL113" s="789">
        <f t="shared" si="40"/>
        <v>658562</v>
      </c>
    </row>
    <row r="114" spans="3:38">
      <c r="C114" s="901"/>
      <c r="D114" s="901"/>
      <c r="G114" s="788">
        <v>4</v>
      </c>
      <c r="H114" s="789">
        <f t="shared" si="36"/>
        <v>2303200</v>
      </c>
      <c r="K114" s="789">
        <f t="shared" si="37"/>
        <v>998070</v>
      </c>
      <c r="L114" s="73"/>
      <c r="M114" s="73"/>
      <c r="N114" s="73"/>
      <c r="O114" s="73"/>
      <c r="P114" s="73"/>
      <c r="Q114" s="73"/>
      <c r="R114" s="73"/>
      <c r="S114" s="789">
        <f t="shared" si="38"/>
        <v>1234395</v>
      </c>
      <c r="T114" s="73"/>
      <c r="U114" s="73"/>
      <c r="V114" s="73"/>
      <c r="W114" s="73"/>
      <c r="X114" s="73"/>
      <c r="Y114" s="96"/>
      <c r="Z114" s="78"/>
      <c r="AA114" s="73"/>
      <c r="AB114" s="73"/>
      <c r="AC114" s="73"/>
      <c r="AD114" s="73"/>
      <c r="AE114" s="73"/>
      <c r="AF114" s="73"/>
      <c r="AG114" s="73"/>
      <c r="AH114" s="73"/>
      <c r="AI114" s="789">
        <f t="shared" si="39"/>
        <v>70735</v>
      </c>
      <c r="AL114" s="789">
        <f t="shared" si="40"/>
        <v>1305130</v>
      </c>
    </row>
    <row r="115" spans="3:38">
      <c r="C115" s="895"/>
      <c r="D115" s="901"/>
      <c r="G115" s="788">
        <v>5</v>
      </c>
      <c r="H115" s="789">
        <f t="shared" si="36"/>
        <v>548500</v>
      </c>
      <c r="K115" s="789">
        <f t="shared" si="37"/>
        <v>243834</v>
      </c>
      <c r="L115" s="73"/>
      <c r="M115" s="73"/>
      <c r="N115" s="73"/>
      <c r="O115" s="73"/>
      <c r="P115" s="73"/>
      <c r="Q115" s="73"/>
      <c r="R115" s="73"/>
      <c r="S115" s="789">
        <f t="shared" si="38"/>
        <v>298816</v>
      </c>
      <c r="T115" s="73"/>
      <c r="U115" s="73"/>
      <c r="V115" s="73"/>
      <c r="W115" s="73"/>
      <c r="X115" s="73"/>
      <c r="Y115" s="96"/>
      <c r="Z115" s="78"/>
      <c r="AA115" s="73"/>
      <c r="AB115" s="73"/>
      <c r="AC115" s="73"/>
      <c r="AD115" s="73"/>
      <c r="AE115" s="73"/>
      <c r="AF115" s="73"/>
      <c r="AG115" s="73"/>
      <c r="AH115" s="73"/>
      <c r="AI115" s="789">
        <f t="shared" si="39"/>
        <v>5850</v>
      </c>
      <c r="AL115" s="789">
        <f t="shared" si="40"/>
        <v>304666</v>
      </c>
    </row>
    <row r="116" spans="3:38" ht="16.5">
      <c r="C116" s="907"/>
      <c r="D116" s="908"/>
      <c r="G116" s="788">
        <v>6</v>
      </c>
      <c r="H116" s="789">
        <f t="shared" si="36"/>
        <v>69000</v>
      </c>
      <c r="K116" s="789">
        <f t="shared" si="37"/>
        <v>45100</v>
      </c>
      <c r="L116" s="73"/>
      <c r="M116" s="73"/>
      <c r="N116" s="73"/>
      <c r="O116" s="73"/>
      <c r="P116" s="73"/>
      <c r="Q116" s="73"/>
      <c r="R116" s="73"/>
      <c r="S116" s="789">
        <f t="shared" si="38"/>
        <v>23900</v>
      </c>
      <c r="T116" s="73"/>
      <c r="U116" s="73"/>
      <c r="V116" s="73"/>
      <c r="W116" s="73"/>
      <c r="X116" s="73"/>
      <c r="Y116" s="96"/>
      <c r="Z116" s="78"/>
      <c r="AA116" s="73"/>
      <c r="AB116" s="73"/>
      <c r="AC116" s="73"/>
      <c r="AD116" s="73"/>
      <c r="AE116" s="73"/>
      <c r="AF116" s="73"/>
      <c r="AG116" s="73"/>
      <c r="AH116" s="73"/>
      <c r="AI116" s="789">
        <f t="shared" si="39"/>
        <v>0</v>
      </c>
      <c r="AL116" s="789">
        <f t="shared" si="40"/>
        <v>23900</v>
      </c>
    </row>
    <row r="117" spans="3:38" ht="16.5">
      <c r="C117" s="907"/>
      <c r="D117" s="908"/>
      <c r="AL117" s="789">
        <f t="shared" si="40"/>
        <v>0</v>
      </c>
    </row>
    <row r="118" spans="3:38" ht="16.5">
      <c r="C118" s="907"/>
      <c r="D118" s="908"/>
    </row>
  </sheetData>
  <autoFilter ref="A4:AL107" xr:uid="{00000000-0009-0000-0000-000014000000}">
    <filterColumn colId="7">
      <customFilters and="1">
        <customFilter operator="notEqual" val=" "/>
      </customFilters>
    </filterColumn>
  </autoFilter>
  <mergeCells count="26">
    <mergeCell ref="A94:E94"/>
    <mergeCell ref="A97:E97"/>
    <mergeCell ref="A62:E62"/>
    <mergeCell ref="A77:E77"/>
    <mergeCell ref="A81:E81"/>
    <mergeCell ref="A83:E83"/>
    <mergeCell ref="A84:E84"/>
    <mergeCell ref="A90:E90"/>
    <mergeCell ref="A50:E50"/>
    <mergeCell ref="A6:E6"/>
    <mergeCell ref="A3:A4"/>
    <mergeCell ref="B3:B4"/>
    <mergeCell ref="C3:C4"/>
    <mergeCell ref="D3:D4"/>
    <mergeCell ref="E3:E4"/>
    <mergeCell ref="A5:E5"/>
    <mergeCell ref="A8:E8"/>
    <mergeCell ref="A14:E14"/>
    <mergeCell ref="A27:E27"/>
    <mergeCell ref="A29:E29"/>
    <mergeCell ref="A38:E38"/>
    <mergeCell ref="F3:F4"/>
    <mergeCell ref="G3:G4"/>
    <mergeCell ref="K3:R3"/>
    <mergeCell ref="S3:U3"/>
    <mergeCell ref="AI3:AK3"/>
  </mergeCells>
  <phoneticPr fontId="3" type="noConversion"/>
  <printOptions horizontalCentered="1"/>
  <pageMargins left="0.19685039370078741" right="0.19685039370078741" top="0.43307086614173229" bottom="0.39" header="0.19685039370078741" footer="0.23622047244094491"/>
  <pageSetup paperSize="9" scale="75" orientation="landscape" r:id="rId1"/>
  <headerFooter alignWithMargins="0">
    <oddFooter>&amp;C&amp;8&amp;N--&amp;P&amp;R&amp;"Times New Roman,標準"&amp;8&amp;F</oddFooter>
  </headerFooter>
  <colBreaks count="1" manualBreakCount="1">
    <brk id="21" max="10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29</vt:i4>
      </vt:variant>
      <vt:variant>
        <vt:lpstr>具名範圍</vt:lpstr>
      </vt:variant>
      <vt:variant>
        <vt:i4>40</vt:i4>
      </vt:variant>
    </vt:vector>
  </HeadingPairs>
  <TitlesOfParts>
    <vt:vector size="69" baseType="lpstr">
      <vt:lpstr>表8</vt:lpstr>
      <vt:lpstr>107計畫型(法)</vt:lpstr>
      <vt:lpstr>107前瞻(法)</vt:lpstr>
      <vt:lpstr>107流域治理(法)</vt:lpstr>
      <vt:lpstr>中央106(法)</vt:lpstr>
      <vt:lpstr>直轄市106(法)</vt:lpstr>
      <vt:lpstr>縣市106(法)</vt:lpstr>
      <vt:lpstr>106計畫型原(法)</vt:lpstr>
      <vt:lpstr>106前瞻(法)</vt:lpstr>
      <vt:lpstr>106流域治理(法) (2)</vt:lpstr>
      <vt:lpstr>106計畫型(案)</vt:lpstr>
      <vt:lpstr>中央105(法)</vt:lpstr>
      <vt:lpstr>直轄市105(法)</vt:lpstr>
      <vt:lpstr>縣市105(法)</vt:lpstr>
      <vt:lpstr>中央105(原法)</vt:lpstr>
      <vt:lpstr>直轄市105(原法)</vt:lpstr>
      <vt:lpstr>縣市105(原法)</vt:lpstr>
      <vt:lpstr>中央105(案)</vt:lpstr>
      <vt:lpstr>直轄市105(案)</vt:lpstr>
      <vt:lpstr>縣市105(案)</vt:lpstr>
      <vt:lpstr>105計畫(案)</vt:lpstr>
      <vt:lpstr>105流域治理(案)</vt:lpstr>
      <vt:lpstr>中央104(法)</vt:lpstr>
      <vt:lpstr>直轄市104(法)</vt:lpstr>
      <vt:lpstr>縣市104(法)</vt:lpstr>
      <vt:lpstr>104計畫(法)</vt:lpstr>
      <vt:lpstr>104流域治理(法)</vt:lpstr>
      <vt:lpstr>參9 (104)</vt:lpstr>
      <vt:lpstr>參9 (104-105比較)</vt:lpstr>
      <vt:lpstr>'104流域治理(法)'!Print_Area</vt:lpstr>
      <vt:lpstr>'104計畫(法)'!Print_Area</vt:lpstr>
      <vt:lpstr>'105流域治理(案)'!Print_Area</vt:lpstr>
      <vt:lpstr>'105計畫(案)'!Print_Area</vt:lpstr>
      <vt:lpstr>'106前瞻(法)'!Print_Area</vt:lpstr>
      <vt:lpstr>'106流域治理(法) (2)'!Print_Area</vt:lpstr>
      <vt:lpstr>'106計畫型(案)'!Print_Area</vt:lpstr>
      <vt:lpstr>'106計畫型原(法)'!Print_Area</vt:lpstr>
      <vt:lpstr>'107前瞻(法)'!Print_Area</vt:lpstr>
      <vt:lpstr>'107流域治理(法)'!Print_Area</vt:lpstr>
      <vt:lpstr>'107計畫型(法)'!Print_Area</vt:lpstr>
      <vt:lpstr>'中央104(法)'!Print_Area</vt:lpstr>
      <vt:lpstr>'中央105(法)'!Print_Area</vt:lpstr>
      <vt:lpstr>'中央105(原法)'!Print_Area</vt:lpstr>
      <vt:lpstr>'中央105(案)'!Print_Area</vt:lpstr>
      <vt:lpstr>'中央106(法)'!Print_Area</vt:lpstr>
      <vt:lpstr>'直轄市104(法)'!Print_Area</vt:lpstr>
      <vt:lpstr>'直轄市105(法)'!Print_Area</vt:lpstr>
      <vt:lpstr>'直轄市105(原法)'!Print_Area</vt:lpstr>
      <vt:lpstr>'直轄市105(案)'!Print_Area</vt:lpstr>
      <vt:lpstr>'直轄市106(法)'!Print_Area</vt:lpstr>
      <vt:lpstr>表8!Print_Area</vt:lpstr>
      <vt:lpstr>'參9 (104)'!Print_Area</vt:lpstr>
      <vt:lpstr>'參9 (104-105比較)'!Print_Area</vt:lpstr>
      <vt:lpstr>'縣市104(法)'!Print_Area</vt:lpstr>
      <vt:lpstr>'縣市105(法)'!Print_Area</vt:lpstr>
      <vt:lpstr>'縣市105(原法)'!Print_Area</vt:lpstr>
      <vt:lpstr>'縣市105(案)'!Print_Area</vt:lpstr>
      <vt:lpstr>'縣市106(法)'!Print_Area</vt:lpstr>
      <vt:lpstr>'104流域治理(法)'!Print_Titles</vt:lpstr>
      <vt:lpstr>'104計畫(法)'!Print_Titles</vt:lpstr>
      <vt:lpstr>'105流域治理(案)'!Print_Titles</vt:lpstr>
      <vt:lpstr>'105計畫(案)'!Print_Titles</vt:lpstr>
      <vt:lpstr>'106前瞻(法)'!Print_Titles</vt:lpstr>
      <vt:lpstr>'106流域治理(法) (2)'!Print_Titles</vt:lpstr>
      <vt:lpstr>'106計畫型(案)'!Print_Titles</vt:lpstr>
      <vt:lpstr>'106計畫型原(法)'!Print_Titles</vt:lpstr>
      <vt:lpstr>'107前瞻(法)'!Print_Titles</vt:lpstr>
      <vt:lpstr>'107流域治理(法)'!Print_Titles</vt:lpstr>
      <vt:lpstr>'107計畫型(法)'!Print_Titles</vt:lpstr>
    </vt:vector>
  </TitlesOfParts>
  <Company>行政院主計處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第一局</dc:creator>
  <cp:lastModifiedBy>孫悅瑄</cp:lastModifiedBy>
  <cp:lastPrinted>2023-01-31T06:54:51Z</cp:lastPrinted>
  <dcterms:created xsi:type="dcterms:W3CDTF">2001-07-04T05:12:22Z</dcterms:created>
  <dcterms:modified xsi:type="dcterms:W3CDTF">2023-02-06T10:03:59Z</dcterms:modified>
</cp:coreProperties>
</file>